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drawings/drawing4.xml" ContentType="application/vnd.openxmlformats-officedocument.drawing+xml"/>
  <Override PartName="/xl/worksheets/sheet43.xml" ContentType="application/vnd.openxmlformats-officedocument.spreadsheetml.worksheet+xml"/>
  <Override PartName="/xl/drawings/drawing5.xml" ContentType="application/vnd.openxmlformats-officedocument.drawing+xml"/>
  <Override PartName="/xl/worksheets/sheet44.xml" ContentType="application/vnd.openxmlformats-officedocument.spreadsheetml.worksheet+xml"/>
  <Override PartName="/xl/drawings/drawing6.xml" ContentType="application/vnd.openxmlformats-officedocument.drawing+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comments2.xml" ContentType="application/vnd.openxmlformats-officedocument.spreadsheetml.comments+xml"/>
  <Override PartName="/xl/worksheets/sheet56.xml" ContentType="application/vnd.openxmlformats-officedocument.spreadsheetml.worksheet+xml"/>
  <Override PartName="/xl/worksheets/sheet57.xml" ContentType="application/vnd.openxmlformats-officedocument.spreadsheetml.worksheet+xml"/>
  <Override PartName="/xl/comments3.xml" ContentType="application/vnd.openxmlformats-officedocument.spreadsheetml.comments+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70" activeTab="41"/>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Резерв мощности" sheetId="13" state="hidden" r:id="rId14"/>
    <sheet name="ТС. Т-ТН" sheetId="14" state="hidden" r:id="rId15"/>
    <sheet name="ТС. Т-передача ТЭ" sheetId="15" state="hidden" r:id="rId16"/>
    <sheet name="ТС. Т-передача ТН" sheetId="16" state="hidden" r:id="rId17"/>
    <sheet name="ТС. Т-гор.вода" sheetId="17" r:id="rId18"/>
    <sheet name="ТС. Т-подкл" sheetId="18" state="hidden" r:id="rId19"/>
    <sheet name="ХВС. Т-пит" sheetId="19" state="hidden" r:id="rId20"/>
    <sheet name="ХВС. Т-тех" sheetId="20" state="hidden" r:id="rId21"/>
    <sheet name="ХВС. Т-транс" sheetId="21" state="hidden" r:id="rId22"/>
    <sheet name="ХВС. Т-подвоз" sheetId="22" state="hidden" r:id="rId23"/>
    <sheet name="ХВС. Т-подкл" sheetId="23" state="hidden" r:id="rId24"/>
    <sheet name="ВО. Т-во" sheetId="24" state="hidden" r:id="rId25"/>
    <sheet name="ВО. Т-транс" sheetId="25" state="hidden" r:id="rId26"/>
    <sheet name="ВО. Т-подкл" sheetId="26" state="hidden" r:id="rId27"/>
    <sheet name="ГВС. Т-гор.вода" sheetId="27" state="hidden" r:id="rId28"/>
    <sheet name="ГВС. Т-транс" sheetId="28" state="hidden" r:id="rId29"/>
    <sheet name="ГВС. Т-подкл" sheetId="29" state="hidden" r:id="rId30"/>
    <sheet name="Показатели ФХД" sheetId="30" state="hidden" r:id="rId31"/>
    <sheet name="Показатели ФХД &gt;20%" sheetId="31" state="hidden" r:id="rId32"/>
    <sheet name="ТКО. Показатели ФХД" sheetId="32" state="hidden" r:id="rId33"/>
    <sheet name="ТКО. Транс. Показатели ФХД" sheetId="33" state="hidden" r:id="rId34"/>
    <sheet name="Показатели КНЭ" sheetId="34" state="hidden" r:id="rId35"/>
    <sheet name="Ограничения" sheetId="35" state="hidden" r:id="rId36"/>
    <sheet name="ИП" sheetId="36" state="hidden" r:id="rId37"/>
    <sheet name="ИП. Детализация" sheetId="37" state="hidden" r:id="rId38"/>
    <sheet name="ИП. Финансовый план" sheetId="38" state="hidden" r:id="rId39"/>
    <sheet name="ИП. КНЭ" sheetId="39" state="hidden" r:id="rId40"/>
    <sheet name="ТП" sheetId="40" state="hidden" r:id="rId41"/>
    <sheet name="Договоры" sheetId="41" state="hidden" r:id="rId42"/>
    <sheet name="Порядок ТП" sheetId="42" r:id="rId43"/>
    <sheet name="Предложение" sheetId="43" state="hidden" r:id="rId44"/>
    <sheet name="Сведения о закупках" sheetId="44" state="hidden" r:id="rId45"/>
    <sheet name="Потребительские характеристики" sheetId="45" state="hidden" r:id="rId46"/>
    <sheet name="ЭД" sheetId="46" state="hidden" r:id="rId47"/>
    <sheet name="Сведения об изменении" sheetId="47" r:id="rId48"/>
    <sheet name="Орган регулирования" sheetId="48" state="hidden" r:id="rId49"/>
    <sheet name="Перечень организаций" sheetId="49" state="hidden" r:id="rId50"/>
    <sheet name="Дела об установлении тарифов" sheetId="50" state="hidden" r:id="rId51"/>
    <sheet name="Привлечение к ответственности" sheetId="51" state="hidden" r:id="rId52"/>
    <sheet name="Комментарии" sheetId="52" r:id="rId53"/>
    <sheet name="Проверка" sheetId="53" state="hidden" r:id="rId54"/>
    <sheet name="et_union_hor" sheetId="54" state="hidden" r:id="rId55"/>
    <sheet name="TEHSHEET" sheetId="55" state="hidden" r:id="rId56"/>
    <sheet name="DATA_FORMS" sheetId="56" state="hidden" r:id="rId57"/>
    <sheet name="DATA_NPA" sheetId="57" state="hidden" r:id="rId58"/>
    <sheet name="Т-ТЭ | потр" sheetId="58" state="hidden" r:id="rId59"/>
    <sheet name="Т-ТЭ | предел" sheetId="59" state="hidden" r:id="rId60"/>
    <sheet name="Т-ТЭ | индикат" sheetId="60" state="hidden" r:id="rId61"/>
    <sheet name="Т-подкл(инд)" sheetId="61" state="hidden" r:id="rId62"/>
    <sheet name="modMainProcedures" sheetId="62" state="hidden" r:id="rId63"/>
    <sheet name="modB_FHD" sheetId="63" state="hidden" r:id="rId64"/>
    <sheet name="modB_FHD20" sheetId="64" state="hidden" r:id="rId65"/>
    <sheet name="modB_KNE" sheetId="65" state="hidden" r:id="rId66"/>
    <sheet name="modIP_MAIN" sheetId="66" state="hidden" r:id="rId67"/>
    <sheet name="modIP_QRE" sheetId="67" state="hidden" r:id="rId68"/>
    <sheet name="modIP_DETAILED" sheetId="68" state="hidden" r:id="rId69"/>
    <sheet name="et_union_vert" sheetId="69" state="hidden" r:id="rId70"/>
    <sheet name="Легенда" sheetId="70" state="hidden" r:id="rId71"/>
    <sheet name="modfrmListIP" sheetId="71" state="hidden" r:id="rId72"/>
    <sheet name="modfrmActivity" sheetId="72" state="hidden" r:id="rId73"/>
    <sheet name="REESTR_ORG" sheetId="73" state="hidden" r:id="rId74"/>
    <sheet name="REESTR_MO" sheetId="74" state="hidden" r:id="rId75"/>
    <sheet name="REESTR_IP" sheetId="75" state="hidden" r:id="rId76"/>
    <sheet name="REESTR_OBJ_INFR" sheetId="76" state="hidden" r:id="rId77"/>
    <sheet name="REESTR_DS" sheetId="77" state="hidden" r:id="rId78"/>
    <sheet name="REESTR_VT" sheetId="78" state="hidden" r:id="rId79"/>
    <sheet name="REESTR_VED" sheetId="79" state="hidden" r:id="rId80"/>
    <sheet name="REESTR_MO_FILTER" sheetId="80" state="hidden" r:id="rId81"/>
    <sheet name="REESTR_LINK" sheetId="81" state="hidden" r:id="rId82"/>
    <sheet name="modSheetMain" sheetId="82" state="hidden" r:id="rId83"/>
    <sheet name="modfrmReportMode" sheetId="83" state="hidden" r:id="rId84"/>
    <sheet name="modfrmReestrObj" sheetId="84" state="hidden" r:id="rId85"/>
    <sheet name="AllSheetsInThisWorkbook" sheetId="85" state="hidden" r:id="rId86"/>
    <sheet name="modInfo" sheetId="86" state="hidden" r:id="rId87"/>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E_P_TARIFF_A">'ТС. Т-ТЭ | &gt;=25МВт'!$58:$60</definedName>
    <definedName name="BLOCK_NOTE_P_TARIFF_A_COLDVSNA">'ХВС. Т-пит'!$54:$55</definedName>
    <definedName name="BLOCK_NOTE_P_TARIFF_A_HOTVSNA">'ГВС. Т-гор.вода'!$54:$55</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Т-гор.вода'!$78:$80</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R_TARIFF_A">'ТС. Т-ТЭ | &gt;=25МВт'!$61:$64</definedName>
    <definedName name="BLOCK_NOTE_R_TARIFF_A_COLDVSNA">'ХВС. Т-пит'!$56:$57</definedName>
    <definedName name="BLOCK_NOTE_R_TARIFF_A_HOTVSNA">'ГВС. Т-гор.вода'!$56:$57</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Т-гор.вода'!$81:$83</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тарифов'!$64:$88</definedName>
    <definedName name="BLOCK_PT_HEAT">'Перечень тарифов'!$13:$62</definedName>
    <definedName name="BLOCK_PT_HOTVSNA">'Перечень тарифов'!$90:$104</definedName>
    <definedName name="BLOCK_PT_VOTV">'Перечень тарифов'!$106:$120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тарифов'!$Z$12:$Z$122</definedName>
    <definedName name="DIFFERENTIATION_TARIFF_VD_ID">'Перечень тарифов'!$AB$12:$AB$122</definedName>
    <definedName name="DIFFERENTIATION_TARIFF_VTAR_ID">'Перечень тарифов'!$AA$12:$AA$122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et_union_hor!$119:$127</definedName>
    <definedName name="et_B_FHD20_1_NOT_HEAT">et_union_hor!$107:$115</definedName>
    <definedName name="et_B_FHD20_2">et_union_hor!$131:$134</definedName>
    <definedName name="et_B_FHD20_3">et_union_hor!$139:$140</definedName>
    <definedName name="et_B_FHD20_4">et_union_hor!$142:$142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et_union_hor!$H$146:$W$150</definedName>
    <definedName name="et_DIFFERENTIATION_TARIFF_CS">et_union_hor!$161:$162</definedName>
    <definedName name="et_DIFFERENTIATION_TARIFF_IST_TE">et_union_hor!$164:$164</definedName>
    <definedName name="et_DIFFERENTIATION_TARIFF_NOT_COLOR">et_union_hor!$H$186:$W$190</definedName>
    <definedName name="et_DIFFERENTIATION_TARIFF_NOT_HEAT_COLOR">et_union_hor!$H$168:$W$172</definedName>
    <definedName name="et_DIFFERENTIATION_TARIFF_NOT_HEAT_CS">et_union_hor!$183:$184</definedName>
    <definedName name="et_DIFFERENTIATION_TARIFF_NOT_HEAT_NTAR">et_union_hor!$174:$177</definedName>
    <definedName name="et_DIFFERENTIATION_TARIFF_NOT_HEAT_TER">et_union_hor!$179:$181</definedName>
    <definedName name="et_DIFFERENTIATION_TARIFF_NOT_HEAT_VTAR">et_union_hor!$168:$172</definedName>
    <definedName name="et_DIFFERENTIATION_TARIFF_NTAR">et_union_hor!$152:$155</definedName>
    <definedName name="et_DIFFERENTIATION_TARIFF_TER">et_union_hor!$157:$159</definedName>
    <definedName name="et_DIFFERENTIATION_TARIFF_VTAR">et_union_hor!$146:$150</definedName>
    <definedName name="et_DIFFERENTIATION_TKO_CLASS_TKO">et_union_hor!$194:$194</definedName>
    <definedName name="et_DIFFERENTIATION_TKO_COLOR">et_union_hor!$H$194:$AI$199</definedName>
    <definedName name="et_DIFFERENTIATION_TKO_NOT_COLOR">et_union_hor!$H$201:$AI$206</definedName>
    <definedName name="et_DIFFERENTIATION_TKO_NTAR">et_union_hor!$194:$198</definedName>
    <definedName name="et_DIFFERENTIATION_TKO_TER">et_union_hor!$194:$196</definedName>
    <definedName name="et_DIFFERENTIATION_TKO_TO">et_union_hor!$194:$197</definedName>
    <definedName name="et_DIFFERENTIATION_TKO_TYPE_TKO">et_union_hor!$194:$195</definedName>
    <definedName name="et_DIFFERENTIATION_TKO_VTAR">et_union_hor!$194:$199</definedName>
    <definedName name="et_DIFFERENTIATION_VD">et_union_hor!$23:$25</definedName>
    <definedName name="et_ED">et_union_hor!$56:$56</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Т-гор.вода'!$AC$7:$AI$8</definedName>
    <definedName name="et_HOTVSNA_TARIFF_A_HOTVSNA_PERIOD_NOT_COLOR">'ГВС. Т-гор.вода'!$AC$15:$AI$16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et_union_hor!$73:$79</definedName>
    <definedName name="et_IP_DETAILED_EVENT">et_union_hor!$93:$97</definedName>
    <definedName name="et_IP_DETAILED_IST_FIN">et_union_hor!$89:$89</definedName>
    <definedName name="et_IP_DETAILED_OBJECT">et_union_hor!$83:$85</definedName>
    <definedName name="et_IP_DETAILED_YEAR">et_union_hor!$74:$79</definedName>
    <definedName name="et_IP_MAIN">et_union_hor!$64:$65</definedName>
    <definedName name="et_IP_MAIN_PROPERTY">et_union_hor!$69:$69</definedName>
    <definedName name="et_IP_QRE">et_union_hor!$101:$103</definedName>
    <definedName name="et_IP_QRE_CLAIM">et_union_hor!$102:$102</definedName>
    <definedName name="et_List02">et_union_hor!$146:$150</definedName>
    <definedName name="et_List02_1_wd">et_union_hor!$186:$189</definedName>
    <definedName name="et_List02_2_wd">et_union_hor!$186:$188</definedName>
    <definedName name="et_List02_3_wd">et_union_hor!$186:$187</definedName>
    <definedName name="et_List02_4_wd">et_union_hor!$186:$186</definedName>
    <definedName name="et_List02_changeColor_1">et_union_hor!$J$146:$J$149</definedName>
    <definedName name="et_List02_changeColor_1_wd">et_union_hor!$J$186:$J$189</definedName>
    <definedName name="et_List02_changeColor_2">et_union_hor!$N$146:$N$148</definedName>
    <definedName name="et_List02_changeColor_2_wd">et_union_hor!$N$186:$N$188</definedName>
    <definedName name="et_List02_changeColor_3">et_union_hor!$R$146:$R$147</definedName>
    <definedName name="et_List02_changeColor_3_wd">et_union_hor!$R$186:$R$187</definedName>
    <definedName name="et_List02_changeColor_4">et_union_hor!$V$146</definedName>
    <definedName name="et_List02_changeColor_4_wd">et_union_hor!$V$186</definedName>
    <definedName name="et_List02_wd">et_union_hor!$186:$190</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TERRITORY_MO">et_union_hor!$48:$48</definedName>
    <definedName name="et_ORG_TERRITORY_MO_FLAG_INTERNET">et_union_hor!$J$48</definedName>
    <definedName name="et_ORG_TERRITORY_MO_LINK">et_union_hor!$K$48</definedName>
    <definedName name="et_ORG_VD">et_union_hor!$52:$52</definedName>
    <definedName name="et_ORG_VD_COLDVSNA">et_union_hor!$X$52:$Z$52</definedName>
    <definedName name="et_ORG_VD_FIRST_SYSTEM">et_union_hor!$E$52</definedName>
    <definedName name="et_ORG_VD_HEAT">et_union_hor!$H$52:$R$52</definedName>
    <definedName name="et_ORG_VD_HOTVSNA">et_union_hor!$AB$52:$AC$52</definedName>
    <definedName name="et_ORG_VD_TKO_ACTIVITY">'Виды объектов'!$2:$3</definedName>
    <definedName name="et_ORG_VD_TKO_TYPE_OBJECT">'Виды объектов'!$2:$2</definedName>
    <definedName name="et_ORG_VD_VOTV">et_union_hor!$T$52:$V$52</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et_union_hor!$60:$60</definedName>
    <definedName name="et_Q_TP_DIFFERENTIATION">ТП!$G:$G</definedName>
    <definedName name="et_QRE">et_union_hor!$101:$103</definedName>
    <definedName name="et_QRE_CLAIM">et_union_hor!$102:$102</definedName>
    <definedName name="et_R_B_Purch">'Сведения о закупках'!$2:$2</definedName>
    <definedName name="et_ROIV_CASE_case">'Дела об установлении тарифов'!$2:$2</definedName>
    <definedName name="et_ROIV_INFO_phone">'Орган регулирования'!$2:$2</definedName>
    <definedName name="et_ROIV_ORG_org">'Перечень организаций'!$2:$2</definedName>
    <definedName name="et_ROIV_OTV_DL">'Привлечение к ответственности'!$2:$2</definedName>
    <definedName name="et_ROIV_OTV_org">'Привлечение к ответственности'!$2:$3</definedName>
    <definedName name="et_TERMS">et_union_hor!$60:$60</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OTVSNA_TARIFF_A_HOTVSNA">'ГВС. Т-гор.вода'!$V:$AB</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TEHSHEET!$H$2:$H$7</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Предложение!$L$82</definedName>
    <definedName name="OFFER_METHOD">Предложение!$K$24:$K$80</definedName>
    <definedName name="OFFER_METHOD_FLAG">TEHSHEET!$L$6</definedName>
    <definedName name="OFFER_TARIFF_A_1">Предложение!$24:$26</definedName>
    <definedName name="OFFER_TARIFF_A_2">Предложение!$84:$86</definedName>
    <definedName name="OFFER_TARIFF_A_3">Предложение!$142:$144</definedName>
    <definedName name="OFFER_TARIFF_A_4">Предложение!$200:$202</definedName>
    <definedName name="OFFER_TARIFF_A_5">Предложение!$258:$260</definedName>
    <definedName name="OFFER_TARIFF_A_COLDVSNA_1">Предложение!$48:$50</definedName>
    <definedName name="OFFER_TARIFF_A_COLDVSNA_2">Предложение!$108:$110</definedName>
    <definedName name="OFFER_TARIFF_A_COLDVSNA_3">Предложение!$166:$168</definedName>
    <definedName name="OFFER_TARIFF_A_COLDVSNA_4">Предложение!$224:$226</definedName>
    <definedName name="OFFER_TARIFF_A_COLDVSNA_5">Предложение!$282:$284</definedName>
    <definedName name="OFFER_TARIFF_A_HOTVSNA_1">Предложение!$63:$65</definedName>
    <definedName name="OFFER_TARIFF_A_HOTVSNA_2">Предложение!$123:$125</definedName>
    <definedName name="OFFER_TARIFF_A_HOTVSNA_3">Предложение!$181:$183</definedName>
    <definedName name="OFFER_TARIFF_A_HOTVSNA_4">Предложение!$239:$241</definedName>
    <definedName name="OFFER_TARIFF_A_HOTVSNA_5">Предложение!$297:$299</definedName>
    <definedName name="OFFER_TARIFF_A_VOTV_1">Предложение!$72:$74</definedName>
    <definedName name="OFFER_TARIFF_A_VOTV_2">Предложение!$132:$134</definedName>
    <definedName name="OFFER_TARIFF_A_VOTV_3">Предложение!$190:$192</definedName>
    <definedName name="OFFER_TARIFF_A_VOTV_4">Предложение!$248:$250</definedName>
    <definedName name="OFFER_TARIFF_A_VOTV_5">Предложение!$306:$308</definedName>
    <definedName name="OFFER_TARIFF_B_1">Предложение!$27:$29</definedName>
    <definedName name="OFFER_TARIFF_B_2">Предложение!$87:$89</definedName>
    <definedName name="OFFER_TARIFF_B_3">Предложение!$145:$147</definedName>
    <definedName name="OFFER_TARIFF_B_4">Предложение!$203:$205</definedName>
    <definedName name="OFFER_TARIFF_B_5">Предложение!$261:$263</definedName>
    <definedName name="OFFER_TARIFF_B_COLDVSNA_1">Предложение!$51:$53</definedName>
    <definedName name="OFFER_TARIFF_B_COLDVSNA_2">Предложение!$111:$113</definedName>
    <definedName name="OFFER_TARIFF_B_COLDVSNA_3">Предложение!$169:$171</definedName>
    <definedName name="OFFER_TARIFF_B_COLDVSNA_4">Предложение!$227:$229</definedName>
    <definedName name="OFFER_TARIFF_B_COLDVSNA_5">Предложение!$285:$287</definedName>
    <definedName name="OFFER_TARIFF_B_HOTVSNA_1">Предложение!$66:$68</definedName>
    <definedName name="OFFER_TARIFF_B_HOTVSNA_2">Предложение!$126:$128</definedName>
    <definedName name="OFFER_TARIFF_B_HOTVSNA_3">Предложение!$184:$186</definedName>
    <definedName name="OFFER_TARIFF_B_HOTVSNA_4">Предложение!$242:$244</definedName>
    <definedName name="OFFER_TARIFF_B_HOTVSNA_5">Предложение!$300:$302</definedName>
    <definedName name="OFFER_TARIFF_B_VOTV_1">Предложение!$75:$77</definedName>
    <definedName name="OFFER_TARIFF_B_VOTV_2">Предложение!$135:$137</definedName>
    <definedName name="OFFER_TARIFF_B_VOTV_3">Предложение!$193:$195</definedName>
    <definedName name="OFFER_TARIFF_B_VOTV_4">Предложение!$251:$253</definedName>
    <definedName name="OFFER_TARIFF_B_VOTV_5">Предложение!$309:$311</definedName>
    <definedName name="OFFER_TARIFF_C_1">Предложение!$30:$32</definedName>
    <definedName name="OFFER_TARIFF_C_2">Предложение!$90:$92</definedName>
    <definedName name="OFFER_TARIFF_C_3">Предложение!$148:$150</definedName>
    <definedName name="OFFER_TARIFF_C_4">Предложение!$206:$208</definedName>
    <definedName name="OFFER_TARIFF_C_5">Предложение!$264:$266</definedName>
    <definedName name="OFFER_TARIFF_C_COLDVSNA_1">Предложение!$54:$56</definedName>
    <definedName name="OFFER_TARIFF_C_COLDVSNA_2">Предложение!$114:$116</definedName>
    <definedName name="OFFER_TARIFF_C_COLDVSNA_3">Предложение!$172:$174</definedName>
    <definedName name="OFFER_TARIFF_C_COLDVSNA_4">Предложение!$230:$232</definedName>
    <definedName name="OFFER_TARIFF_C_COLDVSNA_5">Предложение!$288:$290</definedName>
    <definedName name="OFFER_TARIFF_C_HOTVSNA_1">Предложение!$69:$71</definedName>
    <definedName name="OFFER_TARIFF_C_HOTVSNA_2">Предложение!$129:$131</definedName>
    <definedName name="OFFER_TARIFF_C_HOTVSNA_3">Предложение!$187:$189</definedName>
    <definedName name="OFFER_TARIFF_C_HOTVSNA_4">Предложение!$245:$247</definedName>
    <definedName name="OFFER_TARIFF_C_HOTVSNA_5">Предложение!$303:$305</definedName>
    <definedName name="OFFER_TARIFF_C_VOTV_1">Предложение!$78:$80</definedName>
    <definedName name="OFFER_TARIFF_C_VOTV_2">Предложение!$138:$140</definedName>
    <definedName name="OFFER_TARIFF_C_VOTV_3">Предложение!$196:$198</definedName>
    <definedName name="OFFER_TARIFF_C_VOTV_4">Предложение!$254:$256</definedName>
    <definedName name="OFFER_TARIFF_C_VOTV_5">Предложение!$312:$314</definedName>
    <definedName name="OFFER_TARIFF_D_1">Предложение!$33:$35</definedName>
    <definedName name="OFFER_TARIFF_D_2">Предложение!$93:$95</definedName>
    <definedName name="OFFER_TARIFF_D_3">Предложение!$151:$153</definedName>
    <definedName name="OFFER_TARIFF_D_4">Предложение!$209:$211</definedName>
    <definedName name="OFFER_TARIFF_D_5">Предложение!$267:$269</definedName>
    <definedName name="OFFER_TARIFF_D_COLDVSNA_1">Предложение!$57:$59</definedName>
    <definedName name="OFFER_TARIFF_D_COLDVSNA_2">Предложение!$117:$119</definedName>
    <definedName name="OFFER_TARIFF_D_COLDVSNA_3">Предложение!$175:$177</definedName>
    <definedName name="OFFER_TARIFF_D_COLDVSNA_4">Предложение!$233:$235</definedName>
    <definedName name="OFFER_TARIFF_D_COLDVSNA_5">Предложение!$291:$293</definedName>
    <definedName name="OFFER_TARIFF_E_COLDVSNA_1">Предложение!$60:$62</definedName>
    <definedName name="OFFER_TARIFF_E_COLDVSNA_2">Предложение!$120:$122</definedName>
    <definedName name="OFFER_TARIFF_E_COLDVSNA_3">Предложение!$178:$180</definedName>
    <definedName name="OFFER_TARIFF_E_COLDVSNA_4">Предложение!$236:$238</definedName>
    <definedName name="OFFER_TARIFF_E_COLDVSNA_5">Предложение!$294:$296</definedName>
    <definedName name="OFFER_TARIFF_E1_1">Предложение!$36:$38</definedName>
    <definedName name="OFFER_TARIFF_E1_2">Предложение!$96:$98</definedName>
    <definedName name="OFFER_TARIFF_E1_3">Предложение!$154:$156</definedName>
    <definedName name="OFFER_TARIFF_E1_4">Предложение!$212:$214</definedName>
    <definedName name="OFFER_TARIFF_E1_5">Предложение!$270:$272</definedName>
    <definedName name="OFFER_TARIFF_E2_1">Предложение!$39:$41</definedName>
    <definedName name="OFFER_TARIFF_E2_2">Предложение!$99:$101</definedName>
    <definedName name="OFFER_TARIFF_E2_3">Предложение!$157:$159</definedName>
    <definedName name="OFFER_TARIFF_E2_4">Предложение!$215:$217</definedName>
    <definedName name="OFFER_TARIFF_E2_5">Предложение!$273:$275</definedName>
    <definedName name="OFFER_TARIFF_F_1">Предложение!$42:$44</definedName>
    <definedName name="OFFER_TARIFF_F_2">Предложение!$102:$104</definedName>
    <definedName name="OFFER_TARIFF_F_3">Предложение!$160:$162</definedName>
    <definedName name="OFFER_TARIFF_F_4">Предложение!$218:$220</definedName>
    <definedName name="OFFER_TARIFF_F_5">Предложение!$276:$278</definedName>
    <definedName name="OFFER_TARIFF_G_1">Предложение!$45:$47</definedName>
    <definedName name="OFFER_TARIFF_G_2">Предложение!$105:$107</definedName>
    <definedName name="OFFER_TARIFF_G_3">Предложение!$163:$165</definedName>
    <definedName name="OFFER_TARIFF_G_4">Предложение!$221:$223</definedName>
    <definedName name="OFFER_TARIFF_G_5">Предложение!$279:$281</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Предложение!$G$50</definedName>
    <definedName name="pIns_PT_VTAR_A_COLDVSNA_OFFER_2">Предложение!$G$110</definedName>
    <definedName name="pIns_PT_VTAR_A_COLDVSNA_OFFER_3">Предложение!$G$168</definedName>
    <definedName name="pIns_PT_VTAR_A_COLDVSNA_OFFER_4">Предложение!$G$226</definedName>
    <definedName name="pIns_PT_VTAR_A_COLDVSNA_OFFER_5">Предложение!$G$284</definedName>
    <definedName name="pIns_PT_VTAR_A_COLDVSNA_OFFER5">Предложение!$G$284</definedName>
    <definedName name="pIns_PT_VTAR_A_HOTVSNA">'ГВС. Т-гор.вода'!$T$53</definedName>
    <definedName name="pIns_PT_VTAR_A_HOTVSNA_OFFER_1">Предложение!$G$65</definedName>
    <definedName name="pIns_PT_VTAR_A_HOTVSNA_OFFER_2">Предложение!$G$125</definedName>
    <definedName name="pIns_PT_VTAR_A_HOTVSNA_OFFER_3">Предложение!$G$183</definedName>
    <definedName name="pIns_PT_VTAR_A_HOTVSNA_OFFER_4">Предложение!$G$241</definedName>
    <definedName name="pIns_PT_VTAR_A_HOTVSNA_OFFER_5">Предложение!$G$299</definedName>
    <definedName name="pIns_PT_VTAR_A_OFFER_1">Предложение!$G$26</definedName>
    <definedName name="pIns_PT_VTAR_A_OFFER_2">Предложение!$G$86</definedName>
    <definedName name="pIns_PT_VTAR_A_OFFER_3">Предложение!$G$144</definedName>
    <definedName name="pIns_PT_VTAR_A_OFFER_4">Предложение!$G$202</definedName>
    <definedName name="pIns_PT_VTAR_A_OFFER_5">Предложение!$G$260</definedName>
    <definedName name="pIns_PT_VTAR_A_VOTV">'ВО. Т-во'!$T$53</definedName>
    <definedName name="pIns_PT_VTAR_A_VOTV_OFFER_1">Предложение!$G$74</definedName>
    <definedName name="pIns_PT_VTAR_A_VOTV_OFFER_2">Предложение!$G$134</definedName>
    <definedName name="pIns_PT_VTAR_A_VOTV_OFFER_3">Предложение!$G$192</definedName>
    <definedName name="pIns_PT_VTAR_A_VOTV_OFFER_4">Предложение!$G$250</definedName>
    <definedName name="pIns_PT_VTAR_A_VOTV_OFFER_5">Предложение!$G$308</definedName>
    <definedName name="pIns_PT_VTAR_B">'ТС. Т-ТЭ | ТСО'!$T$57</definedName>
    <definedName name="pIns_PT_VTAR_B_COLDVSNA">'ХВС. Т-тех'!$T$53</definedName>
    <definedName name="pIns_PT_VTAR_B_COLDVSNA_OFFER_1">Предложение!$G$53</definedName>
    <definedName name="pIns_PT_VTAR_B_COLDVSNA_OFFER_2">Предложение!$G$113</definedName>
    <definedName name="pIns_PT_VTAR_B_COLDVSNA_OFFER_3">Предложение!$G$171</definedName>
    <definedName name="pIns_PT_VTAR_B_COLDVSNA_OFFER_4">Предложение!$G$229</definedName>
    <definedName name="pIns_PT_VTAR_B_COLDVSNA_OFFER_5">Предложение!$G$287</definedName>
    <definedName name="pIns_PT_VTAR_B_HOTVSNA">'ГВС. Т-транс'!$T$53</definedName>
    <definedName name="pIns_PT_VTAR_B_HOTVSNA_OFFER_1">Предложение!$G$68</definedName>
    <definedName name="pIns_PT_VTAR_B_HOTVSNA_OFFER_2">Предложение!$G$128</definedName>
    <definedName name="pIns_PT_VTAR_B_HOTVSNA_OFFER_3">Предложение!$G$186</definedName>
    <definedName name="pIns_PT_VTAR_B_HOTVSNA_OFFER_4">Предложение!$G$244</definedName>
    <definedName name="pIns_PT_VTAR_B_HOTVSNA_OFFER_5">Предложение!$G$302</definedName>
    <definedName name="pIns_PT_VTAR_B_OFFER_1">Предложение!$G$29</definedName>
    <definedName name="pIns_PT_VTAR_B_OFFER_2">Предложение!$G$89</definedName>
    <definedName name="pIns_PT_VTAR_B_OFFER_3">Предложение!$G$147</definedName>
    <definedName name="pIns_PT_VTAR_B_OFFER_4">Предложение!$G$205</definedName>
    <definedName name="pIns_PT_VTAR_B_OFFER_5">Предложение!$G$263</definedName>
    <definedName name="pIns_PT_VTAR_B_VOTV">'ВО. Т-транс'!$T$53</definedName>
    <definedName name="pIns_PT_VTAR_B_VOTV_OFFER_1">Предложение!$G$77</definedName>
    <definedName name="pIns_PT_VTAR_B_VOTV_OFFER_2">Предложение!$G$137</definedName>
    <definedName name="pIns_PT_VTAR_B_VOTV_OFFER_3">Предложение!$G$195</definedName>
    <definedName name="pIns_PT_VTAR_B_VOTV_OFFER_4">Предложение!$G$253</definedName>
    <definedName name="pIns_PT_VTAR_B_VOTV_OFFER_5">Предложение!$G$311</definedName>
    <definedName name="pIns_PT_VTAR_C">'ТС. Т-ТН'!$T$57</definedName>
    <definedName name="pIns_PT_VTAR_C_COLDVSNA">'ХВС. Т-транс'!$T$53</definedName>
    <definedName name="pIns_PT_VTAR_C_COLDVSNA_OFFER_1">Предложение!$G$56</definedName>
    <definedName name="pIns_PT_VTAR_C_COLDVSNA_OFFER_2">Предложение!$G$116</definedName>
    <definedName name="pIns_PT_VTAR_C_COLDVSNA_OFFER_3">Предложение!$G$174</definedName>
    <definedName name="pIns_PT_VTAR_C_COLDVSNA_OFFER_4">Предложение!$G$232</definedName>
    <definedName name="pIns_PT_VTAR_C_COLDVSNA_OFFER_5">Предложение!$G$290</definedName>
    <definedName name="pIns_PT_VTAR_C_HOTVSNA">'ГВС. Т-подкл'!$T$63</definedName>
    <definedName name="pIns_PT_VTAR_C_HOTVSNA_OFFER_1">Предложение!$G$71</definedName>
    <definedName name="pIns_PT_VTAR_C_HOTVSNA_OFFER_2">Предложение!$G$131</definedName>
    <definedName name="pIns_PT_VTAR_C_HOTVSNA_OFFER_3">Предложение!$G$189</definedName>
    <definedName name="pIns_PT_VTAR_C_HOTVSNA_OFFER_4">Предложение!$G$247</definedName>
    <definedName name="pIns_PT_VTAR_C_HOTVSNA_OFFER_5">Предложение!$G$305</definedName>
    <definedName name="pIns_PT_VTAR_C_OFFER_1">Предложение!$G$32</definedName>
    <definedName name="pIns_PT_VTAR_C_OFFER_2">Предложение!$G$92</definedName>
    <definedName name="pIns_PT_VTAR_C_OFFER_3">Предложение!$G$150</definedName>
    <definedName name="pIns_PT_VTAR_C_OFFER_4">Предложение!$G$208</definedName>
    <definedName name="pIns_PT_VTAR_C_OFFER_5">Предложение!$G$266</definedName>
    <definedName name="pIns_PT_VTAR_C_VOTV">'ВО. Т-подкл'!$T$63</definedName>
    <definedName name="pIns_PT_VTAR_C_VOTV_OFFER_1">Предложение!$G$80</definedName>
    <definedName name="pIns_PT_VTAR_C_VOTV_OFFER_2">Предложение!$G$140</definedName>
    <definedName name="pIns_PT_VTAR_C_VOTV_OFFER_3">Предложение!$G$198</definedName>
    <definedName name="pIns_PT_VTAR_C_VOTV_OFFER_4">Предложение!$G$256</definedName>
    <definedName name="pIns_PT_VTAR_C_VOTV_OFFER_5">Предложение!$G$314</definedName>
    <definedName name="pIns_PT_VTAR_D">'ТС. Т-гор.вода'!$V$77</definedName>
    <definedName name="pIns_PT_VTAR_D_COLDVSNA">'ХВС. Т-подвоз'!$T$53</definedName>
    <definedName name="pIns_PT_VTAR_D_COLDVSNA_OFFER_1">Предложение!$G$59</definedName>
    <definedName name="pIns_PT_VTAR_D_COLDVSNA_OFFER_2">Предложение!$G$119</definedName>
    <definedName name="pIns_PT_VTAR_D_COLDVSNA_OFFER_3">Предложение!$G$177</definedName>
    <definedName name="pIns_PT_VTAR_D_COLDVSNA_OFFER_4">Предложение!$G$235</definedName>
    <definedName name="pIns_PT_VTAR_D_COLDVSNA_OFFER_5">Предложение!$G$293</definedName>
    <definedName name="pIns_PT_VTAR_D_OFFER_1">Предложение!$G$35</definedName>
    <definedName name="pIns_PT_VTAR_D_OFFER_2">Предложение!$G$95</definedName>
    <definedName name="pIns_PT_VTAR_D_OFFER_3">Предложение!$G$153</definedName>
    <definedName name="pIns_PT_VTAR_D_OFFER_4">Предложение!$G$211</definedName>
    <definedName name="pIns_PT_VTAR_D_OFFER_5">Предложение!$G$269</definedName>
    <definedName name="pIns_PT_VTAR_E_COLDVSNA">'ХВС. Т-подкл'!$T$63</definedName>
    <definedName name="pIns_PT_VTAR_E_COLDVSNA_OFFER_1">Предложение!$G$62</definedName>
    <definedName name="pIns_PT_VTAR_E_COLDVSNA_OFFER_2">Предложение!$G$122</definedName>
    <definedName name="pIns_PT_VTAR_E_COLDVSNA_OFFER_3">Предложение!$G$180</definedName>
    <definedName name="pIns_PT_VTAR_E_COLDVSNA_OFFER_4">Предложение!$G$238</definedName>
    <definedName name="pIns_PT_VTAR_E_COLDVSNA_OFFER_5">Предложение!$G$296</definedName>
    <definedName name="pIns_PT_VTAR_E1">'ТС. Т-передача ТЭ'!$T$57</definedName>
    <definedName name="pIns_PT_VTAR_E1_OFFER_1">Предложение!$G$38</definedName>
    <definedName name="pIns_PT_VTAR_E1_OFFER_2">Предложение!$G$98</definedName>
    <definedName name="pIns_PT_VTAR_E1_OFFER_3">Предложение!$G$156</definedName>
    <definedName name="pIns_PT_VTAR_E1_OFFER_4">Предложение!$G$214</definedName>
    <definedName name="pIns_PT_VTAR_E1_OFFER_5">Предложение!$G$272</definedName>
    <definedName name="pIns_PT_VTAR_E2">'ТС. Т-передача ТН'!$T$57</definedName>
    <definedName name="pIns_PT_VTAR_E2_OFFER_1">Предложение!$G$41</definedName>
    <definedName name="pIns_PT_VTAR_E2_OFFER_2">Предложение!$G$101</definedName>
    <definedName name="pIns_PT_VTAR_E2_OFFER_3">Предложение!$G$159</definedName>
    <definedName name="pIns_PT_VTAR_E2_OFFER_4">Предложение!$G$217</definedName>
    <definedName name="pIns_PT_VTAR_E2_OFFER_5">Предложение!$G$275</definedName>
    <definedName name="pIns_PT_VTAR_F">'ТС. Резерв мощности'!$T$57</definedName>
    <definedName name="pIns_PT_VTAR_F_OFFER_1">Предложение!$G$44</definedName>
    <definedName name="pIns_PT_VTAR_F_OFFER_2">Предложение!$G$104</definedName>
    <definedName name="pIns_PT_VTAR_F_OFFER_3">Предложение!$G$162</definedName>
    <definedName name="pIns_PT_VTAR_F_OFFER_4">Предложение!$G$220</definedName>
    <definedName name="pIns_PT_VTAR_F_OFFER_5">Предложение!$G$278</definedName>
    <definedName name="pIns_PT_VTAR_G">'ТС. Т-подкл'!$T$62</definedName>
    <definedName name="pIns_PT_VTAR_G_OFFER_1">Предложение!$G$47</definedName>
    <definedName name="pIns_PT_VTAR_G_OFFER_2">Предложение!$G$107</definedName>
    <definedName name="pIns_PT_VTAR_G_OFFER_3">Предложение!$G$165</definedName>
    <definedName name="pIns_PT_VTAR_G_OFFER_4">Предложение!$G$223</definedName>
    <definedName name="pIns_PT_VTAR_G_OFFER_5">Предложение!$G$281</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INFO_phone">'Орган регулирования'!$E$21</definedName>
    <definedName name="pIns_ROIV_ORG_org">'Перечень организаций'!$F$10</definedName>
    <definedName name="pIns_ROIV_OTV_org">'Привлечение к ответственности'!$G$13</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Т-гор.вода'!$AY$43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OTVSNA_TARIFF_A_HOTVSNA">'ГВС. Т-гор.вода'!$AJ$37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Т-гор.вода'!$43:$50</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3">'ТС. Т-ТН'!$45:$54</definedName>
    <definedName name="pt_cs_4">'ТС. Т-гор.вода'!$51:$74</definedName>
    <definedName name="pt_cs_4i">'Т-ТЭ | индикат'!$21:$30</definedName>
    <definedName name="pt_cs_4p">'Т-ТЭ | предел'!$21:$30</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тарифов'!$AL$12:$AL$122</definedName>
    <definedName name="PT_DIFFERENTIATION_CS_ID">'Перечень тарифов'!$AF$12:$AF$122</definedName>
    <definedName name="PT_DIFFERENTIATION_IST_TE">'Перечень тарифов'!$AM$12:$AM$122</definedName>
    <definedName name="PT_DIFFERENTIATION_IST_TE_ID">'Перечень тарифов'!$AG$12:$AG$122</definedName>
    <definedName name="PT_DIFFERENTIATION_NTAR">'Перечень тарифов'!$AJ$12:$AJ$122</definedName>
    <definedName name="PT_DIFFERENTIATION_NTAR_ID">'Перечень тарифов'!$AD$12:$AD$122</definedName>
    <definedName name="PT_DIFFERENTIATION_NUM_CS">'Перечень тарифов'!$AP$12:$AP$122</definedName>
    <definedName name="PT_DIFFERENTIATION_NUM_IST_TE">'Перечень тарифов'!$AQ$12:$AQ$122</definedName>
    <definedName name="PT_DIFFERENTIATION_NUM_NTAR">'Перечень тарифов'!$AN$12:$AN$122</definedName>
    <definedName name="PT_DIFFERENTIATION_NUM_TER">'Перечень тарифов'!$AO$12:$AO$122</definedName>
    <definedName name="PT_DIFFERENTIATION_TER">'Перечень тарифов'!$AK$12:$AK$122</definedName>
    <definedName name="PT_DIFFERENTIATION_TER_ID">'Перечень тарифов'!$AE$12:$AE$122</definedName>
    <definedName name="PT_DIFFERENTIATION_VDET">'Перечень тарифов'!$AI$12:$AI$122</definedName>
    <definedName name="PT_DIFFERENTIATION_VTAR">'Перечень тарифов'!$AH$12:$AH$122</definedName>
    <definedName name="PT_DIFFERENTIATION_VTAR_ID">'Перечень тарифов'!$AC$12:$AC$122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3">'ТС. Т-ТН'!$46:$53</definedName>
    <definedName name="pt_ist_te_4">'ТС. Т-гор.вода'!$52:$73</definedName>
    <definedName name="pt_ist_te_4i">'Т-ТЭ | индикат'!$22:$29</definedName>
    <definedName name="pt_ist_te_4p">'Т-ТЭ | предел'!$22:$29</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Т-гор.вода'!$41:$52</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3">'ТС. Т-ТН'!$43:$56</definedName>
    <definedName name="pt_ntar_4">'ТС. Т-гор.вода'!$49:$76</definedName>
    <definedName name="pt_ntar_4i">'Т-ТЭ | индикат'!$19:$32</definedName>
    <definedName name="pt_ntar_4p">'Т-ТЭ | предел'!$19:$32</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Т-гор.вода'!$42:$51</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3">'ТС. Т-ТН'!$44:$55</definedName>
    <definedName name="pt_ter_4">'ТС. Т-гор.вода'!$50:$75</definedName>
    <definedName name="pt_ter_4i">'Т-ТЭ | индикат'!$20:$31</definedName>
    <definedName name="pt_ter_4p">'Т-ТЭ | предел'!$20:$31</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Ограничения!$F$36:$K$36</definedName>
    <definedName name="Q_LIMIT_p4">Ограничения!$F$38:$K$38</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EL_HL_CASE_COLUMN_MARKER">'Дела об установлении тарифов'!$D$1</definedName>
    <definedName name="ROIV_CASE_NUM_CASE_COLUMN_MARKER">'Дела об установлении тарифов'!$E$1</definedName>
    <definedName name="ROIV_INFO_DEL_HL_PHONE_COLUMN_MARKER">'Орган регулирования'!$C$1</definedName>
    <definedName name="ROIV_INFO_LIST">TEHSHEET!$AZ$97:$AZ$99</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ответственности'!$L$1</definedName>
    <definedName name="ROIV_OTV_DEL_HL_DL_COLUMN_MARKER">'Привлечение к ответственности'!$J$1</definedName>
    <definedName name="ROIV_OTV_DEL_HL_ORG_COLUMN_MARKER">'Привлечение к ответственности'!$D$1</definedName>
    <definedName name="ROIV_OTV_INN_COLUMN_MARKER">'Привлечение к ответственности'!$I$1</definedName>
    <definedName name="ROIV_OTV_NAME_ORG_COLUMN_MARKER">'Привлечение к ответственности'!$H$1</definedName>
    <definedName name="ROIV_OTV_NUM_DL_COLUMN_MARKER">'Привлечение к ответственности'!$K$1</definedName>
    <definedName name="ROIV_OTV_NUM_ORG_COLUMN_MARKER">'Привлечение к ответственности'!$F$1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AME_ROIV">Титульный!#REF!</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TEHSHEET!$AZ$102:$AZ$104</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REESTR_IP!$A$2:$D$78</definedName>
    <definedName name="VD_LIST">REESTR_VED!$A$2:$B$11</definedName>
    <definedName name="VD_ID_LIST">REESTR_VED!$A$2:$A$11</definedName>
    <definedName name="VD_NAME_LIST">REESTR_VED!$B$2:$B$11</definedName>
    <definedName name="et_B_FHD20_1">et_union_hor!$119:$127</definedName>
  </definedNames>
  <calcPr calcId="0" iterate="0" iterateCount="100" iterateDelta="0.001"/>
</workbook>
</file>

<file path=xl/comments1.xml><?xml version="1.0" encoding="utf-8"?>
<comments xmlns="http://schemas.openxmlformats.org/spreadsheetml/2006/main">
  <authors>
    <author>Author</author>
  </authors>
  <commentList>
    <comment ref="F31" authorId="0">
      <text>
        <r>
          <rPr>
            <sz val="9"/>
            <color indexed="81"/>
            <rFont val="Tahoma"/>
            <family val="2"/>
          </rPr>
          <t>Выбор организации двойным щелчком левой клавиши мыши</t>
        </r>
      </text>
    </commen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<sst xmlns="http://schemas.openxmlformats.org/spreadsheetml/2006/main" count="26491" uniqueCount="6015">
  <si>
    <t xml:space="preserve"> (требуется обновление)</t>
  </si>
  <si>
    <t>Код отчёта: PP110.OPEN.INFO.PRICE.HEAT.EIAS</t>
  </si>
  <si>
    <t>Версия отчёта: 1.0.5</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</si>
  <si>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</si>
  <si>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</si>
  <si>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</si>
  <si>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</si>
  <si>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</si>
  <si>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</si>
  <si>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</si>
  <si>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</si>
  <si>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</si>
  <si>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</si>
  <si>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</si>
  <si>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Иркутская область</t>
  </si>
  <si>
    <t>Состав раскрываемой информации</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</si>
  <si>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</si>
  <si>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</si>
  <si>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</si>
  <si>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</si>
  <si>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</si>
  <si>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</si>
  <si>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</si>
  <si>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</si>
  <si>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</si>
  <si>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</si>
  <si>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</si>
  <si>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</si>
  <si>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</si>
  <si>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</si>
  <si>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</si>
  <si>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</si>
  <si>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</si>
  <si>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изменения в раскрытой ранее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</si>
  <si>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</si>
  <si>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</si>
  <si>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</si>
  <si>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79-413-спр</t>
  </si>
  <si>
    <t>Наименование органа регулирования, принявшего решение об утверждении тарифов</t>
  </si>
  <si>
    <t>Служба по тарифам Иркутской области</t>
  </si>
  <si>
    <t>Источник официального опубликования решения</t>
  </si>
  <si>
    <t>Официальный сайт службы по тарифам Иркутской области http://irkobl.ru</t>
  </si>
  <si>
    <t>Открывается, если Тип отчёта "изменения в раскрытой ранее информации"</t>
  </si>
  <si>
    <t>79-477-спр</t>
  </si>
  <si>
    <t>Наименование органа регулирования, принявшего решение об изменении тарифов</t>
  </si>
  <si>
    <t>Наименование ЮЛ / ИП</t>
  </si>
  <si>
    <t>ЗАО "Байкалэнерго"</t>
  </si>
  <si>
    <t>Наименование (описание) обособленного подразделения</t>
  </si>
  <si>
    <t>ИНН</t>
  </si>
  <si>
    <t>3808108339</t>
  </si>
  <si>
    <t>КПП</t>
  </si>
  <si>
    <t>380801001</t>
  </si>
  <si>
    <t>Тип теплоснабжающей организации</t>
  </si>
  <si>
    <t>Единая теплоснабжающая организация в ценовой зоне теплоснабжения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</si>
  <si>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</si>
  <si>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</si>
  <si>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</si>
  <si>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</si>
  <si>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</si>
  <si>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</si>
  <si>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</si>
  <si>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</si>
  <si>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да</t>
  </si>
  <si>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</si>
  <si>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</si>
  <si>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</si>
  <si>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</si>
  <si>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</si>
  <si>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</si>
  <si>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</si>
  <si>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</si>
  <si>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Иркутская область, город Иркутск, 664043, бульвар Рябикова,67</t>
  </si>
  <si>
    <t>Фамилия, имя, отчество руководителя</t>
  </si>
  <si>
    <t>Потапов Владимир Васильевич</t>
  </si>
  <si>
    <t>Ответственный за заполнение формы</t>
  </si>
  <si>
    <t>Фамилия, имя, отчество</t>
  </si>
  <si>
    <t xml:space="preserve">Кузнецова Лариса Геннадьевна </t>
  </si>
  <si>
    <t>Должность</t>
  </si>
  <si>
    <t>Начальник ПЭО</t>
  </si>
  <si>
    <t>Контактный телефон</t>
  </si>
  <si>
    <t>8 914 943 63 33</t>
  </si>
  <si>
    <t>E-mail</t>
  </si>
  <si>
    <t>kuznecova_lg@nitec.irkutskenergo.ru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</si>
  <si>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</si>
  <si>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</si>
  <si>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</si>
  <si>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</si>
  <si>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</si>
  <si>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</si>
  <si>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</si>
  <si>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</si>
  <si>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</si>
  <si>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</si>
  <si>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</si>
  <si>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</si>
  <si>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</si>
  <si>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</si>
  <si>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</si>
  <si>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</si>
  <si>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344</t>
  </si>
  <si>
    <t>Тайшетский муниципальный район</t>
  </si>
  <si>
    <t>Тайшетское городское поселение</t>
  </si>
  <si>
    <t>25636101</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</si>
  <si>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</si>
  <si>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</si>
  <si>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</si>
  <si>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</si>
  <si>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</si>
  <si>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</si>
  <si>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</si>
  <si>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</si>
  <si>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</si>
  <si>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</si>
  <si>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</si>
  <si>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</si>
  <si>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</si>
  <si>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</si>
  <si>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</si>
  <si>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</si>
  <si>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</si>
  <si>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</si>
  <si>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</si>
  <si>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</si>
  <si>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</si>
  <si>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</si>
  <si>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</si>
  <si>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</si>
  <si>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</si>
  <si>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</si>
  <si>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</si>
  <si>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</si>
  <si>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</si>
  <si>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</si>
  <si>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</si>
  <si>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</si>
  <si>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</si>
  <si>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</si>
  <si>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</si>
  <si>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</si>
  <si>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</si>
  <si>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</si>
  <si>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</si>
  <si>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</si>
  <si>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</si>
  <si>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</si>
  <si>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</si>
  <si>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</si>
  <si>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</si>
  <si>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</si>
  <si>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</si>
  <si>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</si>
  <si>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</si>
  <si>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</si>
  <si>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</si>
  <si>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</si>
  <si>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</si>
  <si>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</si>
  <si>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</si>
  <si>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</si>
  <si>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</si>
  <si>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</si>
  <si>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</si>
  <si>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</si>
  <si>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</si>
  <si>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</si>
  <si>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</si>
  <si>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</si>
  <si>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</si>
  <si>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</si>
  <si>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</si>
  <si>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</si>
  <si>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</si>
  <si>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</si>
  <si>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</si>
  <si>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Долгосрочный тариф на горячую воду, поставляемую потребителям с использованием открытой системы теплоснабжения</t>
  </si>
  <si>
    <t>4190064</t>
  </si>
  <si>
    <t>pIns_PT_VTAR_D</t>
  </si>
  <si>
    <t>pt_ntar_4</t>
  </si>
  <si>
    <t>pt_ter_4</t>
  </si>
  <si>
    <t>pt_cs_4</t>
  </si>
  <si>
    <t>pt_ist_te_4</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</si>
  <si>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</si>
  <si>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</si>
  <si>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</si>
  <si>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</si>
  <si>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</si>
  <si>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</si>
  <si>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</si>
  <si>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</si>
  <si>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</si>
  <si>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</si>
  <si>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</si>
  <si>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</si>
  <si>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</si>
  <si>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</si>
  <si>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</si>
  <si>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</si>
  <si>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</si>
  <si>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</si>
  <si>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</si>
  <si>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</si>
  <si>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</si>
  <si>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</si>
  <si>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</si>
  <si>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</si>
  <si>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</si>
  <si>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</si>
  <si>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</si>
  <si>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</si>
  <si>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</si>
  <si>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</si>
  <si>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</si>
  <si>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</si>
  <si>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</si>
  <si>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</si>
  <si>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</si>
  <si>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</si>
  <si>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</si>
  <si>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</si>
  <si>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</si>
  <si>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</si>
  <si>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</si>
  <si>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</si>
  <si>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</si>
  <si>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</si>
  <si>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</si>
  <si>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</si>
  <si>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</si>
  <si>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</si>
  <si>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</si>
  <si>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</si>
  <si>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</si>
  <si>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</si>
  <si>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</si>
  <si>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</si>
  <si>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</si>
  <si>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</si>
  <si>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</si>
  <si>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</si>
  <si>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</si>
  <si>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</si>
  <si>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</si>
  <si>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</si>
  <si>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</si>
  <si>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</si>
  <si>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</si>
  <si>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</si>
  <si>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</si>
  <si>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</si>
  <si>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</si>
  <si>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</si>
  <si>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</si>
  <si>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</si>
  <si>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</si>
  <si>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</si>
  <si>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</si>
  <si>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</si>
  <si>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</si>
  <si>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</si>
  <si>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</si>
  <si>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</si>
  <si>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</si>
  <si>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</si>
  <si>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</si>
  <si>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</si>
  <si>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</si>
  <si>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</si>
  <si>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</si>
  <si>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</si>
  <si>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</si>
  <si>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</si>
  <si>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</si>
  <si>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</si>
  <si>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</si>
  <si>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</si>
  <si>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</si>
  <si>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</si>
  <si>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</si>
  <si>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</si>
  <si>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</si>
  <si>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</si>
  <si>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</si>
  <si>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</si>
  <si>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</si>
  <si>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</si>
  <si>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</si>
  <si>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</si>
  <si>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</si>
  <si>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</si>
  <si>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</si>
  <si>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</si>
  <si>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</si>
  <si>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</si>
  <si>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</si>
  <si>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</si>
  <si>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</si>
  <si>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</si>
  <si>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</si>
  <si>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</si>
  <si>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</si>
  <si>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</si>
  <si>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</si>
  <si>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</si>
  <si>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</si>
  <si>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</si>
  <si>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</si>
  <si>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</si>
  <si>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</si>
  <si>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</si>
  <si>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</si>
  <si>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</si>
  <si>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</si>
  <si>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</si>
  <si>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</si>
  <si>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</si>
  <si>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</si>
  <si>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</si>
  <si>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</si>
  <si>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</si>
  <si>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</si>
  <si>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</si>
  <si>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</si>
  <si>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</si>
  <si>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</si>
  <si>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</si>
  <si>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</si>
  <si>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</si>
  <si>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</si>
  <si>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</si>
  <si>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</si>
  <si>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</si>
  <si>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</si>
  <si>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</si>
  <si>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</si>
  <si>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</si>
  <si>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</si>
  <si>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</si>
  <si>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</si>
  <si>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</si>
  <si>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</si>
  <si>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</si>
  <si>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</si>
  <si>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</si>
  <si>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</si>
  <si>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</si>
  <si>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</si>
  <si>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</si>
  <si>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</si>
  <si>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</si>
  <si>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</si>
  <si>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</si>
  <si>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</si>
  <si>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</si>
  <si>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</si>
  <si>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</si>
  <si>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</si>
  <si>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</si>
  <si>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</si>
  <si>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</si>
  <si>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</si>
  <si>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</si>
  <si>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</si>
  <si>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</si>
  <si>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</si>
  <si>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</si>
  <si>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</si>
  <si>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</si>
  <si>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</si>
  <si>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</si>
  <si>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</si>
  <si>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</si>
  <si>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</si>
  <si>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</si>
  <si>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</si>
  <si>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</si>
  <si>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</si>
  <si>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</si>
  <si>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</si>
  <si>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</si>
  <si>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</si>
  <si>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</si>
  <si>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</si>
  <si>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</si>
  <si>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</si>
  <si>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</si>
  <si>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</si>
  <si>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</si>
  <si>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</si>
  <si>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</si>
  <si>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</si>
  <si>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</si>
  <si>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</si>
  <si>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</si>
  <si>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</si>
  <si>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</si>
  <si>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</si>
  <si>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</si>
  <si>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</si>
  <si>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</si>
  <si>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</si>
  <si>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</si>
  <si>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</si>
  <si>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</si>
  <si>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</si>
  <si>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</si>
  <si>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</si>
  <si>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</si>
  <si>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</si>
  <si>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</si>
  <si>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</si>
  <si>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</si>
  <si>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</si>
  <si>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</si>
  <si>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</si>
  <si>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</si>
  <si>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</si>
  <si>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</si>
  <si>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</si>
  <si>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</si>
  <si>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</si>
  <si>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</si>
  <si>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</si>
  <si>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</si>
  <si>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</si>
  <si>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</si>
  <si>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</si>
  <si>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</si>
  <si>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</si>
  <si>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</si>
  <si>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</si>
  <si>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</si>
  <si>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</si>
  <si>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</si>
  <si>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</si>
  <si>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</si>
  <si>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</si>
  <si>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</si>
  <si>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</si>
  <si>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</si>
  <si>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</si>
  <si>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</si>
  <si>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</si>
  <si>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</si>
  <si>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</si>
  <si>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</si>
  <si>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</si>
  <si>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</si>
  <si>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</si>
  <si>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</si>
  <si>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</si>
  <si>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</si>
  <si>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</si>
  <si>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</si>
  <si>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</si>
  <si>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</si>
  <si>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население</t>
  </si>
  <si>
    <t>вода</t>
  </si>
  <si>
    <t>бюджетные организации</t>
  </si>
  <si>
    <t>прочие</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</si>
  <si>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</si>
  <si>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</si>
  <si>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</si>
  <si>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</si>
  <si>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</si>
  <si>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</si>
  <si>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</si>
  <si>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</si>
  <si>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</si>
  <si>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</si>
  <si>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</si>
  <si>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</si>
  <si>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</si>
  <si>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</si>
  <si>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</si>
  <si>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</si>
  <si>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</si>
  <si>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</si>
  <si>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</si>
  <si>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</si>
  <si>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</si>
  <si>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</si>
  <si>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</si>
  <si>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</si>
  <si>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</si>
  <si>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</si>
  <si>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</si>
  <si>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</si>
  <si>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</si>
  <si>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</si>
  <si>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</si>
  <si>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</si>
  <si>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</si>
  <si>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</si>
  <si>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</si>
  <si>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</si>
  <si>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</si>
  <si>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</si>
  <si>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</si>
  <si>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</si>
  <si>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</si>
  <si>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</si>
  <si>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</si>
  <si>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</si>
  <si>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</si>
  <si>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</si>
  <si>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</si>
  <si>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</si>
  <si>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</si>
  <si>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</si>
  <si>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</si>
  <si>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</si>
  <si>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</si>
  <si>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</si>
  <si>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</si>
  <si>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</si>
  <si>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</si>
  <si>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</si>
  <si>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</si>
  <si>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</si>
  <si>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</si>
  <si>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</si>
  <si>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</si>
  <si>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</si>
  <si>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</si>
  <si>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</si>
  <si>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</si>
  <si>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 xml:space="preserve">Однокомпонентный тариф </t>
  </si>
  <si>
    <t>Двухкомпонентный тариф</t>
  </si>
  <si>
    <t>Однокомпонентный тариф,_x000D_
руб./куб. м</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</si>
  <si>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</si>
  <si>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</si>
  <si>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</si>
  <si>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</si>
  <si>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</si>
  <si>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</si>
  <si>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</si>
  <si>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</si>
  <si>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</si>
  <si>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</si>
  <si>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</si>
  <si>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</si>
  <si>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</si>
  <si>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</si>
  <si>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</si>
  <si>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</si>
  <si>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</si>
  <si>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</si>
  <si>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</si>
  <si>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</si>
  <si>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</si>
  <si>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</si>
  <si>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</si>
  <si>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</si>
  <si>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</si>
  <si>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</si>
  <si>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</si>
  <si>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</si>
  <si>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</si>
  <si>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</si>
  <si>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</si>
  <si>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</si>
  <si>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</si>
  <si>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</si>
  <si>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</si>
  <si>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</si>
  <si>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</si>
  <si>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</si>
  <si>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</si>
  <si>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</si>
  <si>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</si>
  <si>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</si>
  <si>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</si>
  <si>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</si>
  <si>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</si>
  <si>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</si>
  <si>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</si>
  <si>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</si>
  <si>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</si>
  <si>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</si>
  <si>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</si>
  <si>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</si>
  <si>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</si>
  <si>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</si>
  <si>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</si>
  <si>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</si>
  <si>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</si>
  <si>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</si>
  <si>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</si>
  <si>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</si>
  <si>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</si>
  <si>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</si>
  <si>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</si>
  <si>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</si>
  <si>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</si>
  <si>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</si>
  <si>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</si>
  <si>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</si>
  <si>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</si>
  <si>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</si>
  <si>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</si>
  <si>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</si>
  <si>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</si>
  <si>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</si>
  <si>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</si>
  <si>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</si>
  <si>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</si>
  <si>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</si>
  <si>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</si>
  <si>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</si>
  <si>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</si>
  <si>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</si>
  <si>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</si>
  <si>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</si>
  <si>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</si>
  <si>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</si>
  <si>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</si>
  <si>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</si>
  <si>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</si>
  <si>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</si>
  <si>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</si>
  <si>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</si>
  <si>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</si>
  <si>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</si>
  <si>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</si>
  <si>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</si>
  <si>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</si>
  <si>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</si>
  <si>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</si>
  <si>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</si>
  <si>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</si>
  <si>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</si>
  <si>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</si>
  <si>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</si>
  <si>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</si>
  <si>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</si>
  <si>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</si>
  <si>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</si>
  <si>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</si>
  <si>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</si>
  <si>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</si>
  <si>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</si>
  <si>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</si>
  <si>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</si>
  <si>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</si>
  <si>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</si>
  <si>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</si>
  <si>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</si>
  <si>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</si>
  <si>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</si>
  <si>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</si>
  <si>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</si>
  <si>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</si>
  <si>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</si>
  <si>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</si>
  <si>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</si>
  <si>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</si>
  <si>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</si>
  <si>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</si>
  <si>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</si>
  <si>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</si>
  <si>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</si>
  <si>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</si>
  <si>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</si>
  <si>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</si>
  <si>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</si>
  <si>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</si>
  <si>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</si>
  <si>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Годовая бухгалтерская (финансовая) отчетность, включая бухгалтерский баланс и приложения к нему</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</si>
  <si>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</si>
  <si>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</si>
  <si>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</si>
  <si>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</si>
  <si>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</si>
  <si>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</si>
  <si>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</si>
  <si>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</si>
  <si>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</si>
  <si>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</si>
  <si>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</si>
  <si>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</si>
  <si>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</si>
  <si>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</si>
  <si>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</si>
  <si>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</si>
  <si>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</si>
  <si>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</si>
  <si>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</si>
  <si>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</si>
  <si>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</si>
  <si>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</si>
  <si>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</si>
  <si>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</si>
  <si>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</si>
  <si>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</si>
  <si>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</si>
  <si>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</si>
  <si>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</si>
  <si>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</si>
  <si>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</si>
  <si>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</si>
  <si>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</si>
  <si>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</si>
  <si>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</si>
  <si>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</si>
  <si>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</si>
  <si>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</si>
  <si>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</si>
  <si>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</si>
  <si>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</si>
  <si>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</si>
  <si>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</si>
  <si>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</si>
  <si>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</si>
  <si>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</si>
  <si>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</si>
  <si>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</si>
  <si>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</si>
  <si>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</si>
  <si>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</si>
  <si>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</si>
  <si>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</si>
  <si>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</si>
  <si>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</si>
  <si>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</si>
  <si>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</si>
  <si>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</si>
  <si>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</si>
  <si>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</si>
  <si>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</si>
  <si>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</si>
  <si>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</si>
  <si>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</si>
  <si>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</si>
  <si>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</si>
  <si>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</si>
  <si>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</si>
  <si>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</si>
  <si>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</si>
  <si>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</si>
  <si>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</si>
  <si>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</si>
  <si>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</si>
  <si>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</si>
  <si>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</si>
  <si>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</si>
  <si>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</si>
  <si>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</si>
  <si>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</si>
  <si>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</si>
  <si>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</si>
  <si>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</si>
  <si>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</si>
  <si>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</si>
  <si>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</si>
  <si>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</si>
  <si>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</si>
  <si>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</si>
  <si>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</si>
  <si>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</si>
  <si>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</si>
  <si>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</si>
  <si>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</si>
  <si>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</si>
  <si>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</si>
  <si>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</si>
  <si>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</si>
  <si>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</si>
  <si>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</si>
  <si>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</si>
  <si>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</si>
  <si>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</si>
  <si>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</si>
  <si>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</si>
  <si>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</si>
  <si>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</si>
  <si>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</si>
  <si>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</si>
  <si>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</si>
  <si>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</si>
  <si>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</si>
  <si>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</si>
  <si>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</si>
  <si>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</si>
  <si>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</si>
  <si>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5.3.1</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</si>
  <si>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</si>
  <si>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</si>
  <si>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</si>
  <si>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</si>
  <si>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</si>
  <si>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</si>
  <si>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Указывается ссылка на документ, предварительно загруженный в хранилище файлов ФГИС ЕИАС.</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</si>
  <si>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</si>
  <si>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</si>
  <si>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</si>
  <si>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</si>
  <si>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</si>
  <si>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</si>
  <si>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</si>
  <si>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</si>
  <si>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</si>
  <si>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</si>
  <si>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</si>
  <si>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</si>
  <si>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</si>
  <si>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</si>
  <si>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6.1</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</si>
  <si>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</si>
  <si>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</si>
  <si>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</si>
  <si>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</si>
  <si>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</si>
  <si>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</si>
  <si>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</si>
  <si>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</si>
  <si>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</si>
  <si>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</si>
  <si>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</si>
  <si>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</si>
  <si>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</si>
  <si>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</si>
  <si>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</si>
  <si>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</si>
  <si>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</si>
  <si>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</si>
  <si>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</si>
  <si>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</si>
  <si>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</si>
  <si>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</si>
  <si>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</si>
  <si>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</si>
  <si>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</si>
  <si>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</si>
  <si>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</si>
  <si>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</si>
  <si>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</si>
  <si>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</si>
  <si>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</si>
  <si>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</si>
  <si>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</si>
  <si>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</si>
  <si>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</si>
  <si>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</si>
  <si>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</si>
  <si>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</si>
  <si>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</si>
  <si>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</si>
  <si>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</si>
  <si>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</si>
  <si>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</si>
  <si>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</si>
  <si>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</si>
  <si>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</si>
  <si>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</si>
  <si>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2.0</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</si>
  <si>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</si>
  <si>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</si>
  <si>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</si>
  <si>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</si>
  <si>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</si>
  <si>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</si>
  <si>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</si>
  <si>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</si>
  <si>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</si>
  <si>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</si>
  <si>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</si>
  <si>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</si>
  <si>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</si>
  <si>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</si>
  <si>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</si>
  <si>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</si>
  <si>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</si>
  <si>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</si>
  <si>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</si>
  <si>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</si>
  <si>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</si>
  <si>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</si>
  <si>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</si>
  <si>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</si>
  <si>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</si>
  <si>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</si>
  <si>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</si>
  <si>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</si>
  <si>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</si>
  <si>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</si>
  <si>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</si>
  <si>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</si>
  <si>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</si>
  <si>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</si>
  <si>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</si>
  <si>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</si>
  <si>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</si>
  <si>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</si>
  <si>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</si>
  <si>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</si>
  <si>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</si>
  <si>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</si>
  <si>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</si>
  <si>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</si>
  <si>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</si>
  <si>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</si>
  <si>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</si>
  <si>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</si>
  <si>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</si>
  <si>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</si>
  <si>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</si>
  <si>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</si>
  <si>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</si>
  <si>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</si>
  <si>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</si>
  <si>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</si>
  <si>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</si>
  <si>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</si>
  <si>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</si>
  <si>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</si>
  <si>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</si>
  <si>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</si>
  <si>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</si>
  <si>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</si>
  <si>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</si>
  <si>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</si>
  <si>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</si>
  <si>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</si>
  <si>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</si>
  <si>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</si>
  <si>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</si>
  <si>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</si>
  <si>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</si>
  <si>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</si>
  <si>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</si>
  <si>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</si>
  <si>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</si>
  <si>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</si>
  <si>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</si>
  <si>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</si>
  <si>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</si>
  <si>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</si>
  <si>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</si>
  <si>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</si>
  <si>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</si>
  <si>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</si>
  <si>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</si>
  <si>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</si>
  <si>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</si>
  <si>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</si>
  <si>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</si>
  <si>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</si>
  <si>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</si>
  <si>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</si>
  <si>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</si>
  <si>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</si>
  <si>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</si>
  <si>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</si>
  <si>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</si>
  <si>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</si>
  <si>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</si>
  <si>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</si>
  <si>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</si>
  <si>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</si>
  <si>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</si>
  <si>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</si>
  <si>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</si>
  <si>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</si>
  <si>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</si>
  <si>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</si>
  <si>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</si>
  <si>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</si>
  <si>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</si>
  <si>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</si>
  <si>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</si>
  <si>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</si>
  <si>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</si>
  <si>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</si>
  <si>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</si>
  <si>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</si>
  <si>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</si>
  <si>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</si>
  <si>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</si>
  <si>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</si>
  <si>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</si>
  <si>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</si>
  <si>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</si>
  <si>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</si>
  <si>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</si>
  <si>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</si>
  <si>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</si>
  <si>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</si>
  <si>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</si>
  <si>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</si>
  <si>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</si>
  <si>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</si>
  <si>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</si>
  <si>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</si>
  <si>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</si>
  <si>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</si>
  <si>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</si>
  <si>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</si>
  <si>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</si>
  <si>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</si>
  <si>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</si>
  <si>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</si>
  <si>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</si>
  <si>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</si>
  <si>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</si>
  <si>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</si>
  <si>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</si>
  <si>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</si>
  <si>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</si>
  <si>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</si>
  <si>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</si>
  <si>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</si>
  <si>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</si>
  <si>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</si>
  <si>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</si>
  <si>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</si>
  <si>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</si>
  <si>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</si>
  <si>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</si>
  <si>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</si>
  <si>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</si>
  <si>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</si>
  <si>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</si>
  <si>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</si>
  <si>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</si>
  <si>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</si>
  <si>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Добавить сведения</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</si>
  <si>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</si>
  <si>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</si>
  <si>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</si>
  <si>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</si>
  <si>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</si>
  <si>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</si>
  <si>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</si>
  <si>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</si>
  <si>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</si>
  <si>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</si>
  <si>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</si>
  <si>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</si>
  <si>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</si>
  <si>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https://www.baikalenergo.ru/raskritii-inform/tayshet/list.php?SECTION_ID=43</t>
  </si>
  <si>
    <t>https://portal.eias.ru/Portal/DownloadPage.aspx?type=12&amp;guid=55ab0cfb-9610-4cc8-be53-6bcadaa526a6</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</si>
  <si>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</si>
  <si>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https://portal.eias.ru/Portal/DownloadPage.aspx?type=12&amp;guid=a2772e86-84a5-4b0c-a419-bbfb8cb678cc</t>
  </si>
  <si>
    <t>Перечень документов и сведений, предоставляемых одновременно с заявкой о подключении</t>
  </si>
  <si>
    <t>https://portal.eias.ru/Portal/DownloadPage.aspx?type=12&amp;guid=ef793a0a-84b3-4b4c-a531-2d42b4e1119b</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</si>
  <si>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</si>
  <si>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Постановление Правительства РФ от 30.11.2021 N 2115 "Об утверждении Правил под-ключения (технологического присоединения) к системам теплоснабжения, включая пра-вила недискриминационного доступа к услугам по подключению (технологическому присоединению) к системам теплоснабжения, Правил недискриминационного доступа к услугам по передаче тепловой энергии, теплоносителя, а также об изменении и призна-нии утратившими силу некоторых актов Правительства Российской Федерации и отдель-ных положений некоторых актов Правительства Российской Федерации"</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</si>
  <si>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</si>
  <si>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</si>
  <si>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</si>
  <si>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</si>
  <si>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г. Тайшет, ул. Индустриальная, д.3</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</si>
  <si>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</si>
  <si>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Понедельник-пятница: с 08:00 до 17:00</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</si>
  <si>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</si>
  <si>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</si>
  <si>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</si>
  <si>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</si>
  <si>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</si>
  <si>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</si>
  <si>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</si>
  <si>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</si>
  <si>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</si>
  <si>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</si>
  <si>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</si>
  <si>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</si>
  <si>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13.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</si>
  <si>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</si>
  <si>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</si>
  <si>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4.1 – 4.3 указывается в случае, если организация имеет статус единой теплоснабжающей организации.</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</si>
  <si>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</si>
  <si>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</si>
  <si>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</si>
  <si>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</si>
  <si>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</si>
  <si>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</si>
  <si>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</si>
  <si>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</si>
  <si>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</si>
  <si>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</si>
  <si>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</si>
  <si>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</si>
  <si>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</si>
  <si>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</si>
  <si>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Изменения в приказы службы по тарифам Иркутской области от 20.12.2021 № 79-413-спр, от 20.12.2021 № 79-414-спр, от 20.12.2021 № 79-415-спр, от 20.12.2021 № 79-404-спр, от 25.11.2022</t>
  </si>
  <si>
    <t>Добавить</t>
  </si>
  <si>
    <t>* Лист заполняется в случае, если на Титульном листе в поле "Тип отчета" выбрано значение «Изменения в раскрытой ранее информации».</t>
  </si>
  <si>
    <t>Наименование органа регулирования тарифов</t>
  </si>
  <si>
    <t>Указывается в соответствии с нормативным правовым актом, на основании которого орган регулирования тарифов образован.</t>
  </si>
  <si>
    <t xml:space="preserve">Фамилия, имя и отчество руководителя: </t>
  </si>
  <si>
    <t>фамилия руководителя</t>
  </si>
  <si>
    <t>Указывается фамилия руководителя в соответствии с паспортными данными физического лица.</t>
  </si>
  <si>
    <t>имя руководителя</t>
  </si>
  <si>
    <t>Указывается имя руководителя в соответствии с паспортными данными физического лица.</t>
  </si>
  <si>
    <t>отчество руководителя</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</si>
  <si>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</si>
  <si>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</si>
  <si>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</si>
  <si>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</si>
  <si>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</si>
  <si>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</si>
  <si>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</si>
  <si>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</si>
  <si>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 xml:space="preserve">Адрес электронной почты </t>
  </si>
  <si>
    <t>При наличии.</t>
  </si>
  <si>
    <t>Наименование организации</t>
  </si>
  <si>
    <t>ОГРН (ОГРНИП)</t>
  </si>
  <si>
    <t>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t>
  </si>
  <si>
    <t>Добавить организацию</t>
  </si>
  <si>
    <t>дата</t>
  </si>
  <si>
    <t>время</t>
  </si>
  <si>
    <t>место</t>
  </si>
  <si>
    <t>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t>
  </si>
  <si>
    <t>Добавить заседание</t>
  </si>
  <si>
    <t>Добавить должностное лицо</t>
  </si>
  <si>
    <t>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t>
  </si>
  <si>
    <t>Наименование юридического лица указывается согласно уставу организации.</t>
  </si>
  <si>
    <t>Указывается краткое описание нарушения с указанием статьи Кодекса Российской Федерации об административных правонарушениях.</t>
  </si>
  <si>
    <t>Указывается результат рассмотрения дела об административном правонарушении (с указанием вида административного наказания).</t>
  </si>
  <si>
    <t>Указывается ссылка на документ, предварительно загруженный в хранилище файлов ФГИС ЕИАС._x000D_
Раскрывается исполнительным органом субъекта Российской Федерации в области государственного регулирования цен (тарифов)</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</si>
  <si>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</si>
  <si>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</si>
  <si>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</si>
  <si>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</si>
  <si>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</si>
  <si>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</si>
  <si>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</si>
  <si>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</si>
  <si>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</si>
  <si>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</si>
  <si>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</si>
  <si>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</si>
  <si>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</si>
  <si>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</si>
  <si>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</si>
  <si>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</si>
  <si>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</si>
  <si>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</si>
  <si>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</si>
  <si>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</si>
  <si>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</si>
  <si>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</si>
  <si>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</si>
  <si>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</si>
  <si>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</si>
  <si>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</si>
  <si>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</si>
  <si>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</si>
  <si>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</si>
  <si>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</si>
  <si>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</si>
  <si>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</si>
  <si>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</si>
  <si>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</si>
  <si>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</si>
  <si>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</si>
  <si>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</si>
  <si>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</si>
  <si>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</si>
  <si>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</si>
  <si>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</si>
  <si>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</si>
  <si>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</si>
  <si>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</si>
  <si>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</si>
  <si>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</si>
  <si>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</si>
  <si>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</si>
  <si>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</si>
  <si>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</si>
  <si>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</si>
  <si>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</si>
  <si>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</si>
  <si>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</si>
  <si>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</si>
  <si>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</si>
  <si>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</si>
  <si>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</si>
  <si>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</si>
  <si>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</si>
  <si>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</si>
  <si>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</si>
  <si>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</si>
  <si>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</si>
  <si>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</si>
  <si>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</si>
  <si>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</si>
  <si>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</si>
  <si>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</si>
  <si>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</si>
  <si>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</si>
  <si>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</si>
  <si>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</si>
  <si>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</si>
  <si>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</si>
  <si>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</si>
  <si>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</si>
  <si>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</si>
  <si>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</si>
  <si>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</si>
  <si>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</si>
  <si>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</si>
  <si>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</si>
  <si>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</si>
  <si>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</si>
  <si>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</si>
  <si>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</si>
  <si>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</si>
  <si>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</si>
  <si>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</si>
  <si>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</si>
  <si>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</si>
  <si>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</si>
  <si>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</si>
  <si>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</si>
  <si>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</si>
  <si>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</si>
  <si>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</si>
  <si>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первичное раскрытие информации</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</si>
  <si>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</si>
  <si>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</si>
  <si>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</si>
  <si>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</si>
  <si>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</si>
  <si>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</si>
  <si>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</si>
  <si>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</si>
  <si>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</si>
  <si>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</si>
  <si>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</si>
  <si>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</si>
  <si>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</si>
  <si>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</si>
  <si>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</si>
  <si>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</si>
  <si>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</si>
  <si>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</si>
  <si>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</si>
  <si>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</si>
  <si>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</si>
  <si>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</si>
  <si>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</si>
  <si>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</si>
  <si>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</si>
  <si>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</si>
  <si>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</si>
  <si>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к коллектору источника тепловой энергии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</si>
  <si>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</si>
  <si>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</si>
  <si>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</si>
  <si>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</si>
  <si>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</si>
  <si>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</si>
  <si>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</si>
  <si>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</si>
  <si>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</si>
  <si>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</si>
  <si>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</si>
  <si>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</si>
  <si>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</si>
  <si>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</si>
  <si>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</si>
  <si>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</si>
  <si>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</si>
  <si>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</si>
  <si>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</si>
  <si>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</si>
  <si>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</si>
  <si>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</si>
  <si>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</si>
  <si>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</si>
  <si>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</si>
  <si>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</si>
  <si>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</si>
  <si>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</si>
  <si>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</si>
  <si>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</si>
  <si>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</si>
  <si>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</si>
  <si>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</si>
  <si>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</si>
  <si>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</si>
  <si>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</si>
  <si>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</si>
  <si>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</si>
  <si>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</si>
  <si>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</si>
  <si>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</si>
  <si>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</si>
  <si>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</si>
  <si>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</si>
  <si>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</si>
  <si>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</si>
  <si>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</si>
  <si>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</si>
  <si>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</si>
  <si>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</si>
  <si>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</si>
  <si>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</si>
  <si>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</si>
  <si>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</si>
  <si>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</si>
  <si>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</si>
  <si>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</si>
  <si>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</si>
  <si>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</si>
  <si>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</si>
  <si>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</si>
  <si>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</si>
  <si>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</si>
  <si>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</si>
  <si>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</si>
  <si>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</si>
  <si>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</si>
  <si>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</si>
  <si>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</si>
  <si>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</si>
  <si>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</si>
  <si>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</si>
  <si>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</si>
  <si>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</si>
  <si>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</si>
  <si>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</si>
  <si>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</si>
  <si>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</si>
  <si>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</si>
  <si>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</si>
  <si>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</si>
  <si>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</si>
  <si>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</si>
  <si>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</si>
  <si>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</si>
  <si>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</si>
  <si>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</si>
  <si>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</si>
  <si>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</si>
  <si>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</si>
  <si>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</si>
  <si>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</si>
  <si>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</si>
  <si>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</si>
  <si>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</si>
  <si>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</si>
  <si>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</si>
  <si>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</si>
  <si>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</si>
  <si>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</si>
  <si>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</si>
  <si>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</si>
  <si>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</si>
  <si>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</si>
  <si>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смешанное налогообложение</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</si>
  <si>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</si>
  <si>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</si>
  <si>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</si>
  <si>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</si>
  <si>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</si>
  <si>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</si>
  <si>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</si>
  <si>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</si>
  <si>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</si>
  <si>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</si>
  <si>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</si>
  <si>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</si>
  <si>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</si>
  <si>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</si>
  <si>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</si>
  <si>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</si>
  <si>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</si>
  <si>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</si>
  <si>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</si>
  <si>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</si>
  <si>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</si>
  <si>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</si>
  <si>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</si>
  <si>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</si>
  <si>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</si>
  <si>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</si>
  <si>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</si>
  <si>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</si>
  <si>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</si>
  <si>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</si>
  <si>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</si>
  <si>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</si>
  <si>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</si>
  <si>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</si>
  <si>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</si>
  <si>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</si>
  <si>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</si>
  <si>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</si>
  <si>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</si>
  <si>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</si>
  <si>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</si>
  <si>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</si>
  <si>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</si>
  <si>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</si>
  <si>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</si>
  <si>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</si>
  <si>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</si>
  <si>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</si>
  <si>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</si>
  <si>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</si>
  <si>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</si>
  <si>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</si>
  <si>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</si>
  <si>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</si>
  <si>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</si>
  <si>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</si>
  <si>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</si>
  <si>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</si>
  <si>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</si>
  <si>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</si>
  <si>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</si>
  <si>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</si>
  <si>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</si>
  <si>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</si>
  <si>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</si>
  <si>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</si>
  <si>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</si>
  <si>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</si>
  <si>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</si>
  <si>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</si>
  <si>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</si>
  <si>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</si>
  <si>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</si>
  <si>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</si>
  <si>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</si>
  <si>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</si>
  <si>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</si>
  <si>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</si>
  <si>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</si>
  <si>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</si>
  <si>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</si>
  <si>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</si>
  <si>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</si>
  <si>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</si>
  <si>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</si>
  <si>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</si>
  <si>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</si>
  <si>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</si>
  <si>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</si>
  <si>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</si>
  <si>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</si>
  <si>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</si>
  <si>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</si>
  <si>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</si>
  <si>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</si>
  <si>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</si>
  <si>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</si>
  <si>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</si>
  <si>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</si>
  <si>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</si>
  <si>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</si>
  <si>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</si>
  <si>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</si>
  <si>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</si>
  <si>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</si>
  <si>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</si>
  <si>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</si>
  <si>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</si>
  <si>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</si>
  <si>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</si>
  <si>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</si>
  <si>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</si>
  <si>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</si>
  <si>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</si>
  <si>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</si>
  <si>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</si>
  <si>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</si>
  <si>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</si>
  <si>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</si>
  <si>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</si>
  <si>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</si>
  <si>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</si>
  <si>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</si>
  <si>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</si>
  <si>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</si>
  <si>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</si>
  <si>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</si>
  <si>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</si>
  <si>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</si>
  <si>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</si>
  <si>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</si>
  <si>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</si>
  <si>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</si>
  <si>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</si>
  <si>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</si>
  <si>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</si>
  <si>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</si>
  <si>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</si>
  <si>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</si>
  <si>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</si>
  <si>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</si>
  <si>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</si>
  <si>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</si>
  <si>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</si>
  <si>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</si>
  <si>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</si>
  <si>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</si>
  <si>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</si>
  <si>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</si>
  <si>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</si>
  <si>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</si>
  <si>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</si>
  <si>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</si>
  <si>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</si>
  <si>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</si>
  <si>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</si>
  <si>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</si>
  <si>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</si>
  <si>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</si>
  <si>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</si>
  <si>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</si>
  <si>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</si>
  <si>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</si>
  <si>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</si>
  <si>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</si>
  <si>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</si>
  <si>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</si>
  <si>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</si>
  <si>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</si>
  <si>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</si>
  <si>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</si>
  <si>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</si>
  <si>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</si>
  <si>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</si>
  <si>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</si>
  <si>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</si>
  <si>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</si>
  <si>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</si>
  <si>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</si>
  <si>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</si>
  <si>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</si>
  <si>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</si>
  <si>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</si>
  <si>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</si>
  <si>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</si>
  <si>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</si>
  <si>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</si>
  <si>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</si>
  <si>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</si>
  <si>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</si>
  <si>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</si>
  <si>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</si>
  <si>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</si>
  <si>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</si>
  <si>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</si>
  <si>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</si>
  <si>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</si>
  <si>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</si>
  <si>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</si>
  <si>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</si>
  <si>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</si>
  <si>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</si>
  <si>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</si>
  <si>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</si>
  <si>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</si>
  <si>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</si>
  <si>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</si>
  <si>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</si>
  <si>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</si>
  <si>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</si>
  <si>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</si>
  <si>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</si>
  <si>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</si>
  <si>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</si>
  <si>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</si>
  <si>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</si>
  <si>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</si>
  <si>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</si>
  <si>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</si>
  <si>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</si>
  <si>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</si>
  <si>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</si>
  <si>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</si>
  <si>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</si>
  <si>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</si>
  <si>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</si>
  <si>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</si>
  <si>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</si>
  <si>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</si>
  <si>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</si>
  <si>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</si>
  <si>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</si>
  <si>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</si>
  <si>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</si>
  <si>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</si>
  <si>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</si>
  <si>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</si>
  <si>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</si>
  <si>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</si>
  <si>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</si>
  <si>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</si>
  <si>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</si>
  <si>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</si>
  <si>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</si>
  <si>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</si>
  <si>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</si>
  <si>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</si>
  <si>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</si>
  <si>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</si>
  <si>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</si>
  <si>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</si>
  <si>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</si>
  <si>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</si>
  <si>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</si>
  <si>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</si>
  <si>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</si>
  <si>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</si>
  <si>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</si>
  <si>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</si>
  <si>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</si>
  <si>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</si>
  <si>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</si>
  <si>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</si>
  <si>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</si>
  <si>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</si>
  <si>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</si>
  <si>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</si>
  <si>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</si>
  <si>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</si>
  <si>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</si>
  <si>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</si>
  <si>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</si>
  <si>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</si>
  <si>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</si>
  <si>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</si>
  <si>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</si>
  <si>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</si>
  <si>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</si>
  <si>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</si>
  <si>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</si>
  <si>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</si>
  <si>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</si>
  <si>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</si>
  <si>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</si>
  <si>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</si>
  <si>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</si>
  <si>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</si>
  <si>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</si>
  <si>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</si>
  <si>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</si>
  <si>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</si>
  <si>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</si>
  <si>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</si>
  <si>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</si>
  <si>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</si>
  <si>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</si>
  <si>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</si>
  <si>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</si>
  <si>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</si>
  <si>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</si>
  <si>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</si>
  <si>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</si>
  <si>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</si>
  <si>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</si>
  <si>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</si>
  <si>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</si>
  <si>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</si>
  <si>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</si>
  <si>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</si>
  <si>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</si>
  <si>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</si>
  <si>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</si>
  <si>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</si>
  <si>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</si>
  <si>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</si>
  <si>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</si>
  <si>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</si>
  <si>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</si>
  <si>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</si>
  <si>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</si>
  <si>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</si>
  <si>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</si>
  <si>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</si>
  <si>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</si>
  <si>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</si>
  <si>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</si>
  <si>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</si>
  <si>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</si>
  <si>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</si>
  <si>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</si>
  <si>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</si>
  <si>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</si>
  <si>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</si>
  <si>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</si>
  <si>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</si>
  <si>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</si>
  <si>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</si>
  <si>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</si>
  <si>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</si>
  <si>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</si>
  <si>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</si>
  <si>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</si>
  <si>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</si>
  <si>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</si>
  <si>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</si>
  <si>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</si>
  <si>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</si>
  <si>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</si>
  <si>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</si>
  <si>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</si>
  <si>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</si>
  <si>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</si>
  <si>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</si>
  <si>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</si>
  <si>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</si>
  <si>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</si>
  <si>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</si>
  <si>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</si>
  <si>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</si>
  <si>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</si>
  <si>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</si>
  <si>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</si>
  <si>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</si>
  <si>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</si>
  <si>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</si>
  <si>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</si>
  <si>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</si>
  <si>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</si>
  <si>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</si>
  <si>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</si>
  <si>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</si>
  <si>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</si>
  <si>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</si>
  <si>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</si>
  <si>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</si>
  <si>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</si>
  <si>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</si>
  <si>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</si>
  <si>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</si>
  <si>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</si>
  <si>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</si>
  <si>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</si>
  <si>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</si>
  <si>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</si>
  <si>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</si>
  <si>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</si>
  <si>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</si>
  <si>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</si>
  <si>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</si>
  <si>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</si>
  <si>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</si>
  <si>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</si>
  <si>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</si>
  <si>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</si>
  <si>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</si>
  <si>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</si>
  <si>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</si>
  <si>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</si>
  <si>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</si>
  <si>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</si>
  <si>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</si>
  <si>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</si>
  <si>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</si>
  <si>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</si>
  <si>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</si>
  <si>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</si>
  <si>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</si>
  <si>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</si>
  <si>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</si>
  <si>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</si>
  <si>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</si>
  <si>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</si>
  <si>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</si>
  <si>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</si>
  <si>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</si>
  <si>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</si>
  <si>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</si>
  <si>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</si>
  <si>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</si>
  <si>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</si>
  <si>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</si>
  <si>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</si>
  <si>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</si>
  <si>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</si>
  <si>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</si>
  <si>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</si>
  <si>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</si>
  <si>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</si>
  <si>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</si>
  <si>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</si>
  <si>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</si>
  <si>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</si>
  <si>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</si>
  <si>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</si>
  <si>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</si>
  <si>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</si>
  <si>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</si>
  <si>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</si>
  <si>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</si>
  <si>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</si>
  <si>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</si>
  <si>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</si>
  <si>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</si>
  <si>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</si>
  <si>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</si>
  <si>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</si>
  <si>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</si>
  <si>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</si>
  <si>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</si>
  <si>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</si>
  <si>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</si>
  <si>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</si>
  <si>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</si>
  <si>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</si>
  <si>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</si>
  <si>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t>
  </si>
  <si>
    <t>HEAT_IP_EVENT_CI_STAGE_LIST</t>
  </si>
  <si>
    <t>VSNA_IP_EVENT_CI_STAGE_LIST</t>
  </si>
  <si>
    <t>VOTV_IP_EVENT_CI_STAGE_LIST</t>
  </si>
  <si>
    <t>OTKO_IP_EVENT_CI_STAGE_LIST</t>
  </si>
  <si>
    <t>информация об органе регулирования и перечень организаций</t>
  </si>
  <si>
    <t>производство тепловой энергии</t>
  </si>
  <si>
    <t>на забор и подъём воды</t>
  </si>
  <si>
    <t>на транспортировку сточных вод</t>
  </si>
  <si>
    <t>сбор</t>
  </si>
  <si>
    <t>информация о делах об установлении тарифов</t>
  </si>
  <si>
    <t>передача теплоэнергии по региональным тепловым сетям</t>
  </si>
  <si>
    <t>на водоподготовку</t>
  </si>
  <si>
    <t>очистка сточных вод</t>
  </si>
  <si>
    <t>накопление</t>
  </si>
  <si>
    <t>информация о привлечение к ответственности</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</si>
  <si>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</si>
  <si>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</si>
  <si>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</si>
  <si>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</si>
  <si>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обработка</t>
  </si>
  <si>
    <t>UNIT_CONNECT_LIST</t>
  </si>
  <si>
    <t>утилизация</t>
  </si>
  <si>
    <t>тыс.руб./Гкал/ч</t>
  </si>
  <si>
    <t>обезвреживание</t>
  </si>
  <si>
    <t>тыс.руб.</t>
  </si>
  <si>
    <t>размещение отходов</t>
  </si>
  <si>
    <t>энергетическая утилизация</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</si>
  <si>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</si>
  <si>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</si>
  <si>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</si>
  <si>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</si>
  <si>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</si>
  <si>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</si>
  <si>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</si>
  <si>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</si>
  <si>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HEAT_PT_SCHEME</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</si>
  <si>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</si>
  <si>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</si>
  <si>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</si>
  <si>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</si>
  <si>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</si>
  <si>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</si>
  <si>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</si>
  <si>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</si>
  <si>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</si>
  <si>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</si>
  <si>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</si>
  <si>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</si>
  <si>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</si>
  <si>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</si>
  <si>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</si>
  <si>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</si>
  <si>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</si>
  <si>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</si>
  <si>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</si>
  <si>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</si>
  <si>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</si>
  <si>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</si>
  <si>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</si>
  <si>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</si>
  <si>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</si>
  <si>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</si>
  <si>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</si>
  <si>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</si>
  <si>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</si>
  <si>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</si>
  <si>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</si>
  <si>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</si>
  <si>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</si>
  <si>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</si>
  <si>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</si>
  <si>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</si>
  <si>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</si>
  <si>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</si>
  <si>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</si>
  <si>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</si>
  <si>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</si>
  <si>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</si>
  <si>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</si>
  <si>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</si>
  <si>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</si>
  <si>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</si>
  <si>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</si>
  <si>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</si>
  <si>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</si>
  <si>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</si>
  <si>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</si>
  <si>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</si>
  <si>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</si>
  <si>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</si>
  <si>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</si>
  <si>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</si>
  <si>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</si>
  <si>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</si>
  <si>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</si>
  <si>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</si>
  <si>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</si>
  <si>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</si>
  <si>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</si>
  <si>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</si>
  <si>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</si>
  <si>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</si>
  <si>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</si>
  <si>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</si>
  <si>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</si>
  <si>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</si>
  <si>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</si>
  <si>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</si>
  <si>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</si>
  <si>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</si>
  <si>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</si>
  <si>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</si>
  <si>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</si>
  <si>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</si>
  <si>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</si>
  <si>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</si>
  <si>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</si>
  <si>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</si>
  <si>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</si>
  <si>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</si>
  <si>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</si>
  <si>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</si>
  <si>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</si>
  <si>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</si>
  <si>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</si>
  <si>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</si>
  <si>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</si>
  <si>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</si>
  <si>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</si>
  <si>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</si>
  <si>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</si>
  <si>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</si>
  <si>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</si>
  <si>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</si>
  <si>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</si>
  <si>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</si>
  <si>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</si>
  <si>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</si>
  <si>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</si>
  <si>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</si>
  <si>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</si>
  <si>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</si>
  <si>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</si>
  <si>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</si>
  <si>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</si>
  <si>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</si>
  <si>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</si>
  <si>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</si>
  <si>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</si>
  <si>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</si>
  <si>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</si>
  <si>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</si>
  <si>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</si>
  <si>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</si>
  <si>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</si>
  <si>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</si>
  <si>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6.2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</si>
  <si>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</si>
  <si>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</si>
  <si>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</si>
  <si>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</si>
  <si>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</si>
  <si>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</si>
  <si>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</si>
  <si>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</si>
  <si>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</si>
  <si>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</si>
  <si>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</si>
  <si>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</si>
  <si>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</si>
  <si>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</si>
  <si>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</si>
  <si>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</si>
  <si>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</si>
  <si>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</si>
  <si>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</si>
  <si>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</si>
  <si>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</si>
  <si>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</si>
  <si>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</si>
  <si>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</si>
  <si>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</si>
  <si>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</si>
  <si>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</si>
  <si>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</si>
  <si>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</si>
  <si>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</si>
  <si>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</si>
  <si>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</si>
  <si>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</si>
  <si>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</si>
  <si>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</si>
  <si>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</si>
  <si>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</si>
  <si>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</si>
  <si>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</si>
  <si>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</si>
  <si>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</si>
  <si>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</si>
  <si>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</si>
  <si>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</si>
  <si>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</si>
  <si>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</si>
  <si>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</si>
  <si>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</si>
  <si>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</si>
  <si>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</si>
  <si>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</si>
  <si>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</si>
  <si>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</si>
  <si>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</si>
  <si>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</si>
  <si>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</si>
  <si>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</si>
  <si>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</si>
  <si>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</si>
  <si>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</si>
  <si>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</si>
  <si>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</si>
  <si>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</si>
  <si>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</si>
  <si>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</si>
  <si>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</si>
  <si>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</si>
  <si>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</si>
  <si>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</si>
  <si>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</si>
  <si>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</si>
  <si>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</si>
  <si>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</si>
  <si>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</si>
  <si>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</si>
  <si>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</si>
  <si>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</si>
  <si>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</si>
  <si>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</si>
  <si>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</si>
  <si>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</si>
  <si>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</si>
  <si>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</si>
  <si>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</si>
  <si>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Изменения стоимости основных фондов за счет их ввода в эксплуатацию</t>
  </si>
  <si>
    <t>Изменение стоимости основных фондов за счет их ввода в эксплуатацию</t>
  </si>
  <si>
    <t>5.1.2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</si>
  <si>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</si>
  <si>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</si>
  <si>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</si>
  <si>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</si>
  <si>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</si>
  <si>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</si>
  <si>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</si>
  <si>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</si>
  <si>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</si>
  <si>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</si>
  <si>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</si>
  <si>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</si>
  <si>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</si>
  <si>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</si>
  <si>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</si>
  <si>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</si>
  <si>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</si>
  <si>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</si>
  <si>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</si>
  <si>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</si>
  <si>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</si>
  <si>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</si>
  <si>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</si>
  <si>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</si>
  <si>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</si>
  <si>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</si>
  <si>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</si>
  <si>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</si>
  <si>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</si>
  <si>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</si>
  <si>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</si>
  <si>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</si>
  <si>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</si>
  <si>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</si>
  <si>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</si>
  <si>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</si>
  <si>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</si>
  <si>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</si>
  <si>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</si>
  <si>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</si>
  <si>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</si>
  <si>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</si>
  <si>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</si>
  <si>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</si>
  <si>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</si>
  <si>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</si>
  <si>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</si>
  <si>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</si>
  <si>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</si>
  <si>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</si>
  <si>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</si>
  <si>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</si>
  <si>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</si>
  <si>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</si>
  <si>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</si>
  <si>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</si>
  <si>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</si>
  <si>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</si>
  <si>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</si>
  <si>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</si>
  <si>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</si>
  <si>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</si>
  <si>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</si>
  <si>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</si>
  <si>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</si>
  <si>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</si>
  <si>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</si>
  <si>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</si>
  <si>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</si>
  <si>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</si>
  <si>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</si>
  <si>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</si>
  <si>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</si>
  <si>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</si>
  <si>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</si>
  <si>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</si>
  <si>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</si>
  <si>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</si>
  <si>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</si>
  <si>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</si>
  <si>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</si>
  <si>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</si>
  <si>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</si>
  <si>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</si>
  <si>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</si>
  <si>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</si>
  <si>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</si>
  <si>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</si>
  <si>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</si>
  <si>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</si>
  <si>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</si>
  <si>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pt_ntar_4p</t>
  </si>
  <si>
    <t>pt_ter_4p</t>
  </si>
  <si>
    <t>pt_cs_4p</t>
  </si>
  <si>
    <t>pt_ist_te_4p</t>
  </si>
  <si>
    <t>pt_vtar_4p</t>
  </si>
  <si>
    <t>pt_ntar_4i</t>
  </si>
  <si>
    <t>pt_ter_4i</t>
  </si>
  <si>
    <t>pt_cs_4i</t>
  </si>
  <si>
    <t>pt_ist_te_4i</t>
  </si>
  <si>
    <t>pt_vtar_4i</t>
  </si>
  <si>
    <r>
      <t>Форма 4.2.5 Информация о плате за подключение к системе теплоснабжения в индивидуальном порядке</t>
    </r>
    <r>
      <rPr>
        <charset val="204"/>
        <family val="2"/>
        <rFont val="Tahoma"/>
        <sz val="10"/>
        <vertAlign val="superscript"/>
      </rPr>
      <t>1</t>
    </r>
  </si>
  <si>
    <t>NDS</t>
  </si>
  <si>
    <t>woNDS</t>
  </si>
  <si>
    <t>Заявитель</t>
  </si>
  <si>
    <t>Наименование объекта, адрес</t>
  </si>
  <si>
    <t>Подключаемая тепловая нагрузка, Гкал/ч</t>
  </si>
  <si>
    <t>Плата за подключение (технологическое присоединение), тыс. руб./Гкал/ч (руб.)</t>
  </si>
  <si>
    <t>Указывается наименование источника тепловой энергии.</t>
  </si>
  <si>
    <t>В колонке «Заявитель» указывается наименование 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категориям потребителей/заявителям информация по ним указывается в отдельных строках._x000D_
В случае дифференциации по периодам действия тарифа информация по ним указывается в отдельных колонках.</t>
  </si>
  <si>
    <t xml:space="preserve">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_x000D_
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теплоснабжения._x000D_
</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</si>
  <si>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</si>
  <si>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</si>
  <si>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</si>
  <si>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</si>
  <si>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</si>
  <si>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</si>
  <si>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</si>
  <si>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</si>
  <si>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</si>
  <si>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</si>
  <si>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</si>
  <si>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</si>
  <si>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</si>
  <si>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</si>
  <si>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2661</t>
  </si>
  <si>
    <t>АДМИНИСТРАЦИЯ АНГАРСКОГО ГОРОДСКОГО ОКРУГА</t>
  </si>
  <si>
    <t>3801131762</t>
  </si>
  <si>
    <t>380101001</t>
  </si>
  <si>
    <t>АДМИНИСТРАЦИЯ АНДРЮШИНСКОГО СЕЛЬСКОГО ПОСЕЛЕНИЯ КУЙТУНСКОГО РАЙОНА</t>
  </si>
  <si>
    <t>3814010010</t>
  </si>
  <si>
    <t>381401001</t>
  </si>
  <si>
    <t>АДМИНИСТРАЦИЯ АРТЕМОВСКОГО ГОРОДСКОГО ПОСЕЛЕНИЯ</t>
  </si>
  <si>
    <t>3802010513</t>
  </si>
  <si>
    <t>380201001</t>
  </si>
  <si>
    <t>АДМИНИСТРАЦИЯ БАТАМИНСКОГО МУНИЦИПАЛЬНОГО ОБРАЗОВАНИЯ ЗИМИНСКОГО РАЙОНА</t>
  </si>
  <si>
    <t>3806002707</t>
  </si>
  <si>
    <t>380601001</t>
  </si>
  <si>
    <t>АДМИНИСТРАЦИЯ БЕРЕЗНЯКОВСКОГО СЕЛЬСКОГО ПОСЕЛЕНИЯ НИЖНЕИЛИМСКОГО РАЙОНА</t>
  </si>
  <si>
    <t>3834010964</t>
  </si>
  <si>
    <t>383401001</t>
  </si>
  <si>
    <t>АДМИНИСТРАЦИЯ БИРИТСКОГО МУНИЦИПАЛЬНОГО ОБРАЗОВАНИЯ</t>
  </si>
  <si>
    <t>3806002954</t>
  </si>
  <si>
    <t>АДМИНИСТРАЦИЯ БОДАЙБИНСКОГО ГОРОДСКОГО ПОСЕЛЕНИЯ</t>
  </si>
  <si>
    <t>3802010520</t>
  </si>
  <si>
    <t>АДМИНИСТРАЦИЯ БУГУЛЬДЕЙСКОГО МУНИЦИПАЛЬНОГО ОБРАЗОВАНИЯ - АДМИНИСТРАЦИЯ СЕЛЬСКОГО ПОСЕЛЕНИЯ</t>
  </si>
  <si>
    <t>3836003426</t>
  </si>
  <si>
    <t>383601001</t>
  </si>
  <si>
    <t>АДМИНИСТРАЦИЯ ВЕРХНЕМАРКОВСКОГО СЕЛЬСКОГО ПОСЕЛЕНИЯ УСТЬ-КУТСКОГО МУНИЦИПАЛЬНОГО РАЙОНА ИРКУТСКОЙ ОБЛАСТИ</t>
  </si>
  <si>
    <t>3818019328</t>
  </si>
  <si>
    <t>381801001</t>
  </si>
  <si>
    <t>АДМИНИСТРАЦИЯ ГОРОДА ИРКУТСКА</t>
  </si>
  <si>
    <t>3808131271</t>
  </si>
  <si>
    <t>АДМИНИСТРАЦИЯ ГОРОДА УСТЬ-ИЛИМСКА</t>
  </si>
  <si>
    <t>3817010682</t>
  </si>
  <si>
    <t>381701001</t>
  </si>
  <si>
    <t>АДМИНИСТРАЦИЯ ЕРБОГАЧЕНСКОГО МУНИЦИПАЛЬНОГО ОБРАЗОВАНИЯ</t>
  </si>
  <si>
    <t>3829035931</t>
  </si>
  <si>
    <t>382901001</t>
  </si>
  <si>
    <t>АДМИНИСТРАЦИЯ ЖУИНСКОГО СЕЛЬСКОГО ПОСЕЛЕНИЯ</t>
  </si>
  <si>
    <t>3802010489</t>
  </si>
  <si>
    <t>АДМИНИСТРАЦИЯ ЗАСЛАВСКОГО МУНИЦИПАЛЬНОГО ОБРАЗОВАНИЯ</t>
  </si>
  <si>
    <t>3806002880</t>
  </si>
  <si>
    <t>АДМИНИСТРАЦИЯ ЗВЁЗДНИНСКОГО ГОРОДСКОГО ПОСЕЛЕНИЯ УСТЬ-КУТСКОГО МУНИЦИПАЛЬНОГО РАЙОНА ИРКУТСКОЙ ОБЛАСТИ</t>
  </si>
  <si>
    <t>3818019342</t>
  </si>
  <si>
    <t>АДМИНИСТРАЦИЯ ЗИМИНСКОГО ГОРОДСКОГО МУНИЦИПАЛЬНОГО ОБРАЗОВАНИЯ</t>
  </si>
  <si>
    <t>3806009117</t>
  </si>
  <si>
    <t>АДМИНИСТРАЦИЯ КЕЖЕМСКОГО СЕЛЬСКОГО ПОСЕЛЕНИЯ</t>
  </si>
  <si>
    <t>3823018305</t>
  </si>
  <si>
    <t>382301001</t>
  </si>
  <si>
    <t>АДМИНИСТРАЦИЯ КРОПОТКИНСКОГО ГОРОДСКОГО ПОСЕЛЕНИЯ</t>
  </si>
  <si>
    <t>3802010457</t>
  </si>
  <si>
    <t>АДМИНИСТРАЦИЯ КУЛТУКСКОГО ГОРОДСКОГО ПОСЕЛЕНИЯ СЛЮДЯНСКОГО РАЙОНА</t>
  </si>
  <si>
    <t>3837003764</t>
  </si>
  <si>
    <t>381001001</t>
  </si>
  <si>
    <t>АДМИНИСТРАЦИЯ МАМСКОГО ГОРОДСКОГО ПОСЕЛЕНИЯ МАМСКО-ЧУЙСКОГО РАЙОНА</t>
  </si>
  <si>
    <t>3802010545</t>
  </si>
  <si>
    <t>АДМИНИСТРАЦИЯ МИШЕЛЕВСКОГО ГОРОДСКОГО ПОСЕЛЕНИЯ УСОЛЬСКОГО МУНИЦИПАЛЬНОГО РАЙОНА ИРКУТСКОЙ ОБЛАСТИ</t>
  </si>
  <si>
    <t>3819016111</t>
  </si>
  <si>
    <t>385101001</t>
  </si>
  <si>
    <t>АДМИНИСТРАЦИЯ МУНИЦИПАЛЬНОГО ОБРАЗОВАНИЯ "БУРЕТЬ"</t>
  </si>
  <si>
    <t>8503006003</t>
  </si>
  <si>
    <t>850301001</t>
  </si>
  <si>
    <t>АДМИНИСТРАЦИЯ МУНИЦИПАЛЬНОГО ОБРАЗОВАНИЯ "ГОРОД ЧЕРЕМХОВО"</t>
  </si>
  <si>
    <t>3820010121</t>
  </si>
  <si>
    <t>АДМИНИСТРАЦИЯ МУНИЦИПАЛЬНОГО ОБРАЗОВАНИЯ "КАХА-ОНГОЙСКОЕ"</t>
  </si>
  <si>
    <t>8505006009</t>
  </si>
  <si>
    <t>850501001</t>
  </si>
  <si>
    <t>АДМИНИСТРАЦИЯ МУНИЦИПАЛЬНОГО ОБРАЗОВАНИЯ "КУТУЛИК"</t>
  </si>
  <si>
    <t>8501006054</t>
  </si>
  <si>
    <t>АДМИНИСТРАЦИЯ МУНИЦИПАЛЬНОГО ОБРАЗОВАНИЯ "НОВАЯ ИДА"</t>
  </si>
  <si>
    <t>8503005987</t>
  </si>
  <si>
    <t>АДМИНИСТРАЦИЯ МУНИЦИПАЛЬНОГО ОБРАЗОВАНИЯ "НОВОНУКУТСКОЕ"</t>
  </si>
  <si>
    <t>8504004055</t>
  </si>
  <si>
    <t>АДМИНИСТРАЦИЯ МУНИЦИПАЛЬНОГО ОБРАЗОВАНИЯ "УКЫР"</t>
  </si>
  <si>
    <t>8503005962</t>
  </si>
  <si>
    <t>АДМИНИСТРАЦИЯ МУНИЦИПАЛЬНОГО ОБРАЗОВАНИЯ БОХАН</t>
  </si>
  <si>
    <t>8503006035</t>
  </si>
  <si>
    <t>АДМИНИСТРАЦИЯ МУНИЦИПАЛЬНОГО ОБРАЗОВАНИЯ ГОРОДА БРАТСКА</t>
  </si>
  <si>
    <t>3803100833</t>
  </si>
  <si>
    <t>380401001</t>
  </si>
  <si>
    <t>АДМИНИСТРАЦИЯ МУНИЦИПАЛЬНОГО ОБРАЗОВАНИЯ ЖЕЛЕЗНОГОРСК-ИЛИМСКОЕ ГОРОДСКОЕ ПОСЕЛЕНИЕ</t>
  </si>
  <si>
    <t>3834010989</t>
  </si>
  <si>
    <t>АДМИНИСТРАЦИЯ МУНИЦИПАЛЬНОГО ОБРАЗОВАНИЯ КАМЕНКА</t>
  </si>
  <si>
    <t>8503005850</t>
  </si>
  <si>
    <t>АДМИНИСТРАЦИЯ МУНИЦИПАЛЬНОГО ОБРАЗОВАНИЯ ОСА</t>
  </si>
  <si>
    <t>8505006087</t>
  </si>
  <si>
    <t>АДМИНИСТРАЦИЯ МУНИЦИПАЛЬНОГО ОБРАЗОВАНИЯ ХОХОРСК</t>
  </si>
  <si>
    <t>8503005881</t>
  </si>
  <si>
    <t>АДМИНИСТРАЦИЯ НИЙСКОГО СЕЛЬСКОГО ПОСЕЛЕНИЯ УСТЬ-КУТСКОГО МУНИЦИПАЛЬНОГО РАЙОНА ИРКУТСКОЙ ОБЛАСТИ</t>
  </si>
  <si>
    <t>3818019310</t>
  </si>
  <si>
    <t>АДМИНИСТРАЦИЯ НОВОИГИРМИНСКОГО ГОРОДСКОГО ПОСЕЛЕНИЯ НИЖНЕИЛИМСКОГО РАЙОНА</t>
  </si>
  <si>
    <t>3834011005</t>
  </si>
  <si>
    <t>АДМИНИСТРАЦИЯ ПОДЫМАХИНСКОГО СЕЛЬСКОГО ПОСЕЛЕНИЯ УСТЬ-КУТСКОГО МУНИЦИПАЛЬНОГО РАЙОНА ИРКУТСКОЙ ОБЛАСТИ</t>
  </si>
  <si>
    <t>3818019367</t>
  </si>
  <si>
    <t>АДМИНИСТРАЦИЯ ПОКОСНИНСКОГО СЕЛЬСКОГО ПОСЕЛЕНИЯ</t>
  </si>
  <si>
    <t>3823018136</t>
  </si>
  <si>
    <t>АДМИНИСТРАЦИЯ РАЗДОЛЬИНСКОГО СЕЛЬСКОГО ПОСЕЛЕНИЯ УСОЛЬСКОГО МУНИЦИПАЛЬНОГО РАЙОНА ИРКУТСКОЙ ОБЛАСТИ</t>
  </si>
  <si>
    <t>3819015904</t>
  </si>
  <si>
    <t>АДМИНИСТРАЦИЯ РУЧЕЙСКОГО СЕЛЬСКОГО ПОСЕЛЕНИЯ УСТЬ-КУТСКОГО МУНИЦИПАЛЬНОГО РАЙОНА ИРКУТСКОЙ ОБЛАСТИ</t>
  </si>
  <si>
    <t>3818019335</t>
  </si>
  <si>
    <t>АДМИНИСТРАЦИЯ СЕЛЬСКОГО ПОСЕЛЕНИЯ ЖЕЛЕЗНОДОРОЖНОГО МУНИЦИПАЛЬНОГО ОБРАЗОВАНИЯ</t>
  </si>
  <si>
    <t>3819015911</t>
  </si>
  <si>
    <t>АДМИНИСТРАЦИЯ ТАЙШЕТСКОГО МУНИЦИПАЛЬНОГО ОБРАЗОВАНИЯ ТАЙШЕТСКОЕ ГОРОДСКОЕ ПОСЕЛЕНИЕ</t>
  </si>
  <si>
    <t>3815009650</t>
  </si>
  <si>
    <t>381501001</t>
  </si>
  <si>
    <t>АДМИНИСТРАЦИЯ УЛЬКАНСКОГО ГОРОДСКОГО ПОСЕЛЕНИЯ КАЗАЧИНСКО-ЛЕНСКОГО МУНИЦИПАЛЬНОГО РАЙОНА ИРКУТСКОЙ ОБЛАСТИ</t>
  </si>
  <si>
    <t>3818019208</t>
  </si>
  <si>
    <t>АДМИНИСТРАЦИЯ УСТЬ-КУТСКОГО МУНИЦИПАЛЬНОГО ОБРАЗОВАНИЯ</t>
  </si>
  <si>
    <t>3818009263</t>
  </si>
  <si>
    <t>АДМИНИСТРАЦИЯ УСТЬ-КУТСКОГО МУНИЦИПАЛЬНОГО ОБРАЗОВАНИЯ (ГОРОДСКОГО ПОСЕЛЕНИЯ) УСТЬ-КУТСКОГО РАЙОНА ИРКУТСКОЙ ОБЛАСТИ</t>
  </si>
  <si>
    <t>3818019350</t>
  </si>
  <si>
    <t>АДМИНИСТРАЦИЯ ХАРАНЖИНСКОГО СЕЛЬСКОГО ПОСЕЛЕНИЯ</t>
  </si>
  <si>
    <t>3823018055</t>
  </si>
  <si>
    <t>АДМИНИСТРАЦИЯ ХУЖИРСКОГО МУНИЦИПАЛЬНОГО ОБРАЗОВАНИЯ-АДМИНИСТРАЦИЯ СЕЛЬСКОГО ПОСЕЛЕНИЯ</t>
  </si>
  <si>
    <t>3836003440</t>
  </si>
  <si>
    <t>382701001</t>
  </si>
  <si>
    <t>АДМИНИСТРАЦИЯ ШАРА-ТОГОТСКОГО МУНИЦИПАЛЬНОГО ОБРАЗОВАНИЯ - АДМИНИСТРАЦИЯ СЕЛЬСКОГО ПОСЕЛЕНИЯ</t>
  </si>
  <si>
    <t>3836003480</t>
  </si>
  <si>
    <t>АДМИНИСТРАЦИЯ ЯНГЕЛЕВСКОГО ГОРОДСКОГО ПОСЕЛЕНИЯ НИЖНЕИЛИМСКОГО РАЙОНА</t>
  </si>
  <si>
    <t>3834010971</t>
  </si>
  <si>
    <t>АДМИНИСТРАЦИЯ ЯНТАЛЬСКОГО ГОРОДСКОГО ПОСЕЛЕНИЯ УСТЬ-КУТСКОГО МУНИЦИПАЛЬНОГО РАЙОНА ИРКУТСКОЙ ОБЛАСТИ</t>
  </si>
  <si>
    <t>3818019303</t>
  </si>
  <si>
    <t>26372374</t>
  </si>
  <si>
    <t>АО "Ангарская нефтехимическая компания"</t>
  </si>
  <si>
    <t>3801009466</t>
  </si>
  <si>
    <t>997250001</t>
  </si>
  <si>
    <t>11-08-1993 00:00:00</t>
  </si>
  <si>
    <t>26372375</t>
  </si>
  <si>
    <t>АО "Ангарский Электролизный Химический Комбинат"</t>
  </si>
  <si>
    <t>3801098402</t>
  </si>
  <si>
    <t>01-09-2008 00:00:00</t>
  </si>
  <si>
    <t>26356486</t>
  </si>
  <si>
    <t>АО "Витимэнерго"</t>
  </si>
  <si>
    <t>3802005802</t>
  </si>
  <si>
    <t>06-10-1997 00:00:00</t>
  </si>
  <si>
    <t>30358154</t>
  </si>
  <si>
    <t>АО "Главное управление жилищно-коммунального хозяйства"</t>
  </si>
  <si>
    <t>5116000922</t>
  </si>
  <si>
    <t>381145001</t>
  </si>
  <si>
    <t>13-05-2009 00:00:00</t>
  </si>
  <si>
    <t>26536587</t>
  </si>
  <si>
    <t>АО "Группа "Илим"</t>
  </si>
  <si>
    <t>7840346335</t>
  </si>
  <si>
    <t>380402001</t>
  </si>
  <si>
    <t>27-09-2006 00:00:00</t>
  </si>
  <si>
    <t>26530833</t>
  </si>
  <si>
    <t>381702001</t>
  </si>
  <si>
    <t>26539665</t>
  </si>
  <si>
    <t>АО "Иркутскнефтепродукт"  Жилкинский цех</t>
  </si>
  <si>
    <t>3800000742</t>
  </si>
  <si>
    <t>381045002</t>
  </si>
  <si>
    <t>02-10-2002 00:00:00</t>
  </si>
  <si>
    <t>26539669</t>
  </si>
  <si>
    <t>АО "Иркутскнефтепродукт"  Нижнеудинский цех</t>
  </si>
  <si>
    <t>381645002</t>
  </si>
  <si>
    <t>26539661</t>
  </si>
  <si>
    <t>АО "Иркутскнефтепродукт" Усть-Кутский цех</t>
  </si>
  <si>
    <t>381845002</t>
  </si>
  <si>
    <t>31057148</t>
  </si>
  <si>
    <t>АО "Полюс Логистика"</t>
  </si>
  <si>
    <t>2466240347</t>
  </si>
  <si>
    <t>246501001</t>
  </si>
  <si>
    <t>31-05-2016 00:00:00</t>
  </si>
  <si>
    <t>26380015</t>
  </si>
  <si>
    <t>АО "Саянскхимпласт"</t>
  </si>
  <si>
    <t>3814007314</t>
  </si>
  <si>
    <t>13-10-1998 00:00:00</t>
  </si>
  <si>
    <t>28934832</t>
  </si>
  <si>
    <t>АО "Федеральная пассажирская компания"</t>
  </si>
  <si>
    <t>7708709686</t>
  </si>
  <si>
    <t>381243001</t>
  </si>
  <si>
    <t>28500679</t>
  </si>
  <si>
    <t>АО «Региональная компания «Байкал-Отель»</t>
  </si>
  <si>
    <t>3808227544</t>
  </si>
  <si>
    <t>30-01-2013 00:00:00</t>
  </si>
  <si>
    <t>31279450</t>
  </si>
  <si>
    <t>АУ "Лесхоз Иркутской области"</t>
  </si>
  <si>
    <t>8504000413</t>
  </si>
  <si>
    <t>25-12-2018 00:00:00</t>
  </si>
  <si>
    <t>30881825</t>
  </si>
  <si>
    <t>Акционерное общество работников народное предприятие "Концессия-Илим"</t>
  </si>
  <si>
    <t>3817047971</t>
  </si>
  <si>
    <t>31-01-2017 00:00:00</t>
  </si>
  <si>
    <t>27737523</t>
  </si>
  <si>
    <t>Блок-станции (другие поставщики)</t>
  </si>
  <si>
    <t>0000000000</t>
  </si>
  <si>
    <t>740000001</t>
  </si>
  <si>
    <t>09-06-2012 00:00:00</t>
  </si>
  <si>
    <t>26375610</t>
  </si>
  <si>
    <t>Восточно-Сибирская дирекция по тепловодоснабжению - структурное подразделение центральной дирекции по тепловодоснабжению филиала ОАО "РЖД"</t>
  </si>
  <si>
    <t>7708503727</t>
  </si>
  <si>
    <t>381045020</t>
  </si>
  <si>
    <t>23-09-2003 00:00:00</t>
  </si>
  <si>
    <t>26372481</t>
  </si>
  <si>
    <t>ГБПОУ ИО "ПУ № 39 п. Центральный Хазан"</t>
  </si>
  <si>
    <t>3826000610</t>
  </si>
  <si>
    <t>382601001</t>
  </si>
  <si>
    <t>23-03-1999 00:00:00</t>
  </si>
  <si>
    <t>29-09-2023 00:00:00</t>
  </si>
  <si>
    <t>31709242</t>
  </si>
  <si>
    <t>ГБПОУ ХТТ г. Саянска</t>
  </si>
  <si>
    <t>3814000291</t>
  </si>
  <si>
    <t>26356529</t>
  </si>
  <si>
    <t>12-07-2004 00:00:00</t>
  </si>
  <si>
    <t>26372430</t>
  </si>
  <si>
    <t>ЗАО "Санаторий Усть-Кут"</t>
  </si>
  <si>
    <t>3818000870</t>
  </si>
  <si>
    <t>26356487</t>
  </si>
  <si>
    <t>ЗАО «Артель старателей «Витим»</t>
  </si>
  <si>
    <t>3802007817</t>
  </si>
  <si>
    <t>16-08-2000 00:00:00</t>
  </si>
  <si>
    <t>31460297</t>
  </si>
  <si>
    <t>ИП А.С. Верхозин</t>
  </si>
  <si>
    <t>381019505310</t>
  </si>
  <si>
    <t>27-08-2018 00:00:00</t>
  </si>
  <si>
    <t>26356685</t>
  </si>
  <si>
    <t>ИП Гамзяков С.Ю.</t>
  </si>
  <si>
    <t>383406370166</t>
  </si>
  <si>
    <t>28006876</t>
  </si>
  <si>
    <t>ИП Глава КФХ Головань В.И.</t>
  </si>
  <si>
    <t>383200090528</t>
  </si>
  <si>
    <t>05-04-2000 00:00:00</t>
  </si>
  <si>
    <t>27662135</t>
  </si>
  <si>
    <t>ИП Килин Д.Ф.</t>
  </si>
  <si>
    <t>381501782374</t>
  </si>
  <si>
    <t>19-11-2009 00:00:00</t>
  </si>
  <si>
    <t>30381355</t>
  </si>
  <si>
    <t>ИП Кузнецова А.В.</t>
  </si>
  <si>
    <t>383200483582</t>
  </si>
  <si>
    <t>21-07-2014 00:00:00</t>
  </si>
  <si>
    <t>31716429</t>
  </si>
  <si>
    <t>ИП Майоров А.В.</t>
  </si>
  <si>
    <t>382701591097</t>
  </si>
  <si>
    <t>09-06-2023 00:00:00</t>
  </si>
  <si>
    <t>31513836</t>
  </si>
  <si>
    <t>ИП Рубанкова Л.С.</t>
  </si>
  <si>
    <t>384400816079</t>
  </si>
  <si>
    <t>25-12-2015 00:00:00</t>
  </si>
  <si>
    <t>26356575</t>
  </si>
  <si>
    <t>ИП Стяжкин Сергей Иванович</t>
  </si>
  <si>
    <t>381601476300</t>
  </si>
  <si>
    <t>12-03-2004 00:00:00</t>
  </si>
  <si>
    <t>21-04-2023 00:00:00</t>
  </si>
  <si>
    <t>30383840</t>
  </si>
  <si>
    <t>ИП Труфанов А.В.</t>
  </si>
  <si>
    <t>382200702088</t>
  </si>
  <si>
    <t>31377207</t>
  </si>
  <si>
    <t>ИП Тряпицын П. Н.</t>
  </si>
  <si>
    <t>381601174348</t>
  </si>
  <si>
    <t>17-04-2019 00:00:00</t>
  </si>
  <si>
    <t>26381585</t>
  </si>
  <si>
    <t>ИП Шаповалов В.Н.</t>
  </si>
  <si>
    <t>850400333946</t>
  </si>
  <si>
    <t>01-11-2007 00:00:00</t>
  </si>
  <si>
    <t>26356558</t>
  </si>
  <si>
    <t>ИПБОЮЛ  Свириденко Александр Юрьевич</t>
  </si>
  <si>
    <t>381401777317</t>
  </si>
  <si>
    <t>10-08-2005 00:00:00</t>
  </si>
  <si>
    <t>27118489</t>
  </si>
  <si>
    <t>ИПБОЮЛ Байрамов Гаджибаба Исмаил Оглы</t>
  </si>
  <si>
    <t>383201226500</t>
  </si>
  <si>
    <t>09-01-2001 00:00:00</t>
  </si>
  <si>
    <t>30857980</t>
  </si>
  <si>
    <t>Индивидуальный предприниматель Аминов Шахзод Тиллобегович</t>
  </si>
  <si>
    <t>381405470125</t>
  </si>
  <si>
    <t>08-09-2014 00:00:00</t>
  </si>
  <si>
    <t>28504225</t>
  </si>
  <si>
    <t>Индивидуальный предприниматель В.А. Верхотуров</t>
  </si>
  <si>
    <t>384403306911</t>
  </si>
  <si>
    <t>20-02-2003 00:00:00</t>
  </si>
  <si>
    <t>26356673</t>
  </si>
  <si>
    <t>Индивидуальный предприниматель Майоров Владимир Константинович</t>
  </si>
  <si>
    <t>383201135115</t>
  </si>
  <si>
    <t>19-07-2004 00:00:00</t>
  </si>
  <si>
    <t>КАЗЕННОЕ УЧРЕЖДЕНИЕ АДМИНИСТРАЦИЯ ТРОИЦКОГО МУНИЦИПАЛЬНОГО ОБРАЗОВАНИЯ</t>
  </si>
  <si>
    <t xml:space="preserve">3814010130 </t>
  </si>
  <si>
    <t>31401664</t>
  </si>
  <si>
    <t>КМП "Автодор" УКМО (ГП)</t>
  </si>
  <si>
    <t>3818043560</t>
  </si>
  <si>
    <t>07-12-2015 00:00:00</t>
  </si>
  <si>
    <t>КОМИТЕТ ПО ЖИЗНЕОБЕСПЕЧЕНИЮ АДМИНИСТРАЦИИ МУНИЦИПАЛЬНОГО ОБРАЗОВАНИЯ "ГОРОД СВИРСК"</t>
  </si>
  <si>
    <t>3820013683</t>
  </si>
  <si>
    <t>26581745</t>
  </si>
  <si>
    <t>Казачинско-Ленское Райпо</t>
  </si>
  <si>
    <t>3828000710</t>
  </si>
  <si>
    <t>382801001</t>
  </si>
  <si>
    <t>02-02-1993 00:00:00</t>
  </si>
  <si>
    <t>31232701</t>
  </si>
  <si>
    <t>МБОУ "Хор-Тагнинская СОШ"</t>
  </si>
  <si>
    <t>3825003270</t>
  </si>
  <si>
    <t>382501001</t>
  </si>
  <si>
    <t>28441317</t>
  </si>
  <si>
    <t>МБУ "Коммунальник"</t>
  </si>
  <si>
    <t>3816021480</t>
  </si>
  <si>
    <t>381601001</t>
  </si>
  <si>
    <t>31-12-2014 00:00:00</t>
  </si>
  <si>
    <t>26361185</t>
  </si>
  <si>
    <t>МДОУ "Боханский детский сад № 1"</t>
  </si>
  <si>
    <t>8503002231</t>
  </si>
  <si>
    <t>08-04-1994 00:00:00</t>
  </si>
  <si>
    <t>27760827</t>
  </si>
  <si>
    <t>МКП СМО "Савва"</t>
  </si>
  <si>
    <t>3801106068</t>
  </si>
  <si>
    <t>05-07-2011 00:00:00</t>
  </si>
  <si>
    <t>28086512</t>
  </si>
  <si>
    <t>МП "Дирекция городской инфраструктуры" МО г. Братска</t>
  </si>
  <si>
    <t>3804045543</t>
  </si>
  <si>
    <t>09-06-2011 00:00:00</t>
  </si>
  <si>
    <t>МУНИЦИПАЛЬНОЕ КАЗЕННОЕ УЧРЕЖДЕНИЕ "АДМИНИСТРАЦИЯ ГОРОДСКОГО ОКРУГА МУНИЦИПАЛЬНОГО ОБРАЗОВАНИЯ "ГОРОД САЯНСК"</t>
  </si>
  <si>
    <t>3814000735</t>
  </si>
  <si>
    <t>МУНИЦИПАЛЬНОЕ КАЗЕННОЕ УЧРЕЖДЕНИЕ "АДМИНИСТРАЦИЯ НОВОЧУНСКОГО МУНИЦИПАЛЬНОГО ОБРАЗОВАНИЯ"</t>
  </si>
  <si>
    <t>3815009787</t>
  </si>
  <si>
    <t>МУНИЦИПАЛЬНОЕ КАЗЕННОЕ УЧРЕЖДЕНИЕ АДМИНИСТРАЦИЯ ТЫРЕТСКОГО МУНИЦИПАЛЬНОГО ОБРАЗОВАНИЯ</t>
  </si>
  <si>
    <t>3814010109</t>
  </si>
  <si>
    <t>МУНИЦИПАЛЬНОЕ УЧРЕЖДЕНИЕ "АДМИНИСТРАЦИЯ НОВОБИРЮСИНСКОГО МУНИЦИПАЛЬНОГО ОБРАЗОВАНИЯ"</t>
  </si>
  <si>
    <t>3815009931</t>
  </si>
  <si>
    <t>31511625</t>
  </si>
  <si>
    <t>МУП "Афанасьевское"</t>
  </si>
  <si>
    <t>3816032235</t>
  </si>
  <si>
    <t>381603020</t>
  </si>
  <si>
    <t>30-06-2020 00:00:00</t>
  </si>
  <si>
    <t>31667319</t>
  </si>
  <si>
    <t>МУП "БВК"</t>
  </si>
  <si>
    <t>3804118135</t>
  </si>
  <si>
    <t>28-02-2023 00:00:00</t>
  </si>
  <si>
    <t>31223357</t>
  </si>
  <si>
    <t>МУП "ВиТ"</t>
  </si>
  <si>
    <t>3816030206</t>
  </si>
  <si>
    <t>23-08-2018 00:00:00</t>
  </si>
  <si>
    <t>31252938</t>
  </si>
  <si>
    <t>МУП "Вихоревский городской транспорт"</t>
  </si>
  <si>
    <t>3805732122</t>
  </si>
  <si>
    <t>380501001</t>
  </si>
  <si>
    <t>15-12-2017 00:00:00</t>
  </si>
  <si>
    <t>26372455</t>
  </si>
  <si>
    <t>МУП "Водоканал"</t>
  </si>
  <si>
    <t>3821005886</t>
  </si>
  <si>
    <t>382101001</t>
  </si>
  <si>
    <t>16-04-1994 00:00:00</t>
  </si>
  <si>
    <t>26372399</t>
  </si>
  <si>
    <t>МУП "Водоканал" г.Иркутска</t>
  </si>
  <si>
    <t>3807000276</t>
  </si>
  <si>
    <t>381150001</t>
  </si>
  <si>
    <t>27-03-1992 00:00:00</t>
  </si>
  <si>
    <t>28148725</t>
  </si>
  <si>
    <t>МУП "Восток"</t>
  </si>
  <si>
    <t>3849024960</t>
  </si>
  <si>
    <t>384901001</t>
  </si>
  <si>
    <t>01-10-2012 00:00:00</t>
  </si>
  <si>
    <t>30809932</t>
  </si>
  <si>
    <t>МУП "ЖКХ Верхнемарковское"</t>
  </si>
  <si>
    <t>3818043546</t>
  </si>
  <si>
    <t>03-12-2015 00:00:00</t>
  </si>
  <si>
    <t>30870556</t>
  </si>
  <si>
    <t>МУП "ЖКХ Прибрежненского МО"</t>
  </si>
  <si>
    <t>3805729539</t>
  </si>
  <si>
    <t>31-03-2016 00:00:00</t>
  </si>
  <si>
    <t>31687783</t>
  </si>
  <si>
    <t>МУП "ЖКХ Радищевского МО"</t>
  </si>
  <si>
    <t>3804118826</t>
  </si>
  <si>
    <t>06-06-2023 00:00:00</t>
  </si>
  <si>
    <t>26647316</t>
  </si>
  <si>
    <t>МУП "ЖКХ" ст. Тамтачет</t>
  </si>
  <si>
    <t>3815011948</t>
  </si>
  <si>
    <t>06-03-2007 00:00:00</t>
  </si>
  <si>
    <t>30439588</t>
  </si>
  <si>
    <t>МУП "Жигаловское коммунальное управление"</t>
  </si>
  <si>
    <t>3827049544</t>
  </si>
  <si>
    <t>30-11-2015 00:00:00</t>
  </si>
  <si>
    <t>30847214</t>
  </si>
  <si>
    <t>МУП "Жилищно-коммунальное хозяйство Озерный"</t>
  </si>
  <si>
    <t>3805728969</t>
  </si>
  <si>
    <t>23-12-2015 00:00:00</t>
  </si>
  <si>
    <t>31222886</t>
  </si>
  <si>
    <t>МУП "Жилищно-коммунальное хозяйство Ручейское"</t>
  </si>
  <si>
    <t>3818048590</t>
  </si>
  <si>
    <t>06-03-2018 00:00:00</t>
  </si>
  <si>
    <t>28980193</t>
  </si>
  <si>
    <t>МУП "ЖилкомСервис"</t>
  </si>
  <si>
    <t>3802016949</t>
  </si>
  <si>
    <t>30-01-2015 00:00:00</t>
  </si>
  <si>
    <t>31547624</t>
  </si>
  <si>
    <t>МУП "Заречье"</t>
  </si>
  <si>
    <t>3805736624</t>
  </si>
  <si>
    <t>21-09-2021 00:00:00</t>
  </si>
  <si>
    <t>26513356</t>
  </si>
  <si>
    <t>МУП "Карахунское ЖКХ"</t>
  </si>
  <si>
    <t>3823032405</t>
  </si>
  <si>
    <t>20-02-2009 00:00:00</t>
  </si>
  <si>
    <t>31053882</t>
  </si>
  <si>
    <t>МУП "Катангская ТЭК"</t>
  </si>
  <si>
    <t>3818030360</t>
  </si>
  <si>
    <t>02-07-2012 00:00:00</t>
  </si>
  <si>
    <t>31466622</t>
  </si>
  <si>
    <t>МУП "Качугское муниципальное хозяйство"</t>
  </si>
  <si>
    <t>3827063884</t>
  </si>
  <si>
    <t>26-08-2020 00:00:00</t>
  </si>
  <si>
    <t>26372471</t>
  </si>
  <si>
    <t>МУП "Кежемское ЖКХ"</t>
  </si>
  <si>
    <t>3823019997</t>
  </si>
  <si>
    <t>25-01-2007 00:00:00</t>
  </si>
  <si>
    <t>31670750</t>
  </si>
  <si>
    <t>МУП "Комфорт"</t>
  </si>
  <si>
    <t>3804117163</t>
  </si>
  <si>
    <t>13-09-2022 00:00:00</t>
  </si>
  <si>
    <t>27869023</t>
  </si>
  <si>
    <t>МУП "Комхоз-сервис"</t>
  </si>
  <si>
    <t>3827039923</t>
  </si>
  <si>
    <t>05-06-2012 00:00:00</t>
  </si>
  <si>
    <t>14-12-2023 00:00:00</t>
  </si>
  <si>
    <t>30357358</t>
  </si>
  <si>
    <t>МУП "Мальтинское ЖКХ"</t>
  </si>
  <si>
    <t>3851008588</t>
  </si>
  <si>
    <t>20-07-2015 00:00:00</t>
  </si>
  <si>
    <t>31507051</t>
  </si>
  <si>
    <t>МУП "Модуль"</t>
  </si>
  <si>
    <t>3805736046</t>
  </si>
  <si>
    <t>25-02-2021 00:00:00</t>
  </si>
  <si>
    <t>31704812</t>
  </si>
  <si>
    <t>МУП "Новоилимское КХ"</t>
  </si>
  <si>
    <t>3804118907</t>
  </si>
  <si>
    <t>23-06-2023 00:00:00</t>
  </si>
  <si>
    <t>31253256</t>
  </si>
  <si>
    <t>МУП "Покосное"</t>
  </si>
  <si>
    <t>3805732958</t>
  </si>
  <si>
    <t>17-07-2018 00:00:00</t>
  </si>
  <si>
    <t>30858357</t>
  </si>
  <si>
    <t>МУП "Прометей"</t>
  </si>
  <si>
    <t>3847000924</t>
  </si>
  <si>
    <t>384701001</t>
  </si>
  <si>
    <t>14-05-2014 00:00:00</t>
  </si>
  <si>
    <t>27-01-2023 00:00:00</t>
  </si>
  <si>
    <t>31656509</t>
  </si>
  <si>
    <t>МУП "РСО Зяба"</t>
  </si>
  <si>
    <t>3804117244</t>
  </si>
  <si>
    <t>28-09-2022 00:00:00</t>
  </si>
  <si>
    <t>31041730</t>
  </si>
  <si>
    <t>МУП "Районное коммунальное управление"</t>
  </si>
  <si>
    <t>3805731337</t>
  </si>
  <si>
    <t>22-06-2017 00:00:00</t>
  </si>
  <si>
    <t>27-06-2023 00:00:00</t>
  </si>
  <si>
    <t>31399441</t>
  </si>
  <si>
    <t>МУП "Районные коммунальные системы"</t>
  </si>
  <si>
    <t>3805734289</t>
  </si>
  <si>
    <t>30-07-2019 00:00:00</t>
  </si>
  <si>
    <t>31527550</t>
  </si>
  <si>
    <t>МУП "Ресурс"</t>
  </si>
  <si>
    <t>3805735814</t>
  </si>
  <si>
    <t>23-12-2020 00:00:00</t>
  </si>
  <si>
    <t>31210868</t>
  </si>
  <si>
    <t>МУП "Ресурсы"</t>
  </si>
  <si>
    <t>3814037580</t>
  </si>
  <si>
    <t>01-10-2018 00:00:00</t>
  </si>
  <si>
    <t>26812932</t>
  </si>
  <si>
    <t>МУП "Росинка"</t>
  </si>
  <si>
    <t>3814016213</t>
  </si>
  <si>
    <t>29-11-2010 00:00:00</t>
  </si>
  <si>
    <t>26531411</t>
  </si>
  <si>
    <t>МУП "Саянское теплоэнергетическое предприятие"</t>
  </si>
  <si>
    <t>3814000090</t>
  </si>
  <si>
    <t>31477661</t>
  </si>
  <si>
    <t>МУП "Сервисный центр"</t>
  </si>
  <si>
    <t>3819019200</t>
  </si>
  <si>
    <t>26493505</t>
  </si>
  <si>
    <t>МУП "ТВС п.Перевоз"</t>
  </si>
  <si>
    <t>3802011958</t>
  </si>
  <si>
    <t>02-10-2008 00:00:00</t>
  </si>
  <si>
    <t>31206861</t>
  </si>
  <si>
    <t>МУП "ТЭК"</t>
  </si>
  <si>
    <t>3816030069</t>
  </si>
  <si>
    <t>01-08-2018 00:00:00</t>
  </si>
  <si>
    <t>31255076</t>
  </si>
  <si>
    <t>МУП "Тангуйские Коммунальные Услуги"</t>
  </si>
  <si>
    <t>3805733038</t>
  </si>
  <si>
    <t>26356490</t>
  </si>
  <si>
    <t>МУП "Тепловодоканал"</t>
  </si>
  <si>
    <t>3802009268</t>
  </si>
  <si>
    <t>13-12-2002 00:00:00</t>
  </si>
  <si>
    <t>30360689</t>
  </si>
  <si>
    <t>МУП "Тепловодоцентраль"</t>
  </si>
  <si>
    <t>3802017156</t>
  </si>
  <si>
    <t>28-04-2015 00:00:00</t>
  </si>
  <si>
    <t>31392467</t>
  </si>
  <si>
    <t>МУП "Теплосервис города Черемхово"</t>
  </si>
  <si>
    <t>3851022906</t>
  </si>
  <si>
    <t>27-11-2018 00:00:00</t>
  </si>
  <si>
    <t>31640290</t>
  </si>
  <si>
    <t>МУП "Теплосервис"</t>
  </si>
  <si>
    <t>3804116995</t>
  </si>
  <si>
    <t>01-12-2022 00:00:00</t>
  </si>
  <si>
    <t>30412508</t>
  </si>
  <si>
    <t>МУП "Теплосервис" города Черемхово</t>
  </si>
  <si>
    <t>3851009334</t>
  </si>
  <si>
    <t>26381583</t>
  </si>
  <si>
    <t>МУП "Теплотехник"</t>
  </si>
  <si>
    <t>8501006590</t>
  </si>
  <si>
    <t>850101001</t>
  </si>
  <si>
    <t>30477728</t>
  </si>
  <si>
    <t>МУП "Удачный"</t>
  </si>
  <si>
    <t>3811042134</t>
  </si>
  <si>
    <t>381101001</t>
  </si>
  <si>
    <t>15-06-2015 00:00:00</t>
  </si>
  <si>
    <t>26356606</t>
  </si>
  <si>
    <t>МУП "Шелеховские отопительные котельные"</t>
  </si>
  <si>
    <t>3821004265</t>
  </si>
  <si>
    <t>09-02-2003 00:00:00</t>
  </si>
  <si>
    <t>26648875</t>
  </si>
  <si>
    <t>МУП "Шелеховские тепловые сети"</t>
  </si>
  <si>
    <t>3821009390</t>
  </si>
  <si>
    <t>25-04-2000 00:00:00</t>
  </si>
  <si>
    <t>30390730</t>
  </si>
  <si>
    <t>МУП "ЭЛЬБРУС"</t>
  </si>
  <si>
    <t>3851993288</t>
  </si>
  <si>
    <t>19-03-2014 00:00:00</t>
  </si>
  <si>
    <t>31709653</t>
  </si>
  <si>
    <t>МУП "ЯЖКХ"</t>
  </si>
  <si>
    <t>3804118939</t>
  </si>
  <si>
    <t>31225744</t>
  </si>
  <si>
    <t>3805733197</t>
  </si>
  <si>
    <t>11-09-2018 00:00:00</t>
  </si>
  <si>
    <t>28074201</t>
  </si>
  <si>
    <t>МУП АГО "Преобразование"</t>
  </si>
  <si>
    <t>3801083251</t>
  </si>
  <si>
    <t>08-06-2006 00:00:00</t>
  </si>
  <si>
    <t>06-10-2023 00:00:00</t>
  </si>
  <si>
    <t>28829030</t>
  </si>
  <si>
    <t>МУП АГО "Сфера"</t>
  </si>
  <si>
    <t>3801103878</t>
  </si>
  <si>
    <t>16-07-2009 00:00:00</t>
  </si>
  <si>
    <t>23-08-2023 00:00:00</t>
  </si>
  <si>
    <t>26372373</t>
  </si>
  <si>
    <t>МУП Ангарского городского округа "Ангарский Водоканал"</t>
  </si>
  <si>
    <t>3801006828</t>
  </si>
  <si>
    <t>12-05-1992 00:00:00</t>
  </si>
  <si>
    <t>31381940</t>
  </si>
  <si>
    <t>МУП ЖКХ "Березняки"</t>
  </si>
  <si>
    <t>3805734426</t>
  </si>
  <si>
    <t>11-09-2019 00:00:00</t>
  </si>
  <si>
    <t>31660346</t>
  </si>
  <si>
    <t>МУП ЖКХ "Коршуновский"</t>
  </si>
  <si>
    <t>3804117090</t>
  </si>
  <si>
    <t>27-02-2023 00:00:00</t>
  </si>
  <si>
    <t>31653316</t>
  </si>
  <si>
    <t>МУП ЖКХ "Речушка"</t>
  </si>
  <si>
    <t>3804117117</t>
  </si>
  <si>
    <t>07-09-2022 00:00:00</t>
  </si>
  <si>
    <t>31536045</t>
  </si>
  <si>
    <t>МУП МО "Усть-Илимский район"</t>
  </si>
  <si>
    <t>3817049545</t>
  </si>
  <si>
    <t>26-09-2018 00:00:00</t>
  </si>
  <si>
    <t>26447754</t>
  </si>
  <si>
    <t>МУП УК "Коммунальные услуги"</t>
  </si>
  <si>
    <t>3834009920</t>
  </si>
  <si>
    <t>14-07-2004 00:00:00</t>
  </si>
  <si>
    <t>28072605</t>
  </si>
  <si>
    <t>МУСХП "Центральное"</t>
  </si>
  <si>
    <t>3816006186</t>
  </si>
  <si>
    <t>30478884</t>
  </si>
  <si>
    <t>Муниципально унитарное предприятие  "Управляющая компания Спектр"</t>
  </si>
  <si>
    <t>3805728694</t>
  </si>
  <si>
    <t>27880204</t>
  </si>
  <si>
    <t>Муниципальное унитарное предприятие "ТеплоЭнергоСервис г. Иркутска"</t>
  </si>
  <si>
    <t>3810033722</t>
  </si>
  <si>
    <t>03-09-2003 00:00:00</t>
  </si>
  <si>
    <t>26505381</t>
  </si>
  <si>
    <t>ОАО "Байкальский целлюлозно-бумажный комбинат"</t>
  </si>
  <si>
    <t>3837049102</t>
  </si>
  <si>
    <t>383701001</t>
  </si>
  <si>
    <t>09-12-1992 00:00:00</t>
  </si>
  <si>
    <t>28485294</t>
  </si>
  <si>
    <t>ОАО "Вагонная ремонтная компания-3"</t>
  </si>
  <si>
    <t>7708737500</t>
  </si>
  <si>
    <t>381445001</t>
  </si>
  <si>
    <t>26510566</t>
  </si>
  <si>
    <t>ОАО "ИЭСК"</t>
  </si>
  <si>
    <t>3812122706</t>
  </si>
  <si>
    <t>775050001</t>
  </si>
  <si>
    <t>30-06-2009 00:00:00</t>
  </si>
  <si>
    <t>26640106</t>
  </si>
  <si>
    <t>ОАО "Облжилкомхоз"</t>
  </si>
  <si>
    <t>3808133575</t>
  </si>
  <si>
    <t>09-02-2006 00:00:00</t>
  </si>
  <si>
    <t>27604287</t>
  </si>
  <si>
    <t>ОАО "Первенец"</t>
  </si>
  <si>
    <t>3802008546</t>
  </si>
  <si>
    <t>04-06-2001 00:00:00</t>
  </si>
  <si>
    <t>26372385</t>
  </si>
  <si>
    <t>ОАО "Санаторий Братское взморье"</t>
  </si>
  <si>
    <t>3805100973</t>
  </si>
  <si>
    <t>28-08-1993 00:00:00</t>
  </si>
  <si>
    <t>26505355</t>
  </si>
  <si>
    <t>ОАО "Тыретский солерудник"</t>
  </si>
  <si>
    <t>3814011769</t>
  </si>
  <si>
    <t>05-02-2007 00:00:00</t>
  </si>
  <si>
    <t>26510614</t>
  </si>
  <si>
    <t>ОАО «Дорожная служба Иркутской области»</t>
  </si>
  <si>
    <t>3808166080</t>
  </si>
  <si>
    <t>380602001</t>
  </si>
  <si>
    <t>04-04-2007 00:00:00</t>
  </si>
  <si>
    <t>26356510</t>
  </si>
  <si>
    <t>ОАО Мясокомбинат "Иркутский "</t>
  </si>
  <si>
    <t>3807000999</t>
  </si>
  <si>
    <t>16-11-1992 00:00:00</t>
  </si>
  <si>
    <t>10-07-2023 00:00:00</t>
  </si>
  <si>
    <t>28875208</t>
  </si>
  <si>
    <t>ОГБОУ СПО "Тулунский аграрный техникум"</t>
  </si>
  <si>
    <t>3816004301</t>
  </si>
  <si>
    <t>26541080</t>
  </si>
  <si>
    <t>ОГБОУ СПО "Усольский аграрно-промышленный техникум"</t>
  </si>
  <si>
    <t>3840004091</t>
  </si>
  <si>
    <t>27-06-1994 00:00:00</t>
  </si>
  <si>
    <t>26356630</t>
  </si>
  <si>
    <t>ОГБУСО "Заларинский специальный дом - интернат для престарелых и инвалидов"</t>
  </si>
  <si>
    <t>3825001498</t>
  </si>
  <si>
    <t>01-10-2010 00:00:00</t>
  </si>
  <si>
    <t>30799521</t>
  </si>
  <si>
    <t>ОГБУСО "Ново-Ленинский дом-интернат для престарелых и инвалидов"</t>
  </si>
  <si>
    <t>3810016741</t>
  </si>
  <si>
    <t>16-06-2016 00:00:00</t>
  </si>
  <si>
    <t>26652552</t>
  </si>
  <si>
    <t>ОГБУСО "Пуляевский психоневрологический интернат"</t>
  </si>
  <si>
    <t>3838001696</t>
  </si>
  <si>
    <t>383801001</t>
  </si>
  <si>
    <t>23-12-1993 00:00:00</t>
  </si>
  <si>
    <t>26505314</t>
  </si>
  <si>
    <t>ОГУЭП "Облкоммунэнерго"</t>
  </si>
  <si>
    <t>3800000252</t>
  </si>
  <si>
    <t>25-05-1992 00:00:00</t>
  </si>
  <si>
    <t>26356478</t>
  </si>
  <si>
    <t>850601001</t>
  </si>
  <si>
    <t>30365354</t>
  </si>
  <si>
    <t>ООО  "Западный филиал"</t>
  </si>
  <si>
    <t>3816022124</t>
  </si>
  <si>
    <t>01-07-2015 00:00:00</t>
  </si>
  <si>
    <t>26755262</t>
  </si>
  <si>
    <t>ООО " УК "Сельтеплосети"</t>
  </si>
  <si>
    <t>3831003736</t>
  </si>
  <si>
    <t>383101001</t>
  </si>
  <si>
    <t>17-11-2004 00:00:00</t>
  </si>
  <si>
    <t>30941947</t>
  </si>
  <si>
    <t>ООО "АТК"</t>
  </si>
  <si>
    <t>3804999236</t>
  </si>
  <si>
    <t>27576871</t>
  </si>
  <si>
    <t>ООО "АЯН"</t>
  </si>
  <si>
    <t>3816012951</t>
  </si>
  <si>
    <t>22-09-2011 00:00:00</t>
  </si>
  <si>
    <t>16-03-2023 00:00:00</t>
  </si>
  <si>
    <t>31445540</t>
  </si>
  <si>
    <t>ООО "Акваресурс"</t>
  </si>
  <si>
    <t>3816031094</t>
  </si>
  <si>
    <t>21-04-2020 00:00:00</t>
  </si>
  <si>
    <t>31423652</t>
  </si>
  <si>
    <t>ООО "Акватроника"</t>
  </si>
  <si>
    <t>3814039122</t>
  </si>
  <si>
    <t>20-01-2020 00:00:00</t>
  </si>
  <si>
    <t>26510575</t>
  </si>
  <si>
    <t>ООО "АктивЭнерго"</t>
  </si>
  <si>
    <t>3808159809</t>
  </si>
  <si>
    <t>23-11-2007 00:00:00</t>
  </si>
  <si>
    <t>26579902</t>
  </si>
  <si>
    <t>ООО "Алексеевская РЭБ флота"</t>
  </si>
  <si>
    <t>3831004480</t>
  </si>
  <si>
    <t>10-06-2010 00:00:00</t>
  </si>
  <si>
    <t>27575096</t>
  </si>
  <si>
    <t>ООО "Аэропорт "Киренск"</t>
  </si>
  <si>
    <t>3811135205</t>
  </si>
  <si>
    <t>14-12-2009 00:00:00</t>
  </si>
  <si>
    <t>31191071</t>
  </si>
  <si>
    <t>ООО "Бадарма"</t>
  </si>
  <si>
    <t>3817048894</t>
  </si>
  <si>
    <t>31417272</t>
  </si>
  <si>
    <t>ООО "Байкальская энергетическая компания"</t>
  </si>
  <si>
    <t>3808229774</t>
  </si>
  <si>
    <t>27-05-2013 00:00:00</t>
  </si>
  <si>
    <t>31387709</t>
  </si>
  <si>
    <t>ООО "Байкальское коммунальное предприятие"</t>
  </si>
  <si>
    <t>3810079692</t>
  </si>
  <si>
    <t>19-04-2019 00:00:00</t>
  </si>
  <si>
    <t>31256338</t>
  </si>
  <si>
    <t>ООО "Барс"</t>
  </si>
  <si>
    <t>3814023355</t>
  </si>
  <si>
    <t>22-05-2015 00:00:00</t>
  </si>
  <si>
    <t>26755119</t>
  </si>
  <si>
    <t>ООО "Бирюса+"</t>
  </si>
  <si>
    <t>3818012883</t>
  </si>
  <si>
    <t>29-06-2009 00:00:00</t>
  </si>
  <si>
    <t>31680679</t>
  </si>
  <si>
    <t>ООО "Вихоревское коммунальное управление"</t>
  </si>
  <si>
    <t>3849037616</t>
  </si>
  <si>
    <t>19-08-2014 00:00:00</t>
  </si>
  <si>
    <t>27325728</t>
  </si>
  <si>
    <t>ООО "Водоканал"</t>
  </si>
  <si>
    <t>3806002320</t>
  </si>
  <si>
    <t>31-08-2005 00:00:00</t>
  </si>
  <si>
    <t>30842597</t>
  </si>
  <si>
    <t>ООО "Водолей Профи"</t>
  </si>
  <si>
    <t>3849058479</t>
  </si>
  <si>
    <t>14-04-2016 00:00:00</t>
  </si>
  <si>
    <t>28275026</t>
  </si>
  <si>
    <t>ООО "ГАЗОМАРКЕТ"</t>
  </si>
  <si>
    <t>3827033431</t>
  </si>
  <si>
    <t>02-10-2009 00:00:00</t>
  </si>
  <si>
    <t>31222472</t>
  </si>
  <si>
    <t>ООО "ДАГАЗ"</t>
  </si>
  <si>
    <t>3811456054</t>
  </si>
  <si>
    <t>11-07-2018 00:00:00</t>
  </si>
  <si>
    <t>31670559</t>
  </si>
  <si>
    <t>ООО "Добро"</t>
  </si>
  <si>
    <t>3804116681</t>
  </si>
  <si>
    <t>27-06-2022 00:00:00</t>
  </si>
  <si>
    <t>26356616</t>
  </si>
  <si>
    <t>ООО "ЖКХ Прибрежный"</t>
  </si>
  <si>
    <t>3823019330</t>
  </si>
  <si>
    <t>27-07-2006 00:00:00</t>
  </si>
  <si>
    <t>30812025</t>
  </si>
  <si>
    <t>ООО "ЖКХ"</t>
  </si>
  <si>
    <t>3849057531</t>
  </si>
  <si>
    <t>31090913</t>
  </si>
  <si>
    <t>3851019533</t>
  </si>
  <si>
    <t>27-04-2017 00:00:00</t>
  </si>
  <si>
    <t>31255094</t>
  </si>
  <si>
    <t>ООО "ЖКХ-2018"</t>
  </si>
  <si>
    <t>3817049538</t>
  </si>
  <si>
    <t>24-09-2018 00:00:00</t>
  </si>
  <si>
    <t>13-12-2023 00:00:00</t>
  </si>
  <si>
    <t>27439797</t>
  </si>
  <si>
    <t>ООО "ЖЭУ" Химки"</t>
  </si>
  <si>
    <t>3834011904</t>
  </si>
  <si>
    <t>02-06-2006 00:00:00</t>
  </si>
  <si>
    <t>11-12-2023 00:00:00</t>
  </si>
  <si>
    <t>30798461</t>
  </si>
  <si>
    <t>ООО "Зиминская СПМК</t>
  </si>
  <si>
    <t>3814013967</t>
  </si>
  <si>
    <t>381401100</t>
  </si>
  <si>
    <t>21-05-2016 00:00:00</t>
  </si>
  <si>
    <t>08-12-2023 00:00:00</t>
  </si>
  <si>
    <t>31415076</t>
  </si>
  <si>
    <t>ООО "ИТСК"</t>
  </si>
  <si>
    <t>3812525832</t>
  </si>
  <si>
    <t>381201001</t>
  </si>
  <si>
    <t>12-12-2018 00:00:00</t>
  </si>
  <si>
    <t>31237417</t>
  </si>
  <si>
    <t>ООО "ИнвестЭнерго"</t>
  </si>
  <si>
    <t>3818048777</t>
  </si>
  <si>
    <t>30-05-2018 00:00:00</t>
  </si>
  <si>
    <t>26510599</t>
  </si>
  <si>
    <t>ООО "Иркутская Энергосбытовая компания"</t>
  </si>
  <si>
    <t>3808166404</t>
  </si>
  <si>
    <t>26356515</t>
  </si>
  <si>
    <t>ООО "Иркутский промкомбинат Облпотребсоюза"</t>
  </si>
  <si>
    <t>3808054066</t>
  </si>
  <si>
    <t>16-06-1999 00:00:00</t>
  </si>
  <si>
    <t>31057141</t>
  </si>
  <si>
    <t>ООО "ККС"</t>
  </si>
  <si>
    <t>3811451955</t>
  </si>
  <si>
    <t>27-12-2017 00:00:00</t>
  </si>
  <si>
    <t>31552090</t>
  </si>
  <si>
    <t>ООО "КМК Биоресурс"</t>
  </si>
  <si>
    <t>3818051530</t>
  </si>
  <si>
    <t>24-08-2021 00:00:00</t>
  </si>
  <si>
    <t>30799512</t>
  </si>
  <si>
    <t>ООО "КМК-Энерго"</t>
  </si>
  <si>
    <t>3811433321</t>
  </si>
  <si>
    <t>30857962</t>
  </si>
  <si>
    <t>ООО "КТ-РЕСУРС"</t>
  </si>
  <si>
    <t>3808195620</t>
  </si>
  <si>
    <t>28855799</t>
  </si>
  <si>
    <t>ООО "КиренскТеплоРесурс"</t>
  </si>
  <si>
    <t>3818029213</t>
  </si>
  <si>
    <t>27666486</t>
  </si>
  <si>
    <t>ООО "Кобляковское"</t>
  </si>
  <si>
    <t>3823034064</t>
  </si>
  <si>
    <t>02-08-2011 00:00:00</t>
  </si>
  <si>
    <t>31544095</t>
  </si>
  <si>
    <t>ООО "Коммунальные системы города Тулуна"</t>
  </si>
  <si>
    <t>3816028260</t>
  </si>
  <si>
    <t>27-03-2017 00:00:00</t>
  </si>
  <si>
    <t>26356522</t>
  </si>
  <si>
    <t>ООО "Компания Востсибуголь" "Разрез "Тулунуголь"</t>
  </si>
  <si>
    <t>3808069986</t>
  </si>
  <si>
    <t>381643001</t>
  </si>
  <si>
    <t>24-12-2009 00:00:00</t>
  </si>
  <si>
    <t>31206546</t>
  </si>
  <si>
    <t>ООО "Комплекс коммунальных систем"</t>
  </si>
  <si>
    <t>3810075070</t>
  </si>
  <si>
    <t>27-04-2018 00:00:00</t>
  </si>
  <si>
    <t>31468654</t>
  </si>
  <si>
    <t>ООО "Комфорт"</t>
  </si>
  <si>
    <t>3805735420</t>
  </si>
  <si>
    <t>08-08-2020 00:00:00</t>
  </si>
  <si>
    <t>31380707</t>
  </si>
  <si>
    <t>ООО "Комфорт-Сити"</t>
  </si>
  <si>
    <t>3814038721</t>
  </si>
  <si>
    <t>01-01-2020 00:00:00</t>
  </si>
  <si>
    <t>30870364</t>
  </si>
  <si>
    <t>ООО "Кровтэкс"</t>
  </si>
  <si>
    <t>2452026311</t>
  </si>
  <si>
    <t>245201001</t>
  </si>
  <si>
    <t>20-10-2023 00:00:00</t>
  </si>
  <si>
    <t>31475437</t>
  </si>
  <si>
    <t>ООО "Куйтунское ЖКХ"</t>
  </si>
  <si>
    <t>3814038591</t>
  </si>
  <si>
    <t>20-03-2020 00:00:00</t>
  </si>
  <si>
    <t>31459511</t>
  </si>
  <si>
    <t>ООО "Ленатеплоинвест"</t>
  </si>
  <si>
    <t>3818043176</t>
  </si>
  <si>
    <t>21-07-2015 00:00:00</t>
  </si>
  <si>
    <t>28456111</t>
  </si>
  <si>
    <t>ООО "Ленская тепловая компания"</t>
  </si>
  <si>
    <t>3811170496</t>
  </si>
  <si>
    <t>12-08-2013 00:00:00</t>
  </si>
  <si>
    <t>26541751</t>
  </si>
  <si>
    <t>ООО "Лесогорская Котельная"</t>
  </si>
  <si>
    <t>3815014586</t>
  </si>
  <si>
    <t>27576895</t>
  </si>
  <si>
    <t>ООО "Лессиб"</t>
  </si>
  <si>
    <t>3827022207</t>
  </si>
  <si>
    <t>06-06-2006 00:00:00</t>
  </si>
  <si>
    <t>26647667</t>
  </si>
  <si>
    <t>ООО "МАЯК"</t>
  </si>
  <si>
    <t>3815015660</t>
  </si>
  <si>
    <t>25-05-2010 00:00:00</t>
  </si>
  <si>
    <t>31100256</t>
  </si>
  <si>
    <t>ООО "МБА-Теплоэнерго"</t>
  </si>
  <si>
    <t>3814034685</t>
  </si>
  <si>
    <t>28982002</t>
  </si>
  <si>
    <t>ООО "МКС"</t>
  </si>
  <si>
    <t>3811008870</t>
  </si>
  <si>
    <t>09-02-2023 00:00:00</t>
  </si>
  <si>
    <t>30432000</t>
  </si>
  <si>
    <t>ООО "МПКК"</t>
  </si>
  <si>
    <t>3802017195</t>
  </si>
  <si>
    <t>24-06-2015 00:00:00</t>
  </si>
  <si>
    <t>28891155</t>
  </si>
  <si>
    <t>ООО "Мегаполис"</t>
  </si>
  <si>
    <t>3801105265</t>
  </si>
  <si>
    <t>30838049</t>
  </si>
  <si>
    <t>ООО "Надежда"</t>
  </si>
  <si>
    <t>3808194539</t>
  </si>
  <si>
    <t>07-04-2016 00:00:00</t>
  </si>
  <si>
    <t>31710687</t>
  </si>
  <si>
    <t>ООО "Невонское РСО"</t>
  </si>
  <si>
    <t>3804119026</t>
  </si>
  <si>
    <t>11-07-2023 00:00:00</t>
  </si>
  <si>
    <t>28504015</t>
  </si>
  <si>
    <t>ООО "Нижнеудинское коммунальное управление"</t>
  </si>
  <si>
    <t>3816016378</t>
  </si>
  <si>
    <t>14-11-2013 00:00:00</t>
  </si>
  <si>
    <t>31330016</t>
  </si>
  <si>
    <t>ООО "ОВУК"</t>
  </si>
  <si>
    <t>3847000762</t>
  </si>
  <si>
    <t>04-12-2013 00:00:00</t>
  </si>
  <si>
    <t>27544180</t>
  </si>
  <si>
    <t>ООО "ОКТАН Восток Генерация"</t>
  </si>
  <si>
    <t>3812127623</t>
  </si>
  <si>
    <t>07-05-2010 00:00:00</t>
  </si>
  <si>
    <t>30858627</t>
  </si>
  <si>
    <t>ООО "ОКХ"</t>
  </si>
  <si>
    <t>3811437750</t>
  </si>
  <si>
    <t>26-08-2016 00:00:00</t>
  </si>
  <si>
    <t>31656207</t>
  </si>
  <si>
    <t>ООО "Озерный"</t>
  </si>
  <si>
    <t>3804116360</t>
  </si>
  <si>
    <t>21-04-2022 00:00:00</t>
  </si>
  <si>
    <t>29648317</t>
  </si>
  <si>
    <t>ООО "Окружные коммунальные системы"</t>
  </si>
  <si>
    <t>3849036789</t>
  </si>
  <si>
    <t>23-06-2014 00:00:00</t>
  </si>
  <si>
    <t>31245038</t>
  </si>
  <si>
    <t>ООО "ПБТР"</t>
  </si>
  <si>
    <t>3805731827</t>
  </si>
  <si>
    <t>29-01-2018 00:00:00</t>
  </si>
  <si>
    <t>31545268</t>
  </si>
  <si>
    <t>ООО "ПКХ"</t>
  </si>
  <si>
    <t>3805736575</t>
  </si>
  <si>
    <t>03-09-2021 00:00:00</t>
  </si>
  <si>
    <t>31711765</t>
  </si>
  <si>
    <t>ООО "ПРК"</t>
  </si>
  <si>
    <t>3808283789</t>
  </si>
  <si>
    <t>11-08-2023 00:00:00</t>
  </si>
  <si>
    <t>31464006</t>
  </si>
  <si>
    <t>ООО "Парабель-2020"</t>
  </si>
  <si>
    <t>3817050396</t>
  </si>
  <si>
    <t>30-01-2020 00:00:00</t>
  </si>
  <si>
    <t>26535952</t>
  </si>
  <si>
    <t>ООО "Парус"</t>
  </si>
  <si>
    <t>3804021655</t>
  </si>
  <si>
    <t>05-07-1999 00:00:00</t>
  </si>
  <si>
    <t>26768105</t>
  </si>
  <si>
    <t>ООО "Пионерский ЛПХ"</t>
  </si>
  <si>
    <t>3844004222</t>
  </si>
  <si>
    <t>26-03-2001 00:00:00</t>
  </si>
  <si>
    <t>31064806</t>
  </si>
  <si>
    <t>ООО "РГК"</t>
  </si>
  <si>
    <t>3805731979</t>
  </si>
  <si>
    <t>23-11-2017 00:00:00</t>
  </si>
  <si>
    <t>31423809</t>
  </si>
  <si>
    <t>ООО "РОСТ"</t>
  </si>
  <si>
    <t>3817050036</t>
  </si>
  <si>
    <t>03-06-2019 00:00:00</t>
  </si>
  <si>
    <t>31023716</t>
  </si>
  <si>
    <t>ООО "Ресурс"</t>
  </si>
  <si>
    <t>3817048196</t>
  </si>
  <si>
    <t>21-04-2017 00:00:00</t>
  </si>
  <si>
    <t>03-02-2023 00:00:00</t>
  </si>
  <si>
    <t>31506961</t>
  </si>
  <si>
    <t>3816032690</t>
  </si>
  <si>
    <t>09-02-2021 00:00:00</t>
  </si>
  <si>
    <t>27545725</t>
  </si>
  <si>
    <t>3834015560</t>
  </si>
  <si>
    <t>29-06-2011 00:00:00</t>
  </si>
  <si>
    <t>31617059</t>
  </si>
  <si>
    <t>ООО "СИБТЕХИНВЕСТ"</t>
  </si>
  <si>
    <t>3808153684</t>
  </si>
  <si>
    <t>08-04-2021 00:00:00</t>
  </si>
  <si>
    <t>28046239</t>
  </si>
  <si>
    <t>ООО "СП СЭЛ-Тайрику"</t>
  </si>
  <si>
    <t>3808095143</t>
  </si>
  <si>
    <t>29-08-2003 00:00:00</t>
  </si>
  <si>
    <t>31-08-2023 00:00:00</t>
  </si>
  <si>
    <t>30845338</t>
  </si>
  <si>
    <t>ООО "СТЭК"</t>
  </si>
  <si>
    <t>3808195596</t>
  </si>
  <si>
    <t>28-06-2016 00:00:00</t>
  </si>
  <si>
    <t>30983949</t>
  </si>
  <si>
    <t>ООО "СТЭК-М"</t>
  </si>
  <si>
    <t>3808199819</t>
  </si>
  <si>
    <t>12-05-2017 00:00:00</t>
  </si>
  <si>
    <t>26372459</t>
  </si>
  <si>
    <t>ООО "Светлана"</t>
  </si>
  <si>
    <t>3823017502</t>
  </si>
  <si>
    <t>07-07-2005 00:00:00</t>
  </si>
  <si>
    <t>31402917</t>
  </si>
  <si>
    <t>ООО "Сервис Плюс"</t>
  </si>
  <si>
    <t>3816028172</t>
  </si>
  <si>
    <t>21-02-2017 00:00:00</t>
  </si>
  <si>
    <t>30359920</t>
  </si>
  <si>
    <t>ООО "Сервис"</t>
  </si>
  <si>
    <t>3808189673</t>
  </si>
  <si>
    <t>21-04-2015 00:00:00</t>
  </si>
  <si>
    <t>26372405</t>
  </si>
  <si>
    <t>ООО "Сетевая компания "Иркут"</t>
  </si>
  <si>
    <t>3810035487</t>
  </si>
  <si>
    <t>28-05-2004 00:00:00</t>
  </si>
  <si>
    <t>30380951</t>
  </si>
  <si>
    <t>ООО "Сетевая компания Селенит"</t>
  </si>
  <si>
    <t>3808237782</t>
  </si>
  <si>
    <t>07-08-2014 00:00:00</t>
  </si>
  <si>
    <t>27573731</t>
  </si>
  <si>
    <t>ООО "СибТеплоСервис"</t>
  </si>
  <si>
    <t>3814016950</t>
  </si>
  <si>
    <t>14-01-2011 00:00:00</t>
  </si>
  <si>
    <t>30354079</t>
  </si>
  <si>
    <t>ООО "Слюдянское"</t>
  </si>
  <si>
    <t>3810058290</t>
  </si>
  <si>
    <t>26-05-2015 00:00:00</t>
  </si>
  <si>
    <t>31552100</t>
  </si>
  <si>
    <t>ООО "Спецстрой"</t>
  </si>
  <si>
    <t>3811468726</t>
  </si>
  <si>
    <t>10-04-2021 00:00:00</t>
  </si>
  <si>
    <t>30943447</t>
  </si>
  <si>
    <t>ООО "Стройматериалы"</t>
  </si>
  <si>
    <t>3810035864</t>
  </si>
  <si>
    <t>22-08-2017 00:00:00</t>
  </si>
  <si>
    <t>31596276</t>
  </si>
  <si>
    <t>ООО "ТЕПЛОВЫЕ СЕТИ"</t>
  </si>
  <si>
    <t>3812988069</t>
  </si>
  <si>
    <t>10-05-2022 00:00:00</t>
  </si>
  <si>
    <t>28903352</t>
  </si>
  <si>
    <t>ООО "ТЕПЛОСЕРВИС"</t>
  </si>
  <si>
    <t>3834016606</t>
  </si>
  <si>
    <t>25-06-2014 00:00:00</t>
  </si>
  <si>
    <t>31358956</t>
  </si>
  <si>
    <t>ООО "ТСК Ольхон"</t>
  </si>
  <si>
    <t>3836005141</t>
  </si>
  <si>
    <t>14-11-2019 00:00:00</t>
  </si>
  <si>
    <t>30867640</t>
  </si>
  <si>
    <t>ООО "ТЭТК"</t>
  </si>
  <si>
    <t>3851017487</t>
  </si>
  <si>
    <t>04-05-2016 00:00:00</t>
  </si>
  <si>
    <t>26448165</t>
  </si>
  <si>
    <t>ООО "Тайга"</t>
  </si>
  <si>
    <t>3835040584</t>
  </si>
  <si>
    <t>383501001</t>
  </si>
  <si>
    <t>11-11-2002 00:00:00</t>
  </si>
  <si>
    <t>31632078</t>
  </si>
  <si>
    <t>ООО "Тепло Невон"</t>
  </si>
  <si>
    <t>3804115550</t>
  </si>
  <si>
    <t>24-11-2021 00:00:00</t>
  </si>
  <si>
    <t>31460336</t>
  </si>
  <si>
    <t>ООО "Тепло плюс"</t>
  </si>
  <si>
    <t>3817049707</t>
  </si>
  <si>
    <t>27868957</t>
  </si>
  <si>
    <t>ООО "ТеплоВодоРесурс"</t>
  </si>
  <si>
    <t>3802013391</t>
  </si>
  <si>
    <t>27-04-2012 00:00:00</t>
  </si>
  <si>
    <t>31357240</t>
  </si>
  <si>
    <t>ООО "ТеплоРесурс"</t>
  </si>
  <si>
    <t>3849064183</t>
  </si>
  <si>
    <t>31359348</t>
  </si>
  <si>
    <t>ООО "ТеплоСервис"</t>
  </si>
  <si>
    <t>3816031263</t>
  </si>
  <si>
    <t>22-11-2019 00:00:00</t>
  </si>
  <si>
    <t>28878932</t>
  </si>
  <si>
    <t>ООО "ТеплоСнаб"</t>
  </si>
  <si>
    <t>3847000610</t>
  </si>
  <si>
    <t>30990003</t>
  </si>
  <si>
    <t>ООО "Тепловик +"</t>
  </si>
  <si>
    <t>3827054209</t>
  </si>
  <si>
    <t>17-07-2017 00:00:00</t>
  </si>
  <si>
    <t>26356507</t>
  </si>
  <si>
    <t>ООО "Тепловик"</t>
  </si>
  <si>
    <t>3806002376</t>
  </si>
  <si>
    <t>01-01-2005 00:00:00</t>
  </si>
  <si>
    <t>30857863</t>
  </si>
  <si>
    <t>3814031772</t>
  </si>
  <si>
    <t>31237450</t>
  </si>
  <si>
    <t>ООО "Тепловодснаб"</t>
  </si>
  <si>
    <t>3818048287</t>
  </si>
  <si>
    <t>21-09-2017 00:00:00</t>
  </si>
  <si>
    <t>30417751</t>
  </si>
  <si>
    <t>ООО "Тепловые сети"</t>
  </si>
  <si>
    <t>2452040490</t>
  </si>
  <si>
    <t>380545001</t>
  </si>
  <si>
    <t>15-10-2015 00:00:00</t>
  </si>
  <si>
    <t>26353589</t>
  </si>
  <si>
    <t>3820011982</t>
  </si>
  <si>
    <t>18-01-2007 00:00:00</t>
  </si>
  <si>
    <t>30857845</t>
  </si>
  <si>
    <t>ООО "Теплоисток"</t>
  </si>
  <si>
    <t>3805729899</t>
  </si>
  <si>
    <t>31472334</t>
  </si>
  <si>
    <t>ООО "Теплоком"</t>
  </si>
  <si>
    <t>3805735540</t>
  </si>
  <si>
    <t>30-10-2020 00:00:00</t>
  </si>
  <si>
    <t>26510847</t>
  </si>
  <si>
    <t>ООО "Тепломонтаж-С"</t>
  </si>
  <si>
    <t>3816010263</t>
  </si>
  <si>
    <t>28-01-2009 00:00:00</t>
  </si>
  <si>
    <t>31298393</t>
  </si>
  <si>
    <t>ООО "Теплосервис"</t>
  </si>
  <si>
    <t>3814037622</t>
  </si>
  <si>
    <t>13-09-2018 00:00:00</t>
  </si>
  <si>
    <t>27630270</t>
  </si>
  <si>
    <t>3816007359</t>
  </si>
  <si>
    <t>07-04-2005 00:00:00</t>
  </si>
  <si>
    <t>28074647</t>
  </si>
  <si>
    <t>3816013881</t>
  </si>
  <si>
    <t>17-05-2012 00:00:00</t>
  </si>
  <si>
    <t>28821935</t>
  </si>
  <si>
    <t>3818025353</t>
  </si>
  <si>
    <t>30959177</t>
  </si>
  <si>
    <t>ООО "Теплоснабжение"</t>
  </si>
  <si>
    <t>3810070548</t>
  </si>
  <si>
    <t>28830472</t>
  </si>
  <si>
    <t>3810334342</t>
  </si>
  <si>
    <t>19-11-2013 00:00:00</t>
  </si>
  <si>
    <t>31689444</t>
  </si>
  <si>
    <t>3815013141</t>
  </si>
  <si>
    <t>05-02-2008 00:00:00</t>
  </si>
  <si>
    <t>30994863</t>
  </si>
  <si>
    <t>3818048061</t>
  </si>
  <si>
    <t>17-05-2017 00:00:00</t>
  </si>
  <si>
    <t>28485283</t>
  </si>
  <si>
    <t>ООО "Теплоэнерго"</t>
  </si>
  <si>
    <t>3851999353</t>
  </si>
  <si>
    <t>28871736</t>
  </si>
  <si>
    <t>ООО "ТрансТехРесурс"</t>
  </si>
  <si>
    <t>3816014476</t>
  </si>
  <si>
    <t>05-10-2012 00:00:00</t>
  </si>
  <si>
    <t>26836708</t>
  </si>
  <si>
    <t>ООО "Транснефть-Восток"</t>
  </si>
  <si>
    <t>3801079671</t>
  </si>
  <si>
    <t>31030680</t>
  </si>
  <si>
    <t>ООО "Тубинский"</t>
  </si>
  <si>
    <t>3817048573</t>
  </si>
  <si>
    <t>09-10-2017 00:00:00</t>
  </si>
  <si>
    <t>19-05-2023 00:00:00</t>
  </si>
  <si>
    <t>27522005</t>
  </si>
  <si>
    <t>ООО "Тыретские инженерные сети"</t>
  </si>
  <si>
    <t>3814016968</t>
  </si>
  <si>
    <t>15-06-2011 00:00:00</t>
  </si>
  <si>
    <t>26755257</t>
  </si>
  <si>
    <t>ООО "УК " Энергия"</t>
  </si>
  <si>
    <t>3831004169</t>
  </si>
  <si>
    <t>29-12-2005 00:00:00</t>
  </si>
  <si>
    <t>26356661</t>
  </si>
  <si>
    <t>ООО "УК "Тепло-Центр"</t>
  </si>
  <si>
    <t>3831000220</t>
  </si>
  <si>
    <t>24-07-2023 00:00:00</t>
  </si>
  <si>
    <t>26766132</t>
  </si>
  <si>
    <t>ООО "УК "Ушаковская"</t>
  </si>
  <si>
    <t>3827034065</t>
  </si>
  <si>
    <t>19-01-2010 00:00:00</t>
  </si>
  <si>
    <t>27438168</t>
  </si>
  <si>
    <t>ООО "УК ЖКХ Новоилимск"</t>
  </si>
  <si>
    <t>3834015458</t>
  </si>
  <si>
    <t>31225695</t>
  </si>
  <si>
    <t>ООО "УКС"</t>
  </si>
  <si>
    <t>3810062522</t>
  </si>
  <si>
    <t>18-02-2016 00:00:00</t>
  </si>
  <si>
    <t>31642225</t>
  </si>
  <si>
    <t>ООО "Удача"</t>
  </si>
  <si>
    <t>3805732108</t>
  </si>
  <si>
    <t>12-12-2017 00:00:00</t>
  </si>
  <si>
    <t>30904230</t>
  </si>
  <si>
    <t>ООО "Управление жилищно-коммунальными системами"</t>
  </si>
  <si>
    <t>3810064110</t>
  </si>
  <si>
    <t>13-05-2016 00:00:00</t>
  </si>
  <si>
    <t>26539706</t>
  </si>
  <si>
    <t>ООО "Управляющая компания "Жилищная инициатива"</t>
  </si>
  <si>
    <t>8501006671</t>
  </si>
  <si>
    <t>08-06-2007 00:00:00</t>
  </si>
  <si>
    <t>26356477</t>
  </si>
  <si>
    <t>ООО "Усть-Кутские тепловые сети и котельные"</t>
  </si>
  <si>
    <t>3818025152</t>
  </si>
  <si>
    <t>30-12-2008 00:00:00</t>
  </si>
  <si>
    <t>26555200</t>
  </si>
  <si>
    <t>ООО "Ушаковская"</t>
  </si>
  <si>
    <t>3827026265</t>
  </si>
  <si>
    <t>382704001</t>
  </si>
  <si>
    <t>24-10-2007 00:00:00</t>
  </si>
  <si>
    <t>31319473</t>
  </si>
  <si>
    <t>ООО "ФИНКОМ"</t>
  </si>
  <si>
    <t>3805732644</t>
  </si>
  <si>
    <t>03-04-2018 00:00:00</t>
  </si>
  <si>
    <t>31235244</t>
  </si>
  <si>
    <t>ООО "Факел"</t>
  </si>
  <si>
    <t>3851020017</t>
  </si>
  <si>
    <t>18-07-2017 00:00:00</t>
  </si>
  <si>
    <t>31552113</t>
  </si>
  <si>
    <t>ООО "Факел+"</t>
  </si>
  <si>
    <t>3851024460</t>
  </si>
  <si>
    <t>11-11-2019 00:00:00</t>
  </si>
  <si>
    <t>30907259</t>
  </si>
  <si>
    <t>ООО "ХОРС"</t>
  </si>
  <si>
    <t>3804999116</t>
  </si>
  <si>
    <t>20-04-2017 00:00:00</t>
  </si>
  <si>
    <t>31508135</t>
  </si>
  <si>
    <t>ООО "Центр Обеспечения Ресурсами"</t>
  </si>
  <si>
    <t>3817051047</t>
  </si>
  <si>
    <t>26-03-2021 00:00:00</t>
  </si>
  <si>
    <t>27113700</t>
  </si>
  <si>
    <t>ООО "Централизованная Энергоремонтная фирма"</t>
  </si>
  <si>
    <t>3827016115</t>
  </si>
  <si>
    <t>19-05-2003 00:00:00</t>
  </si>
  <si>
    <t>26648801</t>
  </si>
  <si>
    <t>ООО "Центральная котельная"</t>
  </si>
  <si>
    <t>3808092150</t>
  </si>
  <si>
    <t>21-10-2010 00:00:00</t>
  </si>
  <si>
    <t>26353588</t>
  </si>
  <si>
    <t>3820012009</t>
  </si>
  <si>
    <t>22-01-2007 00:00:00</t>
  </si>
  <si>
    <t>30882285</t>
  </si>
  <si>
    <t>ООО "Чистые Ключи"</t>
  </si>
  <si>
    <t>3827051906</t>
  </si>
  <si>
    <t>16-08-2016 00:00:00</t>
  </si>
  <si>
    <t>28816300</t>
  </si>
  <si>
    <t>ООО "Чунская котельная"</t>
  </si>
  <si>
    <t>3816017036</t>
  </si>
  <si>
    <t>26-02-2014 00:00:00</t>
  </si>
  <si>
    <t>27576843</t>
  </si>
  <si>
    <t>ООО "Элит"</t>
  </si>
  <si>
    <t>3834015472</t>
  </si>
  <si>
    <t>19-04-2011 00:00:00</t>
  </si>
  <si>
    <t>30383827</t>
  </si>
  <si>
    <t>ООО "ЭнерПро"</t>
  </si>
  <si>
    <t>3801127981</t>
  </si>
  <si>
    <t>31671947</t>
  </si>
  <si>
    <t>ООО "Энергия Байкала"</t>
  </si>
  <si>
    <t>3849089100</t>
  </si>
  <si>
    <t>08-06-2022 00:00:00</t>
  </si>
  <si>
    <t>28083814</t>
  </si>
  <si>
    <t>ООО "Энергия"</t>
  </si>
  <si>
    <t>3818030498</t>
  </si>
  <si>
    <t>10-08-2012 00:00:00</t>
  </si>
  <si>
    <t>31362941</t>
  </si>
  <si>
    <t>ООО "Энергомонтажком"</t>
  </si>
  <si>
    <t>3814038432</t>
  </si>
  <si>
    <t>12-12-2019 00:00:00</t>
  </si>
  <si>
    <t>26372414</t>
  </si>
  <si>
    <t>ООО "Энергопром"</t>
  </si>
  <si>
    <t>3815012645</t>
  </si>
  <si>
    <t>26-09-2007 00:00:00</t>
  </si>
  <si>
    <t>28461970</t>
  </si>
  <si>
    <t>ООО "Энергосфера-Иркутск"</t>
  </si>
  <si>
    <t>3818031413</t>
  </si>
  <si>
    <t>10-06-2013 00:00:00</t>
  </si>
  <si>
    <t>28829498</t>
  </si>
  <si>
    <t>ООО "Южнобайкальское"</t>
  </si>
  <si>
    <t>3848006527</t>
  </si>
  <si>
    <t>384801001</t>
  </si>
  <si>
    <t>26510610</t>
  </si>
  <si>
    <t>ООО «Зиматеплоэнерго»</t>
  </si>
  <si>
    <t>3806002489</t>
  </si>
  <si>
    <t>14-12-2005 00:00:00</t>
  </si>
  <si>
    <t>31221189</t>
  </si>
  <si>
    <t>ООО «ТЕПЛОВАЯ КОМПАНИЯ»</t>
  </si>
  <si>
    <t>3808195483</t>
  </si>
  <si>
    <t>01-09-2018 00:00:00</t>
  </si>
  <si>
    <t>30380999</t>
  </si>
  <si>
    <t>ООО «УСОЛЬСКОЕ КОММУНАЛЬНОЕ УПРАВЛЕНИЕ»</t>
  </si>
  <si>
    <t>3851992774</t>
  </si>
  <si>
    <t>23-12-2013 00:00:00</t>
  </si>
  <si>
    <t>20-01-2023 00:00:00</t>
  </si>
  <si>
    <t>26531538</t>
  </si>
  <si>
    <t>ООО «Универсал Эко»</t>
  </si>
  <si>
    <t>3805701808</t>
  </si>
  <si>
    <t>04-02-2005 00:00:00</t>
  </si>
  <si>
    <t>25-07-2023 00:00:00</t>
  </si>
  <si>
    <t>26516959</t>
  </si>
  <si>
    <t>ООО «Электрические котельные»</t>
  </si>
  <si>
    <t>3834013193</t>
  </si>
  <si>
    <t>29-10-2007 00:00:00</t>
  </si>
  <si>
    <t>26531463</t>
  </si>
  <si>
    <t>ООО «Энергия»</t>
  </si>
  <si>
    <t>3806004292</t>
  </si>
  <si>
    <t>10-10-2006 00:00:00</t>
  </si>
  <si>
    <t>30381347</t>
  </si>
  <si>
    <t>ООО СК "Авангард"</t>
  </si>
  <si>
    <t>3812101248</t>
  </si>
  <si>
    <t>14-01-2008 00:00:00</t>
  </si>
  <si>
    <t>30857841</t>
  </si>
  <si>
    <t>ООО СК "Ресурс Транзит"</t>
  </si>
  <si>
    <t>3811434389</t>
  </si>
  <si>
    <t>29-08-2016 00:00:00</t>
  </si>
  <si>
    <t>31343910</t>
  </si>
  <si>
    <t>ООО ТК "БЕЛАЯ"</t>
  </si>
  <si>
    <t>3851019540</t>
  </si>
  <si>
    <t>28-04-2017 00:00:00</t>
  </si>
  <si>
    <t>30838088</t>
  </si>
  <si>
    <t>ООО ТК "Витим-Лес"</t>
  </si>
  <si>
    <t>3818046988</t>
  </si>
  <si>
    <t>29-03-2016 00:00:00</t>
  </si>
  <si>
    <t>31719332</t>
  </si>
  <si>
    <t>ООО ТК "ЛЕНСКАЯ ТЕПЛОВАЯ КОМПАНИЯ"</t>
  </si>
  <si>
    <t>3808283002</t>
  </si>
  <si>
    <t>26372435</t>
  </si>
  <si>
    <t>ООО УК"Бирюса"</t>
  </si>
  <si>
    <t>3818018652</t>
  </si>
  <si>
    <t>30389369</t>
  </si>
  <si>
    <t>ООО"МКС"</t>
  </si>
  <si>
    <t>29647046</t>
  </si>
  <si>
    <t>Общество с ограниченной ответственностью  «Качугские коммунальные системы»</t>
  </si>
  <si>
    <t>3812114060</t>
  </si>
  <si>
    <t>31486539</t>
  </si>
  <si>
    <t>Общество с ограниченной ответственностью "Максимовский карьер 2010"</t>
  </si>
  <si>
    <t>3849011671</t>
  </si>
  <si>
    <t>01-04-2021 00:00:00</t>
  </si>
  <si>
    <t>26781007</t>
  </si>
  <si>
    <t>ПАО "Иркутскэнерго"</t>
  </si>
  <si>
    <t>3800000220</t>
  </si>
  <si>
    <t>997450001</t>
  </si>
  <si>
    <t>28441333</t>
  </si>
  <si>
    <t>Ремонтно-механическое депо Алзамай - обособленное структурное подразделение Новосибирского филиала ОАО "ВРК-1"</t>
  </si>
  <si>
    <t>7708737490</t>
  </si>
  <si>
    <t>381645003</t>
  </si>
  <si>
    <t>СЛУЖБА ПО ТАРИФАМ ИРКУТСКОЙ ОБЛАСТИ</t>
  </si>
  <si>
    <t>3808023928</t>
  </si>
  <si>
    <t>30798455</t>
  </si>
  <si>
    <t>СПК "Луч"</t>
  </si>
  <si>
    <t>3844006420</t>
  </si>
  <si>
    <t>384401001</t>
  </si>
  <si>
    <t>21-06-2016 00:00:00</t>
  </si>
  <si>
    <t>26555738</t>
  </si>
  <si>
    <t>СПК"Тыретский"</t>
  </si>
  <si>
    <t>3825001032</t>
  </si>
  <si>
    <t>31687779</t>
  </si>
  <si>
    <t>СФНЦА РАН</t>
  </si>
  <si>
    <t>5433107641</t>
  </si>
  <si>
    <t>384943001</t>
  </si>
  <si>
    <t>19-06-2023 00:00:00</t>
  </si>
  <si>
    <t>27506927</t>
  </si>
  <si>
    <t>Усть-Ордынское МУП "Каскад"</t>
  </si>
  <si>
    <t>8506007453</t>
  </si>
  <si>
    <t>14-02-2011 00:00:00</t>
  </si>
  <si>
    <t>30958355</t>
  </si>
  <si>
    <t>ФБУ "Администрация Байкало-Ангарского бассейна внутренних водных путей"</t>
  </si>
  <si>
    <t>3808023910</t>
  </si>
  <si>
    <t>17-07-2015 00:00:00</t>
  </si>
  <si>
    <t>31633509</t>
  </si>
  <si>
    <t>ФГБНУ "Иркутский НИИСХ"</t>
  </si>
  <si>
    <t>3827000370</t>
  </si>
  <si>
    <t>10-04-1992 00:00:00</t>
  </si>
  <si>
    <t>05-06-2023 00:00:00</t>
  </si>
  <si>
    <t>26356553</t>
  </si>
  <si>
    <t>ФГБОУ ВОУ Иркутский ГАУ</t>
  </si>
  <si>
    <t>3811024304</t>
  </si>
  <si>
    <t>20-04-1994 00:00:00</t>
  </si>
  <si>
    <t>30946960</t>
  </si>
  <si>
    <t>ФГБУ "ЦЖКУ" Минобороны России</t>
  </si>
  <si>
    <t>7729314745</t>
  </si>
  <si>
    <t>381145002</t>
  </si>
  <si>
    <t>21-12-2002 00:00:00</t>
  </si>
  <si>
    <t>26354263</t>
  </si>
  <si>
    <t>ФГУ ЛБУВПиС</t>
  </si>
  <si>
    <t>1435033691</t>
  </si>
  <si>
    <t>382402001</t>
  </si>
  <si>
    <t>14-09-2005 00:00:00</t>
  </si>
  <si>
    <t>26375629</t>
  </si>
  <si>
    <t>ФГУП РТРС "Иркутский ОРТПЦ"</t>
  </si>
  <si>
    <t>7717127211</t>
  </si>
  <si>
    <t>380802002</t>
  </si>
  <si>
    <t>23-11-2001 00:00:00</t>
  </si>
  <si>
    <t>28070352</t>
  </si>
  <si>
    <t>ФКУ ИК-3 ГУФСИН по Иркутской области</t>
  </si>
  <si>
    <t>3808055711</t>
  </si>
  <si>
    <t>02-08-1999 00:00:00</t>
  </si>
  <si>
    <t>26356640</t>
  </si>
  <si>
    <t>ФКУ ИК-4 ГУФСИН России по Иркутской области</t>
  </si>
  <si>
    <t>3827000524</t>
  </si>
  <si>
    <t>25-07-2002 00:00:00</t>
  </si>
  <si>
    <t>26767600</t>
  </si>
  <si>
    <t>ФКУ ОИК-5 ГУФСИН России по Иркутской области</t>
  </si>
  <si>
    <t>3818000824</t>
  </si>
  <si>
    <t>27113703</t>
  </si>
  <si>
    <t>Филиал "Иркутское РНУ" ООО "Транснефть - Восток"</t>
  </si>
  <si>
    <t>380102001</t>
  </si>
  <si>
    <t>27576925</t>
  </si>
  <si>
    <t>Филиал ОАО "РЭУ" "Иркутский"</t>
  </si>
  <si>
    <t>7714783092</t>
  </si>
  <si>
    <t>381143001</t>
  </si>
  <si>
    <t>03-08-2010 00:00:00</t>
  </si>
  <si>
    <t>26356512</t>
  </si>
  <si>
    <t>Филиал ПАО "Яковлев" - Иркутский авиационный завод</t>
  </si>
  <si>
    <t>3807002509</t>
  </si>
  <si>
    <t>381002001</t>
  </si>
  <si>
    <t>13-10-1992 00:00:00</t>
  </si>
  <si>
    <t>30914574</t>
  </si>
  <si>
    <t>Филиал ФГБУ "ЦЖКУ" МИНОБОРОНЫ РОССИИ (по ЦВО)</t>
  </si>
  <si>
    <t>667043001</t>
  </si>
  <si>
    <t>27331949</t>
  </si>
  <si>
    <t>Филиал ФГУП ВГТРК ГТРК "Иркутск"</t>
  </si>
  <si>
    <t>7714072839</t>
  </si>
  <si>
    <t>11-10-1993 00:00:00</t>
  </si>
  <si>
    <t>28504250</t>
  </si>
  <si>
    <t>ОАО "РЖД"  (Восточно-Сибирская дирекция по тепловодоснабжению)</t>
  </si>
  <si>
    <t>381045021</t>
  </si>
  <si>
    <t>27079857</t>
  </si>
  <si>
    <t>АМО "Люры"</t>
  </si>
  <si>
    <t>8502003151</t>
  </si>
  <si>
    <t>850201001</t>
  </si>
  <si>
    <t>14-01-2006 00:00:00</t>
  </si>
  <si>
    <t>26505643</t>
  </si>
  <si>
    <t>АО "Усолье-Сибирский химфармзавод"</t>
  </si>
  <si>
    <t>3819012188</t>
  </si>
  <si>
    <t>02-09-2002 00:00:00</t>
  </si>
  <si>
    <t>31526697</t>
  </si>
  <si>
    <t>Администрация Молькинского сельского поселения Усть-Удинского района</t>
  </si>
  <si>
    <t>3806002760</t>
  </si>
  <si>
    <t>28008725</t>
  </si>
  <si>
    <t>Боханское МУП "Заря"</t>
  </si>
  <si>
    <t>3849025152</t>
  </si>
  <si>
    <t>31578446</t>
  </si>
  <si>
    <t>Глава КФХ ИП Орловский Андрей Богданович</t>
  </si>
  <si>
    <t>384200646817</t>
  </si>
  <si>
    <t>01-04-2022 00:00:00</t>
  </si>
  <si>
    <t>26776321</t>
  </si>
  <si>
    <t>ИП Андреев А.А.</t>
  </si>
  <si>
    <t>850600022994</t>
  </si>
  <si>
    <t>15-12-2004 00:00:00</t>
  </si>
  <si>
    <t>26776487</t>
  </si>
  <si>
    <t>ИП Ахмедшин Р.Х.</t>
  </si>
  <si>
    <t>850600187964</t>
  </si>
  <si>
    <t>07-05-2006 00:00:00</t>
  </si>
  <si>
    <t>31511431</t>
  </si>
  <si>
    <t>ИП Бадлуева О.В.</t>
  </si>
  <si>
    <t>850101019072</t>
  </si>
  <si>
    <t>08-08-2019 00:00:00</t>
  </si>
  <si>
    <t>31296831</t>
  </si>
  <si>
    <t>ИП Барцев Г.Д.</t>
  </si>
  <si>
    <t>850100670500</t>
  </si>
  <si>
    <t>01-06-2012 00:00:00</t>
  </si>
  <si>
    <t>28155140</t>
  </si>
  <si>
    <t>ИП Васильев Артем Михайлович</t>
  </si>
  <si>
    <t>381205118759</t>
  </si>
  <si>
    <t>15-07-2005 00:00:00</t>
  </si>
  <si>
    <t>31684126</t>
  </si>
  <si>
    <t>ИП Глава КФХ Габеев А.Г.</t>
  </si>
  <si>
    <t>850101489127</t>
  </si>
  <si>
    <t>01-11-2021 00:00:00</t>
  </si>
  <si>
    <t>25-08-2023 00:00:00</t>
  </si>
  <si>
    <t>30476481</t>
  </si>
  <si>
    <t>ИП Глава КФХ Синдыхеева Р.И.</t>
  </si>
  <si>
    <t>850601997432</t>
  </si>
  <si>
    <t>17-03-2014 00:00:00</t>
  </si>
  <si>
    <t>31284233</t>
  </si>
  <si>
    <t>ИП Глава КФХ Хингелов А.И.</t>
  </si>
  <si>
    <t>850500815598</t>
  </si>
  <si>
    <t>05-05-2015 00:00:00</t>
  </si>
  <si>
    <t>30982893</t>
  </si>
  <si>
    <t>ИП ЕВДОКИМОВ О. В.</t>
  </si>
  <si>
    <t>381607705700</t>
  </si>
  <si>
    <t>26-12-2013 00:00:00</t>
  </si>
  <si>
    <t>31711162</t>
  </si>
  <si>
    <t>ИП Ефремов Сергей Павлович</t>
  </si>
  <si>
    <t>384200167691</t>
  </si>
  <si>
    <t>03-03-2014 00:00:00</t>
  </si>
  <si>
    <t>31666597</t>
  </si>
  <si>
    <t>ИП Иванов Артем Сергеевич</t>
  </si>
  <si>
    <t>381406078898</t>
  </si>
  <si>
    <t>13-03-2023 00:00:00</t>
  </si>
  <si>
    <t>28503642</t>
  </si>
  <si>
    <t>ИП Медведев А.А.</t>
  </si>
  <si>
    <t>382200217081</t>
  </si>
  <si>
    <t>31525486</t>
  </si>
  <si>
    <t>ИП Михайлов С.С.</t>
  </si>
  <si>
    <t>381455028650</t>
  </si>
  <si>
    <t>06-07-2023 00:00:00</t>
  </si>
  <si>
    <t>31030726</t>
  </si>
  <si>
    <t>ИП Ненахов С.В.</t>
  </si>
  <si>
    <t>383701263475</t>
  </si>
  <si>
    <t>08-12-2011 00:00:00</t>
  </si>
  <si>
    <t>26755999</t>
  </si>
  <si>
    <t>ИП Порубов</t>
  </si>
  <si>
    <t>384200290529</t>
  </si>
  <si>
    <t>26756403</t>
  </si>
  <si>
    <t>ИП Сирина</t>
  </si>
  <si>
    <t>850300275602</t>
  </si>
  <si>
    <t>31215895</t>
  </si>
  <si>
    <t>ИП Солдатенков О.В.</t>
  </si>
  <si>
    <t>381451835606</t>
  </si>
  <si>
    <t>27-07-2018 00:00:00</t>
  </si>
  <si>
    <t>31-01-2023 00:00:00</t>
  </si>
  <si>
    <t>31718164</t>
  </si>
  <si>
    <t>ИП Стаецкий Андрей Николаевич</t>
  </si>
  <si>
    <t>380604012400</t>
  </si>
  <si>
    <t>30-03-2020 00:00:00</t>
  </si>
  <si>
    <t>28445952</t>
  </si>
  <si>
    <t>ИП Сыромятников Д. Н.</t>
  </si>
  <si>
    <t>850301428523</t>
  </si>
  <si>
    <t>22-08-2007 00:00:00</t>
  </si>
  <si>
    <t>26776437</t>
  </si>
  <si>
    <t>ИП Хотков Л.Д.</t>
  </si>
  <si>
    <t>850600042006</t>
  </si>
  <si>
    <t>10-11-2004 00:00:00</t>
  </si>
  <si>
    <t>31533684</t>
  </si>
  <si>
    <t>ИП Шатова Юлия Георгиевна</t>
  </si>
  <si>
    <t>383407223421</t>
  </si>
  <si>
    <t>09-09-2019 00:00:00</t>
  </si>
  <si>
    <t>31679779</t>
  </si>
  <si>
    <t>ИП Яковлев Денис Олегович</t>
  </si>
  <si>
    <t>384901121208</t>
  </si>
  <si>
    <t>16-06-2021 00:00:00</t>
  </si>
  <si>
    <t>31515103</t>
  </si>
  <si>
    <t>ИП глава КФХ Антипин Артем Олегович</t>
  </si>
  <si>
    <t>383202267555</t>
  </si>
  <si>
    <t>20-01-2009 00:00:00</t>
  </si>
  <si>
    <t>30870525</t>
  </si>
  <si>
    <t>ИП глава КФХ Бережных Виталий Борисович</t>
  </si>
  <si>
    <t>382200442087</t>
  </si>
  <si>
    <t>05-10-2013 00:00:00</t>
  </si>
  <si>
    <t>31297203</t>
  </si>
  <si>
    <t>ИП глава КФХ Иванова Ирина Сергеевна</t>
  </si>
  <si>
    <t>381111150718</t>
  </si>
  <si>
    <t>09-08-2011 00:00:00</t>
  </si>
  <si>
    <t>31313139</t>
  </si>
  <si>
    <t>ИП глава КФХ Подварков А.А.</t>
  </si>
  <si>
    <t>380604053011</t>
  </si>
  <si>
    <t>31-01-2019 00:00:00</t>
  </si>
  <si>
    <t>30870817</t>
  </si>
  <si>
    <t>ИП глава КФХ Харлов Александр Андреевич</t>
  </si>
  <si>
    <t>381207625401</t>
  </si>
  <si>
    <t>01-03-2012 00:00:00</t>
  </si>
  <si>
    <t>01-06-2023 00:00:00</t>
  </si>
  <si>
    <t>31656014</t>
  </si>
  <si>
    <t>ИП глава КФХ Чувайкин Владимир Петрович</t>
  </si>
  <si>
    <t>382200274280</t>
  </si>
  <si>
    <t>03-04-2019 00:00:00</t>
  </si>
  <si>
    <t>30477238</t>
  </si>
  <si>
    <t>Индивидуальный Предприниматель Хмелюк Александра Николаевна</t>
  </si>
  <si>
    <t>381605894900</t>
  </si>
  <si>
    <t>22-07-2013 00:00:00</t>
  </si>
  <si>
    <t>26759905</t>
  </si>
  <si>
    <t>КФХ  Халтанов В.К.</t>
  </si>
  <si>
    <t>850300344944</t>
  </si>
  <si>
    <t>11-05-2004 00:00:00</t>
  </si>
  <si>
    <t>26756307</t>
  </si>
  <si>
    <t>КФХ "Пашков Д.А."</t>
  </si>
  <si>
    <t>850300013300</t>
  </si>
  <si>
    <t>15-04-2009 00:00:00</t>
  </si>
  <si>
    <t>30364389</t>
  </si>
  <si>
    <t>КФХ "Развитие"</t>
  </si>
  <si>
    <t>384200598433</t>
  </si>
  <si>
    <t>02-09-2015 00:00:00</t>
  </si>
  <si>
    <t>30393593</t>
  </si>
  <si>
    <t>КФХ Баянов Евгений Иннокентьевич</t>
  </si>
  <si>
    <t>850601826444</t>
  </si>
  <si>
    <t>27-01-2006 00:00:00</t>
  </si>
  <si>
    <t>28141173</t>
  </si>
  <si>
    <t>Коршуновский ГОК</t>
  </si>
  <si>
    <t>3834002314</t>
  </si>
  <si>
    <t>997550001</t>
  </si>
  <si>
    <t>10-06-2006 00:00:00</t>
  </si>
  <si>
    <t>26824651</t>
  </si>
  <si>
    <t>Красноярская дирекция по тепловодоснабжению</t>
  </si>
  <si>
    <t>246645014</t>
  </si>
  <si>
    <t>28056397</t>
  </si>
  <si>
    <t>Красноярская дирекция по тепловодоснабжению центральной дирекции по тепловодоснабжению -  филиала ОАО "РЖД"</t>
  </si>
  <si>
    <t>26372406</t>
  </si>
  <si>
    <t>Куйтунский филиал ФГБУ "Управление "Иркутскмелиоводхоз"</t>
  </si>
  <si>
    <t>3811032263</t>
  </si>
  <si>
    <t>01-07-2002 00:00:00</t>
  </si>
  <si>
    <t>31327629</t>
  </si>
  <si>
    <t>МБУ "Управление ЖКХ"</t>
  </si>
  <si>
    <t>3814036386</t>
  </si>
  <si>
    <t>19-03-2018 00:00:00</t>
  </si>
  <si>
    <t>26382360</t>
  </si>
  <si>
    <t>МКП "Благоустройство"</t>
  </si>
  <si>
    <t>3816006644</t>
  </si>
  <si>
    <t>21-04-2004 00:00:00</t>
  </si>
  <si>
    <t>30858043</t>
  </si>
  <si>
    <t>МКУ "Маяк" администрации Новочунского муниципального образования</t>
  </si>
  <si>
    <t>3816017131</t>
  </si>
  <si>
    <t>26-03-2014 00:00:00</t>
  </si>
  <si>
    <t>30870004</t>
  </si>
  <si>
    <t>МКУ "Служба коммунального хозяйства Кимильтейского МО"</t>
  </si>
  <si>
    <t>3814031998</t>
  </si>
  <si>
    <t>08-07-2016 00:00:00</t>
  </si>
  <si>
    <t>31604509</t>
  </si>
  <si>
    <t>МКУ "Служба коммунального хозяйства Покровского МО"</t>
  </si>
  <si>
    <t>3816033687</t>
  </si>
  <si>
    <t>07-02-2022 00:00:00</t>
  </si>
  <si>
    <t>31569188</t>
  </si>
  <si>
    <t>МКУ "Служба коммунального хозяйства Ухтуйского МО"</t>
  </si>
  <si>
    <t>3816033493</t>
  </si>
  <si>
    <t>14-12-2021 00:00:00</t>
  </si>
  <si>
    <t>31078660</t>
  </si>
  <si>
    <t>МКУ "Служба коммунального хозяйства Филипповского МО"</t>
  </si>
  <si>
    <t>3814035706</t>
  </si>
  <si>
    <t>14-12-2017 00:00:00</t>
  </si>
  <si>
    <t>30924052</t>
  </si>
  <si>
    <t>МКУ "Служба первичной помощи по тушению пожаров Хазанского МО"</t>
  </si>
  <si>
    <t>3814013678</t>
  </si>
  <si>
    <t>17-10-2008 00:00:00</t>
  </si>
  <si>
    <t>31642219</t>
  </si>
  <si>
    <t>МКУ "Улейский центр культуры и благоустройства"</t>
  </si>
  <si>
    <t>3849012604</t>
  </si>
  <si>
    <t>25-11-2010 00:00:00</t>
  </si>
  <si>
    <t>30949424</t>
  </si>
  <si>
    <t>МКУ "ЦХО Масляногорского сельского поселения"</t>
  </si>
  <si>
    <t>3814013727</t>
  </si>
  <si>
    <t>29-10-2008 00:00:00</t>
  </si>
  <si>
    <t>30412531</t>
  </si>
  <si>
    <t>МКУ "Центр хозяйственного обслуживания Батаминского МО"</t>
  </si>
  <si>
    <t>3814018732</t>
  </si>
  <si>
    <t>16-01-2014 00:00:00</t>
  </si>
  <si>
    <t>26786252</t>
  </si>
  <si>
    <t>МУП " Коммунальная служба Бильчира"</t>
  </si>
  <si>
    <t>3849028629</t>
  </si>
  <si>
    <t>29-08-2006 00:00:00</t>
  </si>
  <si>
    <t>29645384</t>
  </si>
  <si>
    <t>МУП "Алтан"</t>
  </si>
  <si>
    <t>3849023684</t>
  </si>
  <si>
    <t>12-07-2012 00:00:00</t>
  </si>
  <si>
    <t>26816731</t>
  </si>
  <si>
    <t>МУП "Байкал-Ольхон"</t>
  </si>
  <si>
    <t>3836003553</t>
  </si>
  <si>
    <t>26-01-2006 00:00:00</t>
  </si>
  <si>
    <t>26450748</t>
  </si>
  <si>
    <t>МУП "Бытовик"</t>
  </si>
  <si>
    <t>8502003024</t>
  </si>
  <si>
    <t>31430863</t>
  </si>
  <si>
    <t>МУП "ВЕКТОР"</t>
  </si>
  <si>
    <t>3849072378</t>
  </si>
  <si>
    <t>15-02-2019 00:00:00</t>
  </si>
  <si>
    <t>31689688</t>
  </si>
  <si>
    <t>МУП "Водоканал" ММО</t>
  </si>
  <si>
    <t>3808280851</t>
  </si>
  <si>
    <t>14-02-2023 00:00:00</t>
  </si>
  <si>
    <t>26372410</t>
  </si>
  <si>
    <t>МУП "Водоканал-Сервис"</t>
  </si>
  <si>
    <t>3814007427</t>
  </si>
  <si>
    <t>30412918</t>
  </si>
  <si>
    <t>МУП "Водопад"</t>
  </si>
  <si>
    <t>3814024310</t>
  </si>
  <si>
    <t>20-11-2015 00:00:00</t>
  </si>
  <si>
    <t>31594632</t>
  </si>
  <si>
    <t>МУП "Гарант"</t>
  </si>
  <si>
    <t>3805736649</t>
  </si>
  <si>
    <t>26768294</t>
  </si>
  <si>
    <t>МУП "Гаханы"</t>
  </si>
  <si>
    <t>3849011985</t>
  </si>
  <si>
    <t>29-10-2010 00:00:00</t>
  </si>
  <si>
    <t>30425269</t>
  </si>
  <si>
    <t>МУП "Исток"</t>
  </si>
  <si>
    <t>3814023789</t>
  </si>
  <si>
    <t>28-08-2015 00:00:00</t>
  </si>
  <si>
    <t>31257368</t>
  </si>
  <si>
    <t>МУП "Люры"</t>
  </si>
  <si>
    <t>3849035760</t>
  </si>
  <si>
    <t>05-05-2014 00:00:00</t>
  </si>
  <si>
    <t>31603819</t>
  </si>
  <si>
    <t>МУП "Мамско-Чуйский коммунальщик"</t>
  </si>
  <si>
    <t>3808276069</t>
  </si>
  <si>
    <t>04-02-2022 00:00:00</t>
  </si>
  <si>
    <t>28503632</t>
  </si>
  <si>
    <t>МУП "Паритет"</t>
  </si>
  <si>
    <t>3815010310</t>
  </si>
  <si>
    <t>13-04-2006 00:00:00</t>
  </si>
  <si>
    <t>26848550</t>
  </si>
  <si>
    <t>МУП "Подлеморье"</t>
  </si>
  <si>
    <t>3836004243</t>
  </si>
  <si>
    <t>09-03-2007 00:00:00</t>
  </si>
  <si>
    <t>30425264</t>
  </si>
  <si>
    <t>МУП "РУЧЕЙ"</t>
  </si>
  <si>
    <t>3814025514</t>
  </si>
  <si>
    <t>01-12-2015 00:00:00</t>
  </si>
  <si>
    <t>31335371</t>
  </si>
  <si>
    <t>МУП "Родник"</t>
  </si>
  <si>
    <t>3810078410</t>
  </si>
  <si>
    <t>29-01-2019 00:00:00</t>
  </si>
  <si>
    <t>31042895</t>
  </si>
  <si>
    <t>3814026275</t>
  </si>
  <si>
    <t>08-12-2015 00:00:00</t>
  </si>
  <si>
    <t>26807843</t>
  </si>
  <si>
    <t>МУП "Служба заказчика"</t>
  </si>
  <si>
    <t>3849008950</t>
  </si>
  <si>
    <t>26372450</t>
  </si>
  <si>
    <t>МУП "Тепловодотехсервис"</t>
  </si>
  <si>
    <t>3819016601</t>
  </si>
  <si>
    <t>07-03-2006 00:00:00</t>
  </si>
  <si>
    <t>27-10-2023 00:00:00</t>
  </si>
  <si>
    <t>26380050</t>
  </si>
  <si>
    <t>МУП "Транзит-Аква"</t>
  </si>
  <si>
    <t>3851006904</t>
  </si>
  <si>
    <t>27-08-2012 00:00:00</t>
  </si>
  <si>
    <t>26786255</t>
  </si>
  <si>
    <t>МУП "Труд" МО "Улейское"</t>
  </si>
  <si>
    <t>3849023162</t>
  </si>
  <si>
    <t>17-11-2008 00:00:00</t>
  </si>
  <si>
    <t>28828517</t>
  </si>
  <si>
    <t>МУП "Труженик"</t>
  </si>
  <si>
    <t>3849038000</t>
  </si>
  <si>
    <t>15-09-2014 00:00:00</t>
  </si>
  <si>
    <t>31457427</t>
  </si>
  <si>
    <t>МУП "Универсал"</t>
  </si>
  <si>
    <t>3849072025</t>
  </si>
  <si>
    <t>26786222</t>
  </si>
  <si>
    <t>МУП "Универсал"  МО "Ново-Ленино"</t>
  </si>
  <si>
    <t>8505004072</t>
  </si>
  <si>
    <t>24-03-2004 00:00:00</t>
  </si>
  <si>
    <t>27606203</t>
  </si>
  <si>
    <t>МУП "Шара-Тогот"</t>
  </si>
  <si>
    <t>3836004500</t>
  </si>
  <si>
    <t>14-02-2008 00:00:00</t>
  </si>
  <si>
    <t>27603060</t>
  </si>
  <si>
    <t>МУП Бугульдейского МО "ЖКХ"</t>
  </si>
  <si>
    <t>3836004003</t>
  </si>
  <si>
    <t>01-12-2006 00:00:00</t>
  </si>
  <si>
    <t>31280176</t>
  </si>
  <si>
    <t>МУП Управляющая компания "Игирма"</t>
  </si>
  <si>
    <t>3805733180</t>
  </si>
  <si>
    <t>12-09-2018 00:00:00</t>
  </si>
  <si>
    <t>30431831</t>
  </si>
  <si>
    <t>Муниципальное казенное учреждение "Административно-хозяйственная служба"</t>
  </si>
  <si>
    <t>3802012863</t>
  </si>
  <si>
    <t>03-07-2012 00:00:00</t>
  </si>
  <si>
    <t>29646328</t>
  </si>
  <si>
    <t>Муниципальное предприятие "Остров"</t>
  </si>
  <si>
    <t>3818032110</t>
  </si>
  <si>
    <t>28067447</t>
  </si>
  <si>
    <t>Муниципальное предприятие "Стандарт"</t>
  </si>
  <si>
    <t>3848003212</t>
  </si>
  <si>
    <t>08-06-2023 00:00:00</t>
  </si>
  <si>
    <t>29645951</t>
  </si>
  <si>
    <t>Муниципальное унитарное предприятие "Родник"</t>
  </si>
  <si>
    <t>3814019052</t>
  </si>
  <si>
    <t>25-04-2014 00:00:00</t>
  </si>
  <si>
    <t>28980586</t>
  </si>
  <si>
    <t>ОАО "Ангара-1"</t>
  </si>
  <si>
    <t>3842000423</t>
  </si>
  <si>
    <t>01-01-2015 00:00:00</t>
  </si>
  <si>
    <t>27577623</t>
  </si>
  <si>
    <t>ОАО "Куйтунская Нива"</t>
  </si>
  <si>
    <t>3814014600</t>
  </si>
  <si>
    <t>03-08-2009 00:00:00</t>
  </si>
  <si>
    <t>26785200</t>
  </si>
  <si>
    <t>ОАО "Нукутское РТП"</t>
  </si>
  <si>
    <t>8504000318</t>
  </si>
  <si>
    <t>05-08-1997 00:00:00</t>
  </si>
  <si>
    <t>31290864</t>
  </si>
  <si>
    <t>ООО "АКВА плюс"</t>
  </si>
  <si>
    <t>3805733616</t>
  </si>
  <si>
    <t>13-02-2019 00:00:00</t>
  </si>
  <si>
    <t>26542942</t>
  </si>
  <si>
    <t>ООО "АКВА"</t>
  </si>
  <si>
    <t>3818017602</t>
  </si>
  <si>
    <t>08-10-2004 00:00:00</t>
  </si>
  <si>
    <t>31390088</t>
  </si>
  <si>
    <t>ООО "АКВА-СЕРВИС"</t>
  </si>
  <si>
    <t>3816029761</t>
  </si>
  <si>
    <t>16-04-2018 00:00:00</t>
  </si>
  <si>
    <t>26765909</t>
  </si>
  <si>
    <t>ООО "АкваСервис"</t>
  </si>
  <si>
    <t>3851001198</t>
  </si>
  <si>
    <t>20-08-2010 00:00:00</t>
  </si>
  <si>
    <t>28147772</t>
  </si>
  <si>
    <t>ООО "Акватранс"</t>
  </si>
  <si>
    <t>3848006615</t>
  </si>
  <si>
    <t>21-11-2012 00:00:00</t>
  </si>
  <si>
    <t>31383436</t>
  </si>
  <si>
    <t>ООО "Акватрейд"</t>
  </si>
  <si>
    <t>3818049315</t>
  </si>
  <si>
    <t>02-07-2019 00:00:00</t>
  </si>
  <si>
    <t>26756101</t>
  </si>
  <si>
    <t>ООО "Ангара"</t>
  </si>
  <si>
    <t>8501006583</t>
  </si>
  <si>
    <t>28875253</t>
  </si>
  <si>
    <t>ООО "Байкальский институт проектирования"</t>
  </si>
  <si>
    <t>3827042620</t>
  </si>
  <si>
    <t>19-06-2013 00:00:00</t>
  </si>
  <si>
    <t>31565764</t>
  </si>
  <si>
    <t>3812989168</t>
  </si>
  <si>
    <t>28-02-2022 00:00:00</t>
  </si>
  <si>
    <t>27570092</t>
  </si>
  <si>
    <t>ООО "Берёзовый"</t>
  </si>
  <si>
    <t>3851004456</t>
  </si>
  <si>
    <t>20-10-2011 00:00:00</t>
  </si>
  <si>
    <t>30978661</t>
  </si>
  <si>
    <t>ООО "БиоТеплоЭнерго"</t>
  </si>
  <si>
    <t>3808195606</t>
  </si>
  <si>
    <t>31286457</t>
  </si>
  <si>
    <t>ООО "Буретское хлебоприемное предприятие"</t>
  </si>
  <si>
    <t>3849021091</t>
  </si>
  <si>
    <t>06-03-2012 00:00:00</t>
  </si>
  <si>
    <t>31679773</t>
  </si>
  <si>
    <t>ООО "ВОДОКАНАЛ"</t>
  </si>
  <si>
    <t>3816997787</t>
  </si>
  <si>
    <t>12-09-2014 00:00:00</t>
  </si>
  <si>
    <t>31713828</t>
  </si>
  <si>
    <t>ООО "Вектор"</t>
  </si>
  <si>
    <t>3811475280</t>
  </si>
  <si>
    <t>09-08-2021 00:00:00</t>
  </si>
  <si>
    <t>31345984</t>
  </si>
  <si>
    <t>ООО "Вода плюс"</t>
  </si>
  <si>
    <t>3817049295</t>
  </si>
  <si>
    <t>05-07-2018 00:00:00</t>
  </si>
  <si>
    <t>30375237</t>
  </si>
  <si>
    <t>3816022438</t>
  </si>
  <si>
    <t>03-09-2015 00:00:00</t>
  </si>
  <si>
    <t>31680407</t>
  </si>
  <si>
    <t>ООО "Водолей"</t>
  </si>
  <si>
    <t>8501006992</t>
  </si>
  <si>
    <t>31-07-2009 00:00:00</t>
  </si>
  <si>
    <t>28855793</t>
  </si>
  <si>
    <t>ООО "Водоресурс"</t>
  </si>
  <si>
    <t>3816016297</t>
  </si>
  <si>
    <t>23-10-2013 00:00:00</t>
  </si>
  <si>
    <t>26372387</t>
  </si>
  <si>
    <t>ООО "Водоснабжение"</t>
  </si>
  <si>
    <t>3806000160</t>
  </si>
  <si>
    <t>28143070</t>
  </si>
  <si>
    <t>3814018323</t>
  </si>
  <si>
    <t>03-12-2012 00:00:00</t>
  </si>
  <si>
    <t>30877129</t>
  </si>
  <si>
    <t>ООО "Жилкомсервис"</t>
  </si>
  <si>
    <t>3808197297</t>
  </si>
  <si>
    <t>02-11-2016 00:00:00</t>
  </si>
  <si>
    <t>31091851</t>
  </si>
  <si>
    <t>ООО "ИССА"</t>
  </si>
  <si>
    <t>3814997132</t>
  </si>
  <si>
    <t>07-02-2013 00:00:00</t>
  </si>
  <si>
    <t>30802449</t>
  </si>
  <si>
    <t>ООО "ИСТОК"</t>
  </si>
  <si>
    <t>3805729000</t>
  </si>
  <si>
    <t>29-12-2015 00:00:00</t>
  </si>
  <si>
    <t>30858060</t>
  </si>
  <si>
    <t>ООО "Интехцентр"</t>
  </si>
  <si>
    <t>3816997900</t>
  </si>
  <si>
    <t>31716103</t>
  </si>
  <si>
    <t>ООО "ИрТЭК"</t>
  </si>
  <si>
    <t>3849095375</t>
  </si>
  <si>
    <t>24-05-2023 00:00:00</t>
  </si>
  <si>
    <t>28427676</t>
  </si>
  <si>
    <t>ООО "Иркутские Коммунальные Системы"</t>
  </si>
  <si>
    <t>3808219007</t>
  </si>
  <si>
    <t>23-05-2011 00:00:00</t>
  </si>
  <si>
    <t>30934439</t>
  </si>
  <si>
    <t>ООО "КОНСТЭНЕРГОТРАНС"</t>
  </si>
  <si>
    <t>3817047467</t>
  </si>
  <si>
    <t>22-08-2016 00:00:00</t>
  </si>
  <si>
    <t>26375681</t>
  </si>
  <si>
    <t>ООО "Крот"</t>
  </si>
  <si>
    <t>8504004376</t>
  </si>
  <si>
    <t>31507978</t>
  </si>
  <si>
    <t>381443001</t>
  </si>
  <si>
    <t>23-06-2017 00:00:00</t>
  </si>
  <si>
    <t>31597239</t>
  </si>
  <si>
    <t>ООО "МИР-СЕРВИС"</t>
  </si>
  <si>
    <t>3805734970</t>
  </si>
  <si>
    <t>28-01-2020 00:00:00</t>
  </si>
  <si>
    <t>30409908</t>
  </si>
  <si>
    <t>ООО "Межмуниципальное предприятие коммунального комплекса"</t>
  </si>
  <si>
    <t>380201719</t>
  </si>
  <si>
    <t>31681849</t>
  </si>
  <si>
    <t>ООО "Минерал"</t>
  </si>
  <si>
    <t>3814038030</t>
  </si>
  <si>
    <t>25-10-2018 00:00:00</t>
  </si>
  <si>
    <t>27871088</t>
  </si>
  <si>
    <t>ООО "Наш дом"</t>
  </si>
  <si>
    <t>3834015521</t>
  </si>
  <si>
    <t>26-01-2011 00:00:00</t>
  </si>
  <si>
    <t>28005324</t>
  </si>
  <si>
    <t>ООО "НордТрейд"</t>
  </si>
  <si>
    <t>3818028379</t>
  </si>
  <si>
    <t>16-11-2010 00:00:00</t>
  </si>
  <si>
    <t>31439264</t>
  </si>
  <si>
    <t>ООО "Ольхонская производственная компания"</t>
  </si>
  <si>
    <t>3827062947</t>
  </si>
  <si>
    <t>27-03-2020 00:00:00</t>
  </si>
  <si>
    <t>31558898</t>
  </si>
  <si>
    <t>ООО "Ремплюсстрой"</t>
  </si>
  <si>
    <t>3834016130</t>
  </si>
  <si>
    <t>31389990</t>
  </si>
  <si>
    <t>ООО "Родник"</t>
  </si>
  <si>
    <t>3805733870</t>
  </si>
  <si>
    <t>31689478</t>
  </si>
  <si>
    <t>ООО "СК"БЕЛАЯ"</t>
  </si>
  <si>
    <t>3849093410</t>
  </si>
  <si>
    <t>22-02-2023 00:00:00</t>
  </si>
  <si>
    <t>28113305</t>
  </si>
  <si>
    <t>ООО "СвитСервис"</t>
  </si>
  <si>
    <t>3817036874</t>
  </si>
  <si>
    <t>05-04-2010 00:00:00</t>
  </si>
  <si>
    <t>31349860</t>
  </si>
  <si>
    <t>ООО "Стандарткомстрой"</t>
  </si>
  <si>
    <t>3808130454</t>
  </si>
  <si>
    <t>13-12-2005 00:00:00</t>
  </si>
  <si>
    <t>30874101</t>
  </si>
  <si>
    <t>ООО "ТСЖ "УниверсалСтрой"</t>
  </si>
  <si>
    <t>3811440495</t>
  </si>
  <si>
    <t>03-11-2016 00:00:00</t>
  </si>
  <si>
    <t>30989845</t>
  </si>
  <si>
    <t>ООО "ТеплоВодоКанал"</t>
  </si>
  <si>
    <t>3815015759</t>
  </si>
  <si>
    <t>09-07-2010 00:00:00</t>
  </si>
  <si>
    <t>31100379</t>
  </si>
  <si>
    <t>3818046970</t>
  </si>
  <si>
    <t>25-03-2016 00:00:00</t>
  </si>
  <si>
    <t>30985847</t>
  </si>
  <si>
    <t>ООО "Тепловодоканал"</t>
  </si>
  <si>
    <t>3818048128</t>
  </si>
  <si>
    <t>26372436</t>
  </si>
  <si>
    <t>ООО "УК Водоканал-Сервис"</t>
  </si>
  <si>
    <t>3818018814</t>
  </si>
  <si>
    <t>23-09-2005 00:00:00</t>
  </si>
  <si>
    <t>31183602</t>
  </si>
  <si>
    <t>ООО "Управляющая компания Северо-Западная"</t>
  </si>
  <si>
    <t>3811432462</t>
  </si>
  <si>
    <t>26-02-2016 00:00:00</t>
  </si>
  <si>
    <t>30428296</t>
  </si>
  <si>
    <t>ООО "Черемховский водозабор"</t>
  </si>
  <si>
    <t>3851009165</t>
  </si>
  <si>
    <t>29-10-2015 00:00:00</t>
  </si>
  <si>
    <t>30357368</t>
  </si>
  <si>
    <t>ООО "Черемховский водоканал"</t>
  </si>
  <si>
    <t>3851994299</t>
  </si>
  <si>
    <t>31696057</t>
  </si>
  <si>
    <t>3812997017</t>
  </si>
  <si>
    <t>04-07-2023 00:00:00</t>
  </si>
  <si>
    <t>31711166</t>
  </si>
  <si>
    <t>ООО «АкваСервис»</t>
  </si>
  <si>
    <t>3808284528</t>
  </si>
  <si>
    <t>28-09-2023 00:00:00</t>
  </si>
  <si>
    <t>28261220</t>
  </si>
  <si>
    <t>ООО ЖКХ "Южное"</t>
  </si>
  <si>
    <t>3816014571</t>
  </si>
  <si>
    <t>30-10-2012 00:00:00</t>
  </si>
  <si>
    <t>26776480</t>
  </si>
  <si>
    <t>ООО СХПП Тугутуйское</t>
  </si>
  <si>
    <t>3808207611</t>
  </si>
  <si>
    <t>28503958</t>
  </si>
  <si>
    <t>ООО УК "Водоканал"</t>
  </si>
  <si>
    <t>3851997853</t>
  </si>
  <si>
    <t>25-10-2013 00:00:00</t>
  </si>
  <si>
    <t>31658249</t>
  </si>
  <si>
    <t>ООО УК "ШАНС"</t>
  </si>
  <si>
    <t>3851026717</t>
  </si>
  <si>
    <t>26-08-2021 00:00:00</t>
  </si>
  <si>
    <t>26756363</t>
  </si>
  <si>
    <t>ООО им. "П.С. Балтахинова"</t>
  </si>
  <si>
    <t>8503006691</t>
  </si>
  <si>
    <t>30812710</t>
  </si>
  <si>
    <t>Общество с ограниченной ответственностью "Андрюшино"</t>
  </si>
  <si>
    <t>3832003249</t>
  </si>
  <si>
    <t>31446284</t>
  </si>
  <si>
    <t>Общество с ограниченной ответственностью "СТП Размещение отходов"</t>
  </si>
  <si>
    <t>3851007619</t>
  </si>
  <si>
    <t>30408096</t>
  </si>
  <si>
    <t>Общество с ограниченной ответственностью "Сетевая компания - Вода"</t>
  </si>
  <si>
    <t>3810325210</t>
  </si>
  <si>
    <t>04-05-2012 00:00:00</t>
  </si>
  <si>
    <t>30405545</t>
  </si>
  <si>
    <t>муниципальное казенное учреждение "Жигаловское"</t>
  </si>
  <si>
    <t>3827066959</t>
  </si>
  <si>
    <t>22-12-2014 00:00:00</t>
  </si>
  <si>
    <t>30947840</t>
  </si>
  <si>
    <t>АО "МАИРТА"</t>
  </si>
  <si>
    <t>3811067770</t>
  </si>
  <si>
    <t>30-05-2001 00:00:00</t>
  </si>
  <si>
    <t>31061738</t>
  </si>
  <si>
    <t>Акционерное общество "Братский завод металлоконструкций"</t>
  </si>
  <si>
    <t>3805100042</t>
  </si>
  <si>
    <t>11-01-1993 00:00:00</t>
  </si>
  <si>
    <t>28969215</t>
  </si>
  <si>
    <t>МУП "ЖКХ Балахнинский"</t>
  </si>
  <si>
    <t>3802016787</t>
  </si>
  <si>
    <t>21-01-2015 00:00:00</t>
  </si>
  <si>
    <t>28827705</t>
  </si>
  <si>
    <t>МУП "Жилфонд"</t>
  </si>
  <si>
    <t>3802013722</t>
  </si>
  <si>
    <t>21-05-2014 00:00:00</t>
  </si>
  <si>
    <t>26448306</t>
  </si>
  <si>
    <t>МУП "КОС БМО"</t>
  </si>
  <si>
    <t>3837004905</t>
  </si>
  <si>
    <t>19-03-2008 00:00:00</t>
  </si>
  <si>
    <t>31698792</t>
  </si>
  <si>
    <t>ООО "АкваРесурс"</t>
  </si>
  <si>
    <t>3808272258</t>
  </si>
  <si>
    <t>20-08-2020 00:00:00</t>
  </si>
  <si>
    <t>26380023</t>
  </si>
  <si>
    <t>ООО "Биоочистка"</t>
  </si>
  <si>
    <t>3815011881</t>
  </si>
  <si>
    <t>27113644</t>
  </si>
  <si>
    <t>ООО "КАНВОД"</t>
  </si>
  <si>
    <t>3808053746</t>
  </si>
  <si>
    <t>31397494</t>
  </si>
  <si>
    <t>ООО "Кедр"</t>
  </si>
  <si>
    <t>3851003903</t>
  </si>
  <si>
    <t>31715622</t>
  </si>
  <si>
    <t>ООО "Океан"</t>
  </si>
  <si>
    <t>3849096114</t>
  </si>
  <si>
    <t>05-07-2023 00:00:00</t>
  </si>
  <si>
    <t>28453158</t>
  </si>
  <si>
    <t>ООО "ПК БРАСС"</t>
  </si>
  <si>
    <t>7813376549</t>
  </si>
  <si>
    <t>23-04-2007 00:00:00</t>
  </si>
  <si>
    <t>31335326</t>
  </si>
  <si>
    <t>ООО "Сибирская строительная компания"</t>
  </si>
  <si>
    <t>3811113473</t>
  </si>
  <si>
    <t>30-08-2007 00:00:00</t>
  </si>
  <si>
    <t>31023171</t>
  </si>
  <si>
    <t>ООО "Система ВодоОтведения"</t>
  </si>
  <si>
    <t>3851020899</t>
  </si>
  <si>
    <t>20-11-2017 00:00:00</t>
  </si>
  <si>
    <t>31189292</t>
  </si>
  <si>
    <t>ООО "Сток-Сервис"</t>
  </si>
  <si>
    <t>3814035939</t>
  </si>
  <si>
    <t>05-02-2018 00:00:00</t>
  </si>
  <si>
    <t>26552069</t>
  </si>
  <si>
    <t>ООО "Стоки"</t>
  </si>
  <si>
    <t>3818017610</t>
  </si>
  <si>
    <t>30948581</t>
  </si>
  <si>
    <t>ООО "УК "Макском"</t>
  </si>
  <si>
    <t>3812090927</t>
  </si>
  <si>
    <t>22-08-2006 00:00:00</t>
  </si>
  <si>
    <t>30-11-2023 00:00:00</t>
  </si>
  <si>
    <t>31514653</t>
  </si>
  <si>
    <t>ООО "Эко Сити Иркутск"</t>
  </si>
  <si>
    <t>3812155941</t>
  </si>
  <si>
    <t>26-06-2014 00:00:00</t>
  </si>
  <si>
    <t>26380012</t>
  </si>
  <si>
    <t>ООО УК "СОЛ"</t>
  </si>
  <si>
    <t>3808172790</t>
  </si>
  <si>
    <t>30438691</t>
  </si>
  <si>
    <t>Областное государственное автономное учреждение социального обслуживания "Марковский геронтологический центр"</t>
  </si>
  <si>
    <t>3827000771</t>
  </si>
  <si>
    <t>31387011</t>
  </si>
  <si>
    <t>Общество с ограниченной ответственностью "Вик"</t>
  </si>
  <si>
    <t>3851024043</t>
  </si>
  <si>
    <t>31642243</t>
  </si>
  <si>
    <t>Общество с ограниченной ответственностью "Водоотведение"</t>
  </si>
  <si>
    <t>3816034338</t>
  </si>
  <si>
    <t>20-10-2022 00:00:00</t>
  </si>
  <si>
    <t>31673904</t>
  </si>
  <si>
    <t>Общество с ограниченной ответственностью "СибирскаяЭнергетическаяКомпания"</t>
  </si>
  <si>
    <t>3851024004</t>
  </si>
  <si>
    <t>05-08-2019 00:00:00</t>
  </si>
  <si>
    <t>26505310</t>
  </si>
  <si>
    <t>ПАО "РУСАЛ Братский алюминиевый завод"</t>
  </si>
  <si>
    <t>3803100054</t>
  </si>
  <si>
    <t>26-11-1992 00:00:00</t>
  </si>
  <si>
    <t>31716760</t>
  </si>
  <si>
    <t>АО "Бизнес-ПиК"</t>
  </si>
  <si>
    <t>3818013171</t>
  </si>
  <si>
    <t>03-08-2016 00:00:00</t>
  </si>
  <si>
    <t>31025284</t>
  </si>
  <si>
    <t>АО "Спецавтохозяйство"</t>
  </si>
  <si>
    <t>3849067674</t>
  </si>
  <si>
    <t>22-12-2017 00:00:00</t>
  </si>
  <si>
    <t>31716803</t>
  </si>
  <si>
    <t>ИП Блинников Алексей Николаевич</t>
  </si>
  <si>
    <t>575301811881</t>
  </si>
  <si>
    <t>05-02-2010 00:00:00</t>
  </si>
  <si>
    <t>31716897</t>
  </si>
  <si>
    <t>ИП Владимиров Александр Иванович</t>
  </si>
  <si>
    <t>381500337780</t>
  </si>
  <si>
    <t>05-09-2013 00:00:00</t>
  </si>
  <si>
    <t>31716840</t>
  </si>
  <si>
    <t>ИП Косминов Алексей Николаевич</t>
  </si>
  <si>
    <t>383401017542</t>
  </si>
  <si>
    <t>09-11-2012 00:00:00</t>
  </si>
  <si>
    <t>31716543</t>
  </si>
  <si>
    <t>ИП Лавренюк Татьяна Владимировна</t>
  </si>
  <si>
    <t>380401221119</t>
  </si>
  <si>
    <t>26-09-2013 00:00:00</t>
  </si>
  <si>
    <t>31701324</t>
  </si>
  <si>
    <t>МБУ "Городское хозяйство"</t>
  </si>
  <si>
    <t>3816028599</t>
  </si>
  <si>
    <t>19-05-2017 00:00:00</t>
  </si>
  <si>
    <t>31711624</t>
  </si>
  <si>
    <t>МКУ Обслуживание социальной сферы Нижнеудинского района</t>
  </si>
  <si>
    <t>3835060823</t>
  </si>
  <si>
    <t>09-02-1998 00:00:00</t>
  </si>
  <si>
    <t>31716986</t>
  </si>
  <si>
    <t>ООО "Авто-Партнер"</t>
  </si>
  <si>
    <t>3812113966</t>
  </si>
  <si>
    <t>18-06-2015 00:00:00</t>
  </si>
  <si>
    <t>26449311</t>
  </si>
  <si>
    <t>ООО "Аякс"</t>
  </si>
  <si>
    <t>3815012067</t>
  </si>
  <si>
    <t>28-03-2007 00:00:00</t>
  </si>
  <si>
    <t>31716562</t>
  </si>
  <si>
    <t>ООО "ББС"</t>
  </si>
  <si>
    <t>3804030949</t>
  </si>
  <si>
    <t>02-01-2005 00:00:00</t>
  </si>
  <si>
    <t>30992661</t>
  </si>
  <si>
    <t>ООО "Братская служба санитарной очистки"</t>
  </si>
  <si>
    <t>3805997055</t>
  </si>
  <si>
    <t>17-11-2014 00:00:00</t>
  </si>
  <si>
    <t>26544698</t>
  </si>
  <si>
    <t>ООО "Гарант"</t>
  </si>
  <si>
    <t>3820008299</t>
  </si>
  <si>
    <t>21-06-2003 00:00:00</t>
  </si>
  <si>
    <t>31297800</t>
  </si>
  <si>
    <t>ООО "Дабан"</t>
  </si>
  <si>
    <t>3827038214</t>
  </si>
  <si>
    <t>06-09-2011 00:00:00</t>
  </si>
  <si>
    <t>31296463</t>
  </si>
  <si>
    <t>ООО "ИНК"</t>
  </si>
  <si>
    <t>3808066311</t>
  </si>
  <si>
    <t>31694457</t>
  </si>
  <si>
    <t>ООО "ИТК"</t>
  </si>
  <si>
    <t>3827044560</t>
  </si>
  <si>
    <t>04-03-2014 00:00:00</t>
  </si>
  <si>
    <t>26382359</t>
  </si>
  <si>
    <t>ООО "Коммунальный специальный транспорт"</t>
  </si>
  <si>
    <t>3814008477</t>
  </si>
  <si>
    <t>15-10-2003 00:00:00</t>
  </si>
  <si>
    <t>31716749</t>
  </si>
  <si>
    <t>ООО "Ленком-сервис"</t>
  </si>
  <si>
    <t>3818019014</t>
  </si>
  <si>
    <t>06-06-2007 00:00:00</t>
  </si>
  <si>
    <t>26382371</t>
  </si>
  <si>
    <t>ООО "Наш город"</t>
  </si>
  <si>
    <t>3823017196</t>
  </si>
  <si>
    <t>14-02-2005 00:00:00</t>
  </si>
  <si>
    <t>26843982</t>
  </si>
  <si>
    <t>ООО "РЕГИОНАЛЬНЫЙ СЕВЕРНЫЙ ОПЕРАТОР"</t>
  </si>
  <si>
    <t>3804036877</t>
  </si>
  <si>
    <t>28-11-2006 00:00:00</t>
  </si>
  <si>
    <t>26382358</t>
  </si>
  <si>
    <t>ООО "РТ-НЭО Иркутск"</t>
  </si>
  <si>
    <t>3812065046</t>
  </si>
  <si>
    <t>312301001</t>
  </si>
  <si>
    <t>16-05-2000 00:00:00</t>
  </si>
  <si>
    <t>31670238</t>
  </si>
  <si>
    <t>ООО "РТ-НЭО Переработка отходов"</t>
  </si>
  <si>
    <t>3812524275</t>
  </si>
  <si>
    <t>10-08-2018 00:00:00</t>
  </si>
  <si>
    <t>26382366</t>
  </si>
  <si>
    <t>ООО "СПЕЦАВТО"</t>
  </si>
  <si>
    <t>3818018758</t>
  </si>
  <si>
    <t>31716784</t>
  </si>
  <si>
    <t>ООО "Спецавтосервис"</t>
  </si>
  <si>
    <t>3817021966</t>
  </si>
  <si>
    <t>27-03-2008 00:00:00</t>
  </si>
  <si>
    <t>26652558</t>
  </si>
  <si>
    <t>ООО "Стройфирма"</t>
  </si>
  <si>
    <t>3817024011</t>
  </si>
  <si>
    <t>23-04-2003 00:00:00</t>
  </si>
  <si>
    <t>30933997</t>
  </si>
  <si>
    <t>ООО "ТМП"</t>
  </si>
  <si>
    <t>3851993577</t>
  </si>
  <si>
    <t>12-05-2014 00:00:00</t>
  </si>
  <si>
    <t>26441332</t>
  </si>
  <si>
    <t>ООО "УК Благоустройства"</t>
  </si>
  <si>
    <t>3820010844</t>
  </si>
  <si>
    <t>15-03-2006 00:00:00</t>
  </si>
  <si>
    <t>26382344</t>
  </si>
  <si>
    <t>ООО Вариант плюс</t>
  </si>
  <si>
    <t>3802010087</t>
  </si>
  <si>
    <t>26441463</t>
  </si>
  <si>
    <t>ООО УК "Гарант"</t>
  </si>
  <si>
    <t>3814012402</t>
  </si>
  <si>
    <t>31380605</t>
  </si>
  <si>
    <t>Общество с ограниченной ответственностью «АМП»</t>
  </si>
  <si>
    <t>3801137450</t>
  </si>
  <si>
    <t>28451351</t>
  </si>
  <si>
    <t>ПАО "Аэробратск"</t>
  </si>
  <si>
    <t>3805104706</t>
  </si>
  <si>
    <t>09-08-2000 00:00:00</t>
  </si>
  <si>
    <t>NSRF</t>
  </si>
  <si>
    <t>MR_NAME</t>
  </si>
  <si>
    <t>OKTMO_MR_NAME</t>
  </si>
  <si>
    <t>MO_NAME</t>
  </si>
  <si>
    <t>OKTMO_NAME</t>
  </si>
  <si>
    <t>TYPE</t>
  </si>
  <si>
    <t>MR_ID</t>
  </si>
  <si>
    <t>Аларский муниципальный район</t>
  </si>
  <si>
    <t>25605000</t>
  </si>
  <si>
    <t>муниципальный район</t>
  </si>
  <si>
    <t>Аларь</t>
  </si>
  <si>
    <t>25605402</t>
  </si>
  <si>
    <t>сельское поселение</t>
  </si>
  <si>
    <t>Александровск</t>
  </si>
  <si>
    <t>25605404</t>
  </si>
  <si>
    <t>Аляты</t>
  </si>
  <si>
    <t>25605407</t>
  </si>
  <si>
    <t>Ангарский</t>
  </si>
  <si>
    <t>25605410</t>
  </si>
  <si>
    <t>Бахтай</t>
  </si>
  <si>
    <t>25605413</t>
  </si>
  <si>
    <t>Егоровск</t>
  </si>
  <si>
    <t>25605416</t>
  </si>
  <si>
    <t>Забитуй</t>
  </si>
  <si>
    <t>25605414</t>
  </si>
  <si>
    <t>Зоны</t>
  </si>
  <si>
    <t>25605419</t>
  </si>
  <si>
    <t>Иваническ</t>
  </si>
  <si>
    <t>25605422</t>
  </si>
  <si>
    <t>Куйта</t>
  </si>
  <si>
    <t>25605425</t>
  </si>
  <si>
    <t>Кутулик</t>
  </si>
  <si>
    <t>25605426</t>
  </si>
  <si>
    <t>Маниловск</t>
  </si>
  <si>
    <t>25605427</t>
  </si>
  <si>
    <t>Могоенок</t>
  </si>
  <si>
    <t>25605428</t>
  </si>
  <si>
    <t>Нельхай</t>
  </si>
  <si>
    <t>25605431</t>
  </si>
  <si>
    <t>Ныгда</t>
  </si>
  <si>
    <t>25605432</t>
  </si>
  <si>
    <t>Табарсук</t>
  </si>
  <si>
    <t>25605434</t>
  </si>
  <si>
    <t>Тыргетуй</t>
  </si>
  <si>
    <t>25605437</t>
  </si>
  <si>
    <t>25703000</t>
  </si>
  <si>
    <t>городской округ</t>
  </si>
  <si>
    <t>Ангарский муниципальный район</t>
  </si>
  <si>
    <t>25603000</t>
  </si>
  <si>
    <t>Город Ангарск</t>
  </si>
  <si>
    <t>25603101</t>
  </si>
  <si>
    <t>городское поселение, в состав которого входит город</t>
  </si>
  <si>
    <t>Мегетское</t>
  </si>
  <si>
    <t>25603155</t>
  </si>
  <si>
    <t>городское поселение, в состав которого входит поселок</t>
  </si>
  <si>
    <t>Одинское</t>
  </si>
  <si>
    <t>25603405</t>
  </si>
  <si>
    <t>Савватеевское</t>
  </si>
  <si>
    <t>25603408</t>
  </si>
  <si>
    <t>Балаганский муниципальный район</t>
  </si>
  <si>
    <t>25601000</t>
  </si>
  <si>
    <t>Балаганское</t>
  </si>
  <si>
    <t>25601403</t>
  </si>
  <si>
    <t>Балаганское городское поселение</t>
  </si>
  <si>
    <t>25601151</t>
  </si>
  <si>
    <t>Биритское</t>
  </si>
  <si>
    <t>25601405</t>
  </si>
  <si>
    <t>Заславское</t>
  </si>
  <si>
    <t>25601410</t>
  </si>
  <si>
    <t>Коноваловское</t>
  </si>
  <si>
    <t>25601415</t>
  </si>
  <si>
    <t>Кумарейское</t>
  </si>
  <si>
    <t>25601418</t>
  </si>
  <si>
    <t>Тарнопольское</t>
  </si>
  <si>
    <t>25601425</t>
  </si>
  <si>
    <t>Шарагайское</t>
  </si>
  <si>
    <t>25601435</t>
  </si>
  <si>
    <t>Баяндаевский муниципальный район</t>
  </si>
  <si>
    <t>25607000</t>
  </si>
  <si>
    <t>Баяндай</t>
  </si>
  <si>
    <t>25607405</t>
  </si>
  <si>
    <t>Васильевск</t>
  </si>
  <si>
    <t>25607408</t>
  </si>
  <si>
    <t>Гаханы</t>
  </si>
  <si>
    <t>25607410</t>
  </si>
  <si>
    <t>Курумчинский</t>
  </si>
  <si>
    <t>25607414</t>
  </si>
  <si>
    <t>Кырма</t>
  </si>
  <si>
    <t>25607420</t>
  </si>
  <si>
    <t>Люры</t>
  </si>
  <si>
    <t>25607424</t>
  </si>
  <si>
    <t>Нагалык</t>
  </si>
  <si>
    <t>25607428</t>
  </si>
  <si>
    <t>Ользоны</t>
  </si>
  <si>
    <t>25607432</t>
  </si>
  <si>
    <t>Покровка</t>
  </si>
  <si>
    <t>25607434</t>
  </si>
  <si>
    <t>Половинка</t>
  </si>
  <si>
    <t>25607435</t>
  </si>
  <si>
    <t>Тургеневка</t>
  </si>
  <si>
    <t>25607441</t>
  </si>
  <si>
    <t>Хогот</t>
  </si>
  <si>
    <t>25607448</t>
  </si>
  <si>
    <t>Бодайбинский муниципальный район</t>
  </si>
  <si>
    <t>25602000</t>
  </si>
  <si>
    <t>Артемовское</t>
  </si>
  <si>
    <t>25602155</t>
  </si>
  <si>
    <t>Балахнинское</t>
  </si>
  <si>
    <t>25602156</t>
  </si>
  <si>
    <t>Бодайбинское</t>
  </si>
  <si>
    <t>25602101</t>
  </si>
  <si>
    <t>Жуинское</t>
  </si>
  <si>
    <t>25602402</t>
  </si>
  <si>
    <t>Кропоткинское</t>
  </si>
  <si>
    <t>25602158</t>
  </si>
  <si>
    <t>Мамаканское</t>
  </si>
  <si>
    <t>25602162</t>
  </si>
  <si>
    <t>Боханский муниципальный район</t>
  </si>
  <si>
    <t>25609000</t>
  </si>
  <si>
    <t>Александровское</t>
  </si>
  <si>
    <t>25609402</t>
  </si>
  <si>
    <t>Бохан</t>
  </si>
  <si>
    <t>25609405</t>
  </si>
  <si>
    <t>Буреть</t>
  </si>
  <si>
    <t>25609407</t>
  </si>
  <si>
    <t>Казачье</t>
  </si>
  <si>
    <t>25609416</t>
  </si>
  <si>
    <t>Каменка</t>
  </si>
  <si>
    <t>25609419</t>
  </si>
  <si>
    <t>Новая Ида</t>
  </si>
  <si>
    <t>25609424</t>
  </si>
  <si>
    <t>60</t>
  </si>
  <si>
    <t>Олонки</t>
  </si>
  <si>
    <t>25609429</t>
  </si>
  <si>
    <t>61</t>
  </si>
  <si>
    <t>Середкино</t>
  </si>
  <si>
    <t>25609435</t>
  </si>
  <si>
    <t>62</t>
  </si>
  <si>
    <t>Тараса</t>
  </si>
  <si>
    <t>25609438</t>
  </si>
  <si>
    <t>63</t>
  </si>
  <si>
    <t>Тихоновка</t>
  </si>
  <si>
    <t>25609440</t>
  </si>
  <si>
    <t>64</t>
  </si>
  <si>
    <t>Укыр</t>
  </si>
  <si>
    <t>25609442</t>
  </si>
  <si>
    <t>65</t>
  </si>
  <si>
    <t>Хохорск</t>
  </si>
  <si>
    <t>25609449</t>
  </si>
  <si>
    <t>Шаралдай</t>
  </si>
  <si>
    <t>25609450</t>
  </si>
  <si>
    <t>67</t>
  </si>
  <si>
    <t>Братский муниципальный район</t>
  </si>
  <si>
    <t>25604000</t>
  </si>
  <si>
    <t>Большеокинское</t>
  </si>
  <si>
    <t>25604401</t>
  </si>
  <si>
    <t>69</t>
  </si>
  <si>
    <t>Вихоревское</t>
  </si>
  <si>
    <t>25604103</t>
  </si>
  <si>
    <t>70</t>
  </si>
  <si>
    <t>Добчурское</t>
  </si>
  <si>
    <t>25604402</t>
  </si>
  <si>
    <t>71</t>
  </si>
  <si>
    <t>Зябинское</t>
  </si>
  <si>
    <t>25604456</t>
  </si>
  <si>
    <t>72</t>
  </si>
  <si>
    <t>Илирское</t>
  </si>
  <si>
    <t>25604404</t>
  </si>
  <si>
    <t>73</t>
  </si>
  <si>
    <t>Калтукское</t>
  </si>
  <si>
    <t>25604407</t>
  </si>
  <si>
    <t>74</t>
  </si>
  <si>
    <t>Карахунское</t>
  </si>
  <si>
    <t>25604410</t>
  </si>
  <si>
    <t>75</t>
  </si>
  <si>
    <t>Кежемское</t>
  </si>
  <si>
    <t>25604413</t>
  </si>
  <si>
    <t>76</t>
  </si>
  <si>
    <t>Ключи-Булакское</t>
  </si>
  <si>
    <t>25604416</t>
  </si>
  <si>
    <t>77</t>
  </si>
  <si>
    <t>Кобинское</t>
  </si>
  <si>
    <t>25604457</t>
  </si>
  <si>
    <t>78</t>
  </si>
  <si>
    <t>Кобляковское</t>
  </si>
  <si>
    <t>25604422</t>
  </si>
  <si>
    <t>79</t>
  </si>
  <si>
    <t>Куватское</t>
  </si>
  <si>
    <t>25604458</t>
  </si>
  <si>
    <t>80</t>
  </si>
  <si>
    <t>Кузнецовское</t>
  </si>
  <si>
    <t>25604425</t>
  </si>
  <si>
    <t>81</t>
  </si>
  <si>
    <t>Межселенные территории Братского муниципального района, на которых расположены земли следующих населенных пунктов: п Тынкобь, п Хвойный</t>
  </si>
  <si>
    <t>25604701</t>
  </si>
  <si>
    <t>межселенная территория</t>
  </si>
  <si>
    <t>82</t>
  </si>
  <si>
    <t>Наратайское</t>
  </si>
  <si>
    <t>25604428</t>
  </si>
  <si>
    <t>83</t>
  </si>
  <si>
    <t>Озернинское</t>
  </si>
  <si>
    <t>25604431</t>
  </si>
  <si>
    <t>84</t>
  </si>
  <si>
    <t>Покоснинское</t>
  </si>
  <si>
    <t>25604437</t>
  </si>
  <si>
    <t>85</t>
  </si>
  <si>
    <t>Прибойнинское</t>
  </si>
  <si>
    <t>25604434</t>
  </si>
  <si>
    <t>86</t>
  </si>
  <si>
    <t>Прибрежнинское</t>
  </si>
  <si>
    <t>25604440</t>
  </si>
  <si>
    <t>87</t>
  </si>
  <si>
    <t>Тангуйское</t>
  </si>
  <si>
    <t>25604443</t>
  </si>
  <si>
    <t>88</t>
  </si>
  <si>
    <t>Тарминское</t>
  </si>
  <si>
    <t>25604445</t>
  </si>
  <si>
    <t>89</t>
  </si>
  <si>
    <t>Турманское</t>
  </si>
  <si>
    <t>25604447</t>
  </si>
  <si>
    <t>90</t>
  </si>
  <si>
    <t>Тынкобьское</t>
  </si>
  <si>
    <t>25604449</t>
  </si>
  <si>
    <t>91</t>
  </si>
  <si>
    <t>Тэмьское</t>
  </si>
  <si>
    <t>25604450</t>
  </si>
  <si>
    <t>92</t>
  </si>
  <si>
    <t>Харанжинское</t>
  </si>
  <si>
    <t>25604452</t>
  </si>
  <si>
    <t>93</t>
  </si>
  <si>
    <t>Шумиловское</t>
  </si>
  <si>
    <t>25604455</t>
  </si>
  <si>
    <t>94</t>
  </si>
  <si>
    <t>Жигаловский муниципальный район</t>
  </si>
  <si>
    <t>25606000</t>
  </si>
  <si>
    <t>Дальне-Закорское</t>
  </si>
  <si>
    <t>25606404</t>
  </si>
  <si>
    <t>95</t>
  </si>
  <si>
    <t>96</t>
  </si>
  <si>
    <t>Жигаловское</t>
  </si>
  <si>
    <t>25606151</t>
  </si>
  <si>
    <t>97</t>
  </si>
  <si>
    <t>Знаменское</t>
  </si>
  <si>
    <t>25606407</t>
  </si>
  <si>
    <t>98</t>
  </si>
  <si>
    <t>Лукиновское</t>
  </si>
  <si>
    <t>25606419</t>
  </si>
  <si>
    <t>99</t>
  </si>
  <si>
    <t>Межселенные территории Жигаловского муниципального района, на которых расположены земли следующих населенных пунктов: с Коношаново, д Головское</t>
  </si>
  <si>
    <t>25606701</t>
  </si>
  <si>
    <t>100</t>
  </si>
  <si>
    <t>Петровское</t>
  </si>
  <si>
    <t>25606422</t>
  </si>
  <si>
    <t>101</t>
  </si>
  <si>
    <t>Рудовское</t>
  </si>
  <si>
    <t>25606425</t>
  </si>
  <si>
    <t>102</t>
  </si>
  <si>
    <t>Тимошинское</t>
  </si>
  <si>
    <t>25606431</t>
  </si>
  <si>
    <t>103</t>
  </si>
  <si>
    <t>Тутурское</t>
  </si>
  <si>
    <t>25606434</t>
  </si>
  <si>
    <t>104</t>
  </si>
  <si>
    <t>Усть-Илгинское</t>
  </si>
  <si>
    <t>25606437</t>
  </si>
  <si>
    <t>105</t>
  </si>
  <si>
    <t>Чиканское</t>
  </si>
  <si>
    <t>25606440</t>
  </si>
  <si>
    <t>106</t>
  </si>
  <si>
    <t>Заларинский муниципальный район</t>
  </si>
  <si>
    <t>25608000</t>
  </si>
  <si>
    <t>Бабагайское</t>
  </si>
  <si>
    <t>25608402</t>
  </si>
  <si>
    <t>107</t>
  </si>
  <si>
    <t>Бажирское</t>
  </si>
  <si>
    <t>25608404</t>
  </si>
  <si>
    <t>108</t>
  </si>
  <si>
    <t>Веренское</t>
  </si>
  <si>
    <t>25608407</t>
  </si>
  <si>
    <t>109</t>
  </si>
  <si>
    <t>Владимирское</t>
  </si>
  <si>
    <t>25608410</t>
  </si>
  <si>
    <t>110</t>
  </si>
  <si>
    <t>111</t>
  </si>
  <si>
    <t>Заларинское</t>
  </si>
  <si>
    <t>25608151</t>
  </si>
  <si>
    <t>112</t>
  </si>
  <si>
    <t>Моисеевское</t>
  </si>
  <si>
    <t>25608416</t>
  </si>
  <si>
    <t>113</t>
  </si>
  <si>
    <t>Мойганское</t>
  </si>
  <si>
    <t>25608419</t>
  </si>
  <si>
    <t>114</t>
  </si>
  <si>
    <t>Новочеремховское</t>
  </si>
  <si>
    <t>25608422</t>
  </si>
  <si>
    <t>115</t>
  </si>
  <si>
    <t>Семеновское</t>
  </si>
  <si>
    <t>25608425</t>
  </si>
  <si>
    <t>116</t>
  </si>
  <si>
    <t>Троицкое</t>
  </si>
  <si>
    <t>25608428</t>
  </si>
  <si>
    <t>117</t>
  </si>
  <si>
    <t>Тыретьское</t>
  </si>
  <si>
    <t>25608155</t>
  </si>
  <si>
    <t>118</t>
  </si>
  <si>
    <t>Ханжиновское</t>
  </si>
  <si>
    <t>25608434</t>
  </si>
  <si>
    <t>119</t>
  </si>
  <si>
    <t>Холмогойское</t>
  </si>
  <si>
    <t>25608437</t>
  </si>
  <si>
    <t>120</t>
  </si>
  <si>
    <t>Хор-Тагнинское</t>
  </si>
  <si>
    <t>25608440</t>
  </si>
  <si>
    <t>121</t>
  </si>
  <si>
    <t>Черемшанское</t>
  </si>
  <si>
    <t>25608443</t>
  </si>
  <si>
    <t>122</t>
  </si>
  <si>
    <t>Зиминский муниципальный район</t>
  </si>
  <si>
    <t>25610000</t>
  </si>
  <si>
    <t>Батаминское</t>
  </si>
  <si>
    <t>25610402</t>
  </si>
  <si>
    <t>123</t>
  </si>
  <si>
    <t>Буринское</t>
  </si>
  <si>
    <t>25610403</t>
  </si>
  <si>
    <t>124</t>
  </si>
  <si>
    <t>125</t>
  </si>
  <si>
    <t>Зулумайское</t>
  </si>
  <si>
    <t>25610404</t>
  </si>
  <si>
    <t>126</t>
  </si>
  <si>
    <t>Кимильтейское</t>
  </si>
  <si>
    <t>25610407</t>
  </si>
  <si>
    <t>127</t>
  </si>
  <si>
    <t>Масляногорское</t>
  </si>
  <si>
    <t>25610413</t>
  </si>
  <si>
    <t>128</t>
  </si>
  <si>
    <t>Новолетниковское</t>
  </si>
  <si>
    <t>25610416</t>
  </si>
  <si>
    <t>129</t>
  </si>
  <si>
    <t>Покровское</t>
  </si>
  <si>
    <t>25610419</t>
  </si>
  <si>
    <t>130</t>
  </si>
  <si>
    <t>Услонское</t>
  </si>
  <si>
    <t>25610422</t>
  </si>
  <si>
    <t>131</t>
  </si>
  <si>
    <t>Ухтуйское</t>
  </si>
  <si>
    <t>25610425</t>
  </si>
  <si>
    <t>132</t>
  </si>
  <si>
    <t>Филипповское</t>
  </si>
  <si>
    <t>25610428</t>
  </si>
  <si>
    <t>133</t>
  </si>
  <si>
    <t>Хазанское</t>
  </si>
  <si>
    <t>25610431</t>
  </si>
  <si>
    <t>134</t>
  </si>
  <si>
    <t>Харайгунское</t>
  </si>
  <si>
    <t>25610435</t>
  </si>
  <si>
    <t>135</t>
  </si>
  <si>
    <t>Зиминское</t>
  </si>
  <si>
    <t>25720000</t>
  </si>
  <si>
    <t>136</t>
  </si>
  <si>
    <t>Иркутский муниципальный район</t>
  </si>
  <si>
    <t>25612000</t>
  </si>
  <si>
    <t>Большереченское</t>
  </si>
  <si>
    <t>25612155</t>
  </si>
  <si>
    <t>137</t>
  </si>
  <si>
    <t>Голоустненское</t>
  </si>
  <si>
    <t>25612404</t>
  </si>
  <si>
    <t>138</t>
  </si>
  <si>
    <t>Гороховское</t>
  </si>
  <si>
    <t>25612407</t>
  </si>
  <si>
    <t>139</t>
  </si>
  <si>
    <t>Дзержинское</t>
  </si>
  <si>
    <t>25612438</t>
  </si>
  <si>
    <t>140</t>
  </si>
  <si>
    <t>141</t>
  </si>
  <si>
    <t>Карлукское</t>
  </si>
  <si>
    <t>25612408</t>
  </si>
  <si>
    <t>142</t>
  </si>
  <si>
    <t>Листвянское</t>
  </si>
  <si>
    <t>25612160</t>
  </si>
  <si>
    <t>143</t>
  </si>
  <si>
    <t>Максимовское</t>
  </si>
  <si>
    <t>25612410</t>
  </si>
  <si>
    <t>144</t>
  </si>
  <si>
    <t>Мамонское</t>
  </si>
  <si>
    <t>25612439</t>
  </si>
  <si>
    <t>145</t>
  </si>
  <si>
    <t>Марковское</t>
  </si>
  <si>
    <t>25612163</t>
  </si>
  <si>
    <t>146</t>
  </si>
  <si>
    <t>Молодежное</t>
  </si>
  <si>
    <t>25612440</t>
  </si>
  <si>
    <t>147</t>
  </si>
  <si>
    <t>Никольское</t>
  </si>
  <si>
    <t>25612413</t>
  </si>
  <si>
    <t>148</t>
  </si>
  <si>
    <t>Оекское</t>
  </si>
  <si>
    <t>25612416</t>
  </si>
  <si>
    <t>149</t>
  </si>
  <si>
    <t>Ревякинское</t>
  </si>
  <si>
    <t>25612419</t>
  </si>
  <si>
    <t>150</t>
  </si>
  <si>
    <t>Смоленское</t>
  </si>
  <si>
    <t>25612422</t>
  </si>
  <si>
    <t>151</t>
  </si>
  <si>
    <t>Сосновоборское</t>
  </si>
  <si>
    <t>25612441</t>
  </si>
  <si>
    <t>152</t>
  </si>
  <si>
    <t>Уриковское</t>
  </si>
  <si>
    <t>25612425</t>
  </si>
  <si>
    <t>153</t>
  </si>
  <si>
    <t>Усть-Балейское</t>
  </si>
  <si>
    <t>25612428</t>
  </si>
  <si>
    <t>154</t>
  </si>
  <si>
    <t>Усть-Кудинское</t>
  </si>
  <si>
    <t>25612442</t>
  </si>
  <si>
    <t>155</t>
  </si>
  <si>
    <t>Ушаковское</t>
  </si>
  <si>
    <t>25612431</t>
  </si>
  <si>
    <t>156</t>
  </si>
  <si>
    <t>Хомутовское</t>
  </si>
  <si>
    <t>25612434</t>
  </si>
  <si>
    <t>157</t>
  </si>
  <si>
    <t>Ширяевское</t>
  </si>
  <si>
    <t>25612437</t>
  </si>
  <si>
    <t>158</t>
  </si>
  <si>
    <t>Казачинско-Ленский муниципальный район</t>
  </si>
  <si>
    <t>25614000</t>
  </si>
  <si>
    <t>159</t>
  </si>
  <si>
    <t>Казачинское</t>
  </si>
  <si>
    <t>25614404</t>
  </si>
  <si>
    <t>160</t>
  </si>
  <si>
    <t>Карамское</t>
  </si>
  <si>
    <t>25614407</t>
  </si>
  <si>
    <t>161</t>
  </si>
  <si>
    <t>Ключевское</t>
  </si>
  <si>
    <t>25614417</t>
  </si>
  <si>
    <t>162</t>
  </si>
  <si>
    <t>Кунерминское</t>
  </si>
  <si>
    <t>25614423</t>
  </si>
  <si>
    <t>163</t>
  </si>
  <si>
    <t>Магистральнинское</t>
  </si>
  <si>
    <t>25614154</t>
  </si>
  <si>
    <t>164</t>
  </si>
  <si>
    <t>Мартыновское</t>
  </si>
  <si>
    <t>25614413</t>
  </si>
  <si>
    <t>165</t>
  </si>
  <si>
    <t>Межселенные территории Казачинско-Ленского муниципального района, на которых расположены земли следующих населенных пунктов: д Вершина Ханды</t>
  </si>
  <si>
    <t>25614701</t>
  </si>
  <si>
    <t>166</t>
  </si>
  <si>
    <t>Небельское</t>
  </si>
  <si>
    <t>25614418</t>
  </si>
  <si>
    <t>167</t>
  </si>
  <si>
    <t>Новоселовское</t>
  </si>
  <si>
    <t>25614416</t>
  </si>
  <si>
    <t>168</t>
  </si>
  <si>
    <t>Тарасовское</t>
  </si>
  <si>
    <t>25614419</t>
  </si>
  <si>
    <t>169</t>
  </si>
  <si>
    <t>Ульканское</t>
  </si>
  <si>
    <t>25614158</t>
  </si>
  <si>
    <t>170</t>
  </si>
  <si>
    <t>городское поселение Кунерминское</t>
  </si>
  <si>
    <t>25614153</t>
  </si>
  <si>
    <t>171</t>
  </si>
  <si>
    <t>Катангский муниципальный район</t>
  </si>
  <si>
    <t>25616000</t>
  </si>
  <si>
    <t>Ербогаченское</t>
  </si>
  <si>
    <t>25616404</t>
  </si>
  <si>
    <t>172</t>
  </si>
  <si>
    <t>173</t>
  </si>
  <si>
    <t>Непское</t>
  </si>
  <si>
    <t>25616419</t>
  </si>
  <si>
    <t>174</t>
  </si>
  <si>
    <t>Подволошинское</t>
  </si>
  <si>
    <t>25616425</t>
  </si>
  <si>
    <t>175</t>
  </si>
  <si>
    <t>Преображенское</t>
  </si>
  <si>
    <t>25616428</t>
  </si>
  <si>
    <t>176</t>
  </si>
  <si>
    <t>Качугский муниципальный район</t>
  </si>
  <si>
    <t>25618000</t>
  </si>
  <si>
    <t>Ангинское</t>
  </si>
  <si>
    <t>25618402</t>
  </si>
  <si>
    <t>177</t>
  </si>
  <si>
    <t>Белоусовское</t>
  </si>
  <si>
    <t>25618404</t>
  </si>
  <si>
    <t>178</t>
  </si>
  <si>
    <t>Бирюльское</t>
  </si>
  <si>
    <t>25618407</t>
  </si>
  <si>
    <t>179</t>
  </si>
  <si>
    <t>Большетарельское</t>
  </si>
  <si>
    <t>25618410</t>
  </si>
  <si>
    <t>180</t>
  </si>
  <si>
    <t>Бутаковское</t>
  </si>
  <si>
    <t>25618413</t>
  </si>
  <si>
    <t>181</t>
  </si>
  <si>
    <t>Верхоленское</t>
  </si>
  <si>
    <t>25618419</t>
  </si>
  <si>
    <t>182</t>
  </si>
  <si>
    <t>Вершино-Тутурское</t>
  </si>
  <si>
    <t>25618416</t>
  </si>
  <si>
    <t>183</t>
  </si>
  <si>
    <t>Залогское</t>
  </si>
  <si>
    <t>25618422</t>
  </si>
  <si>
    <t>184</t>
  </si>
  <si>
    <t>Зареченское</t>
  </si>
  <si>
    <t>25618425</t>
  </si>
  <si>
    <t>185</t>
  </si>
  <si>
    <t>25618428</t>
  </si>
  <si>
    <t>186</t>
  </si>
  <si>
    <t>187</t>
  </si>
  <si>
    <t>Качугское городское поселение</t>
  </si>
  <si>
    <t>25618151</t>
  </si>
  <si>
    <t>188</t>
  </si>
  <si>
    <t>Качугское сельское поселение</t>
  </si>
  <si>
    <t>25618431</t>
  </si>
  <si>
    <t>189</t>
  </si>
  <si>
    <t>Манзурское</t>
  </si>
  <si>
    <t>25618437</t>
  </si>
  <si>
    <t>190</t>
  </si>
  <si>
    <t>Харбатовское</t>
  </si>
  <si>
    <t>25618443</t>
  </si>
  <si>
    <t>191</t>
  </si>
  <si>
    <t>Киренский муниципальный район</t>
  </si>
  <si>
    <t>25620000</t>
  </si>
  <si>
    <t>Алексеевское</t>
  </si>
  <si>
    <t>25620155</t>
  </si>
  <si>
    <t>192</t>
  </si>
  <si>
    <t>Алымовское</t>
  </si>
  <si>
    <t>25620402</t>
  </si>
  <si>
    <t>193</t>
  </si>
  <si>
    <t>Бубновское</t>
  </si>
  <si>
    <t>25620407</t>
  </si>
  <si>
    <t>194</t>
  </si>
  <si>
    <t>Визирнинское</t>
  </si>
  <si>
    <t>25620410</t>
  </si>
  <si>
    <t>195</t>
  </si>
  <si>
    <t>196</t>
  </si>
  <si>
    <t>Киренское</t>
  </si>
  <si>
    <t>25620101</t>
  </si>
  <si>
    <t>197</t>
  </si>
  <si>
    <t>Коршуновское</t>
  </si>
  <si>
    <t>25620419</t>
  </si>
  <si>
    <t>198</t>
  </si>
  <si>
    <t>Криволукское</t>
  </si>
  <si>
    <t>25620425</t>
  </si>
  <si>
    <t>199</t>
  </si>
  <si>
    <t>Макаровское</t>
  </si>
  <si>
    <t>25620431</t>
  </si>
  <si>
    <t>200</t>
  </si>
  <si>
    <t>Межселенные территории Киренского муниципального района, на территории которых расположены земли следующих населенных пунктов: с Улькан, с Красноярово, п Визирный</t>
  </si>
  <si>
    <t>25620701</t>
  </si>
  <si>
    <t>201</t>
  </si>
  <si>
    <t>Мироновское</t>
  </si>
  <si>
    <t>25620434</t>
  </si>
  <si>
    <t>202</t>
  </si>
  <si>
    <t>25620435</t>
  </si>
  <si>
    <t>203</t>
  </si>
  <si>
    <t>Петропавловское</t>
  </si>
  <si>
    <t>25620437</t>
  </si>
  <si>
    <t>204</t>
  </si>
  <si>
    <t>Юбилейнинское</t>
  </si>
  <si>
    <t>25620453</t>
  </si>
  <si>
    <t>205</t>
  </si>
  <si>
    <t>Куйтунский муниципальный район</t>
  </si>
  <si>
    <t>25622000</t>
  </si>
  <si>
    <t>Алкинское</t>
  </si>
  <si>
    <t>25622404</t>
  </si>
  <si>
    <t>206</t>
  </si>
  <si>
    <t>Андрюшинское</t>
  </si>
  <si>
    <t>25622410</t>
  </si>
  <si>
    <t>207</t>
  </si>
  <si>
    <t>Барлукское</t>
  </si>
  <si>
    <t>25622413</t>
  </si>
  <si>
    <t>208</t>
  </si>
  <si>
    <t>Большекашелакское</t>
  </si>
  <si>
    <t>25622416</t>
  </si>
  <si>
    <t>209</t>
  </si>
  <si>
    <t>Иркутское</t>
  </si>
  <si>
    <t>25622425</t>
  </si>
  <si>
    <t>210</t>
  </si>
  <si>
    <t>Каразейское</t>
  </si>
  <si>
    <t>25622428</t>
  </si>
  <si>
    <t>211</t>
  </si>
  <si>
    <t>Карымское</t>
  </si>
  <si>
    <t>25622434</t>
  </si>
  <si>
    <t>212</t>
  </si>
  <si>
    <t>213</t>
  </si>
  <si>
    <t>Куйтунское</t>
  </si>
  <si>
    <t>25622151</t>
  </si>
  <si>
    <t>214</t>
  </si>
  <si>
    <t>Кундуйское</t>
  </si>
  <si>
    <t>25622436</t>
  </si>
  <si>
    <t>215</t>
  </si>
  <si>
    <t>Ленинское</t>
  </si>
  <si>
    <t>25622438</t>
  </si>
  <si>
    <t>216</t>
  </si>
  <si>
    <t>Лермонтовское</t>
  </si>
  <si>
    <t>25622440</t>
  </si>
  <si>
    <t>217</t>
  </si>
  <si>
    <t>Мингатуйское</t>
  </si>
  <si>
    <t>25622443</t>
  </si>
  <si>
    <t>218</t>
  </si>
  <si>
    <t>25622446</t>
  </si>
  <si>
    <t>219</t>
  </si>
  <si>
    <t>Новотельбинское</t>
  </si>
  <si>
    <t>25622447</t>
  </si>
  <si>
    <t>220</t>
  </si>
  <si>
    <t>Панагинское</t>
  </si>
  <si>
    <t>25622462</t>
  </si>
  <si>
    <t>221</t>
  </si>
  <si>
    <t>Тулюшское</t>
  </si>
  <si>
    <t>25622449</t>
  </si>
  <si>
    <t>222</t>
  </si>
  <si>
    <t>Усть-Кадинское</t>
  </si>
  <si>
    <t>25622452</t>
  </si>
  <si>
    <t>223</t>
  </si>
  <si>
    <t>Уховское</t>
  </si>
  <si>
    <t>25622454</t>
  </si>
  <si>
    <t>224</t>
  </si>
  <si>
    <t>Уянское</t>
  </si>
  <si>
    <t>25622455</t>
  </si>
  <si>
    <t>225</t>
  </si>
  <si>
    <t>Харикское</t>
  </si>
  <si>
    <t>25622458</t>
  </si>
  <si>
    <t>226</t>
  </si>
  <si>
    <t>Чеботарихинское</t>
  </si>
  <si>
    <t>25622461</t>
  </si>
  <si>
    <t>227</t>
  </si>
  <si>
    <t>Мамско-Чуйский муниципальный район</t>
  </si>
  <si>
    <t>25624000</t>
  </si>
  <si>
    <t>Витимское</t>
  </si>
  <si>
    <t>25624155</t>
  </si>
  <si>
    <t>228</t>
  </si>
  <si>
    <t>Горно-Чуйское</t>
  </si>
  <si>
    <t>25624160</t>
  </si>
  <si>
    <t>229</t>
  </si>
  <si>
    <t>Луговское</t>
  </si>
  <si>
    <t>25624170</t>
  </si>
  <si>
    <t>230</t>
  </si>
  <si>
    <t>231</t>
  </si>
  <si>
    <t>Мамское</t>
  </si>
  <si>
    <t>25624151</t>
  </si>
  <si>
    <t>232</t>
  </si>
  <si>
    <t>Межселенная территория Мамско-Чуйского муниципального района, расположенная вне границ муниципальных образований Мамско-Чуйского муниципального района</t>
  </si>
  <si>
    <t>25624701</t>
  </si>
  <si>
    <t>233</t>
  </si>
  <si>
    <t>Согдиондонское</t>
  </si>
  <si>
    <t>25624178</t>
  </si>
  <si>
    <t>234</t>
  </si>
  <si>
    <t>Нижнеилимский муниципальный район</t>
  </si>
  <si>
    <t>25626000</t>
  </si>
  <si>
    <t>Березняковское</t>
  </si>
  <si>
    <t>25626402</t>
  </si>
  <si>
    <t>235</t>
  </si>
  <si>
    <t>Брусничное</t>
  </si>
  <si>
    <t>25626404</t>
  </si>
  <si>
    <t>236</t>
  </si>
  <si>
    <t>Видимское</t>
  </si>
  <si>
    <t>25626155</t>
  </si>
  <si>
    <t>237</t>
  </si>
  <si>
    <t>Дальнинское</t>
  </si>
  <si>
    <t>25626406</t>
  </si>
  <si>
    <t>238</t>
  </si>
  <si>
    <t>Железногорское</t>
  </si>
  <si>
    <t>25626101</t>
  </si>
  <si>
    <t>239</t>
  </si>
  <si>
    <t>Заморское</t>
  </si>
  <si>
    <t>25626408</t>
  </si>
  <si>
    <t>240</t>
  </si>
  <si>
    <t>25626411</t>
  </si>
  <si>
    <t>241</t>
  </si>
  <si>
    <t>Межселенные территории Нижнеилимского муниципального района, на которых расположены земли следующих населенных пунктов: п Заярск, п Миндей 1 и др.</t>
  </si>
  <si>
    <t>25626701</t>
  </si>
  <si>
    <t>242</t>
  </si>
  <si>
    <t>243</t>
  </si>
  <si>
    <t>Новоигирминское</t>
  </si>
  <si>
    <t>25626160</t>
  </si>
  <si>
    <t>244</t>
  </si>
  <si>
    <t>Новоилимское</t>
  </si>
  <si>
    <t>25626412</t>
  </si>
  <si>
    <t>245</t>
  </si>
  <si>
    <t>Радищевское</t>
  </si>
  <si>
    <t>25626162</t>
  </si>
  <si>
    <t>246</t>
  </si>
  <si>
    <t>Речушинское</t>
  </si>
  <si>
    <t>25626413</t>
  </si>
  <si>
    <t>247</t>
  </si>
  <si>
    <t>Рудногорское</t>
  </si>
  <si>
    <t>25626163</t>
  </si>
  <si>
    <t>248</t>
  </si>
  <si>
    <t>Семигорское</t>
  </si>
  <si>
    <t>25626418</t>
  </si>
  <si>
    <t>249</t>
  </si>
  <si>
    <t>Соцгородское</t>
  </si>
  <si>
    <t>25626420</t>
  </si>
  <si>
    <t>250</t>
  </si>
  <si>
    <t>Хребтовское</t>
  </si>
  <si>
    <t>25626165</t>
  </si>
  <si>
    <t>251</t>
  </si>
  <si>
    <t>Шестаковское</t>
  </si>
  <si>
    <t>25626425</t>
  </si>
  <si>
    <t>252</t>
  </si>
  <si>
    <t>Янгелевское</t>
  </si>
  <si>
    <t>25626175</t>
  </si>
  <si>
    <t>253</t>
  </si>
  <si>
    <t>городское поселение Шестаковское</t>
  </si>
  <si>
    <t>25626170</t>
  </si>
  <si>
    <t>254</t>
  </si>
  <si>
    <t>Нижнеудинский муниципальный район</t>
  </si>
  <si>
    <t>25628000</t>
  </si>
  <si>
    <t>Алзамайcкое</t>
  </si>
  <si>
    <t>25628105</t>
  </si>
  <si>
    <t>255</t>
  </si>
  <si>
    <t>Атагайское</t>
  </si>
  <si>
    <t>25628155</t>
  </si>
  <si>
    <t>256</t>
  </si>
  <si>
    <t>Верхнегутарское</t>
  </si>
  <si>
    <t>25628407</t>
  </si>
  <si>
    <t>257</t>
  </si>
  <si>
    <t>Замзорское</t>
  </si>
  <si>
    <t>25628410</t>
  </si>
  <si>
    <t>258</t>
  </si>
  <si>
    <t>Заречное</t>
  </si>
  <si>
    <t>25628411</t>
  </si>
  <si>
    <t>259</t>
  </si>
  <si>
    <t>Иргейское</t>
  </si>
  <si>
    <t>25628413</t>
  </si>
  <si>
    <t>260</t>
  </si>
  <si>
    <t>Каменское</t>
  </si>
  <si>
    <t>25628416</t>
  </si>
  <si>
    <t>261</t>
  </si>
  <si>
    <t>Катарбейское</t>
  </si>
  <si>
    <t>25628419</t>
  </si>
  <si>
    <t>262</t>
  </si>
  <si>
    <t>Катарминское</t>
  </si>
  <si>
    <t>25628422</t>
  </si>
  <si>
    <t>263</t>
  </si>
  <si>
    <t>Костинское</t>
  </si>
  <si>
    <t>25628423</t>
  </si>
  <si>
    <t>264</t>
  </si>
  <si>
    <t>Нерхинское</t>
  </si>
  <si>
    <t>25628424</t>
  </si>
  <si>
    <t>265</t>
  </si>
  <si>
    <t>266</t>
  </si>
  <si>
    <t>Нижнеудинское</t>
  </si>
  <si>
    <t>25628101</t>
  </si>
  <si>
    <t>267</t>
  </si>
  <si>
    <t>Порогское</t>
  </si>
  <si>
    <t>25628425</t>
  </si>
  <si>
    <t>268</t>
  </si>
  <si>
    <t>Солонецкое</t>
  </si>
  <si>
    <t>25628428</t>
  </si>
  <si>
    <t>269</t>
  </si>
  <si>
    <t>Староалзамайское</t>
  </si>
  <si>
    <t>25628402</t>
  </si>
  <si>
    <t>270</t>
  </si>
  <si>
    <t>Тофаларское</t>
  </si>
  <si>
    <t>25628431</t>
  </si>
  <si>
    <t>271</t>
  </si>
  <si>
    <t>Уковское</t>
  </si>
  <si>
    <t>25628160</t>
  </si>
  <si>
    <t>272</t>
  </si>
  <si>
    <t>Усть-Рубахинское</t>
  </si>
  <si>
    <t>25628434</t>
  </si>
  <si>
    <t>273</t>
  </si>
  <si>
    <t>Худоеланское</t>
  </si>
  <si>
    <t>25628437</t>
  </si>
  <si>
    <t>274</t>
  </si>
  <si>
    <t>Чеховское</t>
  </si>
  <si>
    <t>25628440</t>
  </si>
  <si>
    <t>275</t>
  </si>
  <si>
    <t>Шебертинское</t>
  </si>
  <si>
    <t>25628443</t>
  </si>
  <si>
    <t>276</t>
  </si>
  <si>
    <t>Широковское</t>
  </si>
  <si>
    <t>25628446</t>
  </si>
  <si>
    <t>277</t>
  </si>
  <si>
    <t>Шумское</t>
  </si>
  <si>
    <t>25628165</t>
  </si>
  <si>
    <t>278</t>
  </si>
  <si>
    <t>Нукутский муниципальный район</t>
  </si>
  <si>
    <t>25629000</t>
  </si>
  <si>
    <t>Алтарик</t>
  </si>
  <si>
    <t>25629402</t>
  </si>
  <si>
    <t>279</t>
  </si>
  <si>
    <t>Закулей</t>
  </si>
  <si>
    <t>25629404</t>
  </si>
  <si>
    <t>280</t>
  </si>
  <si>
    <t>Новоленино</t>
  </si>
  <si>
    <t>25629407</t>
  </si>
  <si>
    <t>281</t>
  </si>
  <si>
    <t>Новонукутское</t>
  </si>
  <si>
    <t>25629410</t>
  </si>
  <si>
    <t>282</t>
  </si>
  <si>
    <t>283</t>
  </si>
  <si>
    <t>Нукуты</t>
  </si>
  <si>
    <t>25629413</t>
  </si>
  <si>
    <t>284</t>
  </si>
  <si>
    <t>Первомайское</t>
  </si>
  <si>
    <t>25629416</t>
  </si>
  <si>
    <t>285</t>
  </si>
  <si>
    <t>Хадахан</t>
  </si>
  <si>
    <t>25629419</t>
  </si>
  <si>
    <t>286</t>
  </si>
  <si>
    <t>Хареты</t>
  </si>
  <si>
    <t>25629420</t>
  </si>
  <si>
    <t>287</t>
  </si>
  <si>
    <t>Целинный</t>
  </si>
  <si>
    <t>25629422</t>
  </si>
  <si>
    <t>288</t>
  </si>
  <si>
    <t>Шаратское</t>
  </si>
  <si>
    <t>25629427</t>
  </si>
  <si>
    <t>289</t>
  </si>
  <si>
    <t>Ольхонский муниципальный район</t>
  </si>
  <si>
    <t>25630000</t>
  </si>
  <si>
    <t>Бугульдейское</t>
  </si>
  <si>
    <t>25630402</t>
  </si>
  <si>
    <t>290</t>
  </si>
  <si>
    <t>Еланцынское</t>
  </si>
  <si>
    <t>25630404</t>
  </si>
  <si>
    <t>291</t>
  </si>
  <si>
    <t>Куретское</t>
  </si>
  <si>
    <t>25630410</t>
  </si>
  <si>
    <t>292</t>
  </si>
  <si>
    <t>293</t>
  </si>
  <si>
    <t>Онгуренское</t>
  </si>
  <si>
    <t>25630407</t>
  </si>
  <si>
    <t>294</t>
  </si>
  <si>
    <t>Поселок Хужир</t>
  </si>
  <si>
    <t>25630155</t>
  </si>
  <si>
    <t>295</t>
  </si>
  <si>
    <t>Хужирское</t>
  </si>
  <si>
    <t>25630420</t>
  </si>
  <si>
    <t>296</t>
  </si>
  <si>
    <t>Шара-Тоготское</t>
  </si>
  <si>
    <t>25630413</t>
  </si>
  <si>
    <t>297</t>
  </si>
  <si>
    <t>Осинский муниципальный район</t>
  </si>
  <si>
    <t>25631000</t>
  </si>
  <si>
    <t>Бильчир</t>
  </si>
  <si>
    <t>25631404</t>
  </si>
  <si>
    <t>298</t>
  </si>
  <si>
    <t>Бурят-Янгуты</t>
  </si>
  <si>
    <t>25631407</t>
  </si>
  <si>
    <t>299</t>
  </si>
  <si>
    <t>Ирхидей</t>
  </si>
  <si>
    <t>25631417</t>
  </si>
  <si>
    <t>300</t>
  </si>
  <si>
    <t>Каха-Онгойское</t>
  </si>
  <si>
    <t>25631422</t>
  </si>
  <si>
    <t>301</t>
  </si>
  <si>
    <t>Майск</t>
  </si>
  <si>
    <t>25631424</t>
  </si>
  <si>
    <t>302</t>
  </si>
  <si>
    <t>Ново-Ленино</t>
  </si>
  <si>
    <t>25631425</t>
  </si>
  <si>
    <t>303</t>
  </si>
  <si>
    <t>Обуса</t>
  </si>
  <si>
    <t>25631426</t>
  </si>
  <si>
    <t>304</t>
  </si>
  <si>
    <t>Оса</t>
  </si>
  <si>
    <t>25631427</t>
  </si>
  <si>
    <t>305</t>
  </si>
  <si>
    <t>306</t>
  </si>
  <si>
    <t>Поселок Приморский</t>
  </si>
  <si>
    <t>25631429</t>
  </si>
  <si>
    <t>307</t>
  </si>
  <si>
    <t>Русские Янгуты</t>
  </si>
  <si>
    <t>25631433</t>
  </si>
  <si>
    <t>308</t>
  </si>
  <si>
    <t>Улейское</t>
  </si>
  <si>
    <t>25631440</t>
  </si>
  <si>
    <t>309</t>
  </si>
  <si>
    <t>Усть-Алтан</t>
  </si>
  <si>
    <t>25631445</t>
  </si>
  <si>
    <t>310</t>
  </si>
  <si>
    <t>Слюдянский муниципальный район</t>
  </si>
  <si>
    <t>25634000</t>
  </si>
  <si>
    <t>Байкальское</t>
  </si>
  <si>
    <t>25634108</t>
  </si>
  <si>
    <t>311</t>
  </si>
  <si>
    <t>Быстринское</t>
  </si>
  <si>
    <t>25634402</t>
  </si>
  <si>
    <t>312</t>
  </si>
  <si>
    <t>Култукское</t>
  </si>
  <si>
    <t>25634162</t>
  </si>
  <si>
    <t>313</t>
  </si>
  <si>
    <t>Маритуйское</t>
  </si>
  <si>
    <t>25634404</t>
  </si>
  <si>
    <t>314</t>
  </si>
  <si>
    <t>Новоснежнинское</t>
  </si>
  <si>
    <t>25634408</t>
  </si>
  <si>
    <t>315</t>
  </si>
  <si>
    <t>Портбайкальское</t>
  </si>
  <si>
    <t>25634420</t>
  </si>
  <si>
    <t>316</t>
  </si>
  <si>
    <t>317</t>
  </si>
  <si>
    <t>Слюдянское</t>
  </si>
  <si>
    <t>25634101</t>
  </si>
  <si>
    <t>318</t>
  </si>
  <si>
    <t>Утуликское</t>
  </si>
  <si>
    <t>25634407</t>
  </si>
  <si>
    <t>319</t>
  </si>
  <si>
    <t>25636000</t>
  </si>
  <si>
    <t>Березовское</t>
  </si>
  <si>
    <t>25636404</t>
  </si>
  <si>
    <t>320</t>
  </si>
  <si>
    <t>Бирюсинское</t>
  </si>
  <si>
    <t>25636406</t>
  </si>
  <si>
    <t>321</t>
  </si>
  <si>
    <t>Бирюсинское городское поселение</t>
  </si>
  <si>
    <t>25636105</t>
  </si>
  <si>
    <t>322</t>
  </si>
  <si>
    <t>Борисовское</t>
  </si>
  <si>
    <t>25636408</t>
  </si>
  <si>
    <t>323</t>
  </si>
  <si>
    <t>Брусовское</t>
  </si>
  <si>
    <t>25636462</t>
  </si>
  <si>
    <t>324</t>
  </si>
  <si>
    <t>Бузыкановское</t>
  </si>
  <si>
    <t>25636410</t>
  </si>
  <si>
    <t>325</t>
  </si>
  <si>
    <t>Венгерское</t>
  </si>
  <si>
    <t>25636440</t>
  </si>
  <si>
    <t>326</t>
  </si>
  <si>
    <t>Джогинское</t>
  </si>
  <si>
    <t>25636413</t>
  </si>
  <si>
    <t>327</t>
  </si>
  <si>
    <t>Екунчетское</t>
  </si>
  <si>
    <t>25636463</t>
  </si>
  <si>
    <t>328</t>
  </si>
  <si>
    <t>Еланское</t>
  </si>
  <si>
    <t>25636415</t>
  </si>
  <si>
    <t>329</t>
  </si>
  <si>
    <t>25636417</t>
  </si>
  <si>
    <t>330</t>
  </si>
  <si>
    <t>Квитокское</t>
  </si>
  <si>
    <t>25636155</t>
  </si>
  <si>
    <t>331</t>
  </si>
  <si>
    <t>Межселенные территории Тайшетского муниципального района, расположенные вне границ муниципальных образований Тайшетского муниципального района</t>
  </si>
  <si>
    <t>25636701</t>
  </si>
  <si>
    <t>332</t>
  </si>
  <si>
    <t>Мирнинское</t>
  </si>
  <si>
    <t>25636427</t>
  </si>
  <si>
    <t>333</t>
  </si>
  <si>
    <t>Нижнезаимское</t>
  </si>
  <si>
    <t>25636431</t>
  </si>
  <si>
    <t>334</t>
  </si>
  <si>
    <t>Николаевское</t>
  </si>
  <si>
    <t>25636428</t>
  </si>
  <si>
    <t>335</t>
  </si>
  <si>
    <t>Новобирюсинское</t>
  </si>
  <si>
    <t>25636162</t>
  </si>
  <si>
    <t>336</t>
  </si>
  <si>
    <t>Полинчетское</t>
  </si>
  <si>
    <t>25636422</t>
  </si>
  <si>
    <t>337</t>
  </si>
  <si>
    <t>Половино-Черемховское</t>
  </si>
  <si>
    <t>25636434</t>
  </si>
  <si>
    <t>338</t>
  </si>
  <si>
    <t>Разгонское</t>
  </si>
  <si>
    <t>25636465</t>
  </si>
  <si>
    <t>339</t>
  </si>
  <si>
    <t>Рождественское</t>
  </si>
  <si>
    <t>25636437</t>
  </si>
  <si>
    <t>340</t>
  </si>
  <si>
    <t>Соляновское</t>
  </si>
  <si>
    <t>25636443</t>
  </si>
  <si>
    <t>341</t>
  </si>
  <si>
    <t>Старо-Акульшетское</t>
  </si>
  <si>
    <t>25636402</t>
  </si>
  <si>
    <t>342</t>
  </si>
  <si>
    <t>343</t>
  </si>
  <si>
    <t>Тальское</t>
  </si>
  <si>
    <t>25636446</t>
  </si>
  <si>
    <t>345</t>
  </si>
  <si>
    <t>Тамтачетское</t>
  </si>
  <si>
    <t>25636466</t>
  </si>
  <si>
    <t>346</t>
  </si>
  <si>
    <t>Тимирязевское</t>
  </si>
  <si>
    <t>25636452</t>
  </si>
  <si>
    <t>347</t>
  </si>
  <si>
    <t>Черчетское</t>
  </si>
  <si>
    <t>25636455</t>
  </si>
  <si>
    <t>348</t>
  </si>
  <si>
    <t>Шелаевское</t>
  </si>
  <si>
    <t>25636458</t>
  </si>
  <si>
    <t>349</t>
  </si>
  <si>
    <t>Шелеховское</t>
  </si>
  <si>
    <t>25636461</t>
  </si>
  <si>
    <t>350</t>
  </si>
  <si>
    <t>Шиткинское</t>
  </si>
  <si>
    <t>25636174</t>
  </si>
  <si>
    <t>351</t>
  </si>
  <si>
    <t>Юртинское</t>
  </si>
  <si>
    <t>25636156</t>
  </si>
  <si>
    <t>352</t>
  </si>
  <si>
    <t>Тулунский муниципальный район</t>
  </si>
  <si>
    <t>25638000</t>
  </si>
  <si>
    <t>Азейское</t>
  </si>
  <si>
    <t>25638401</t>
  </si>
  <si>
    <t>353</t>
  </si>
  <si>
    <t>Алгатуйское</t>
  </si>
  <si>
    <t>25638453</t>
  </si>
  <si>
    <t>354</t>
  </si>
  <si>
    <t>Аршанское</t>
  </si>
  <si>
    <t>25638454</t>
  </si>
  <si>
    <t>355</t>
  </si>
  <si>
    <t>Афанасьевское</t>
  </si>
  <si>
    <t>25638440</t>
  </si>
  <si>
    <t>356</t>
  </si>
  <si>
    <t>Будаговское</t>
  </si>
  <si>
    <t>25638404</t>
  </si>
  <si>
    <t>357</t>
  </si>
  <si>
    <t>Бурхунское</t>
  </si>
  <si>
    <t>25638407</t>
  </si>
  <si>
    <t>358</t>
  </si>
  <si>
    <t>25638408</t>
  </si>
  <si>
    <t>359</t>
  </si>
  <si>
    <t>Гадалейское</t>
  </si>
  <si>
    <t>25638410</t>
  </si>
  <si>
    <t>360</t>
  </si>
  <si>
    <t>Гуранское</t>
  </si>
  <si>
    <t>25638416</t>
  </si>
  <si>
    <t>361</t>
  </si>
  <si>
    <t>Евдокимовское</t>
  </si>
  <si>
    <t>25638419</t>
  </si>
  <si>
    <t>362</t>
  </si>
  <si>
    <t>Едогонское</t>
  </si>
  <si>
    <t>25638422</t>
  </si>
  <si>
    <t>363</t>
  </si>
  <si>
    <t>Икейское</t>
  </si>
  <si>
    <t>25638425</t>
  </si>
  <si>
    <t>364</t>
  </si>
  <si>
    <t>Ишидейское</t>
  </si>
  <si>
    <t>25638413</t>
  </si>
  <si>
    <t>365</t>
  </si>
  <si>
    <t>Кирейское</t>
  </si>
  <si>
    <t>25638428</t>
  </si>
  <si>
    <t>366</t>
  </si>
  <si>
    <t>Котикское</t>
  </si>
  <si>
    <t>25638431</t>
  </si>
  <si>
    <t>367</t>
  </si>
  <si>
    <t>Мугунское</t>
  </si>
  <si>
    <t>25638437</t>
  </si>
  <si>
    <t>368</t>
  </si>
  <si>
    <t>Нижнебурбукское</t>
  </si>
  <si>
    <t>25638438</t>
  </si>
  <si>
    <t>369</t>
  </si>
  <si>
    <t>Октябрьское</t>
  </si>
  <si>
    <t>25638442</t>
  </si>
  <si>
    <t>370</t>
  </si>
  <si>
    <t>Перфиловское</t>
  </si>
  <si>
    <t>25638443</t>
  </si>
  <si>
    <t>371</t>
  </si>
  <si>
    <t>Писаревское</t>
  </si>
  <si>
    <t>25638445</t>
  </si>
  <si>
    <t>372</t>
  </si>
  <si>
    <t>Сибирякское</t>
  </si>
  <si>
    <t>25638444</t>
  </si>
  <si>
    <t>373</t>
  </si>
  <si>
    <t>374</t>
  </si>
  <si>
    <t>Умыганское</t>
  </si>
  <si>
    <t>25638446</t>
  </si>
  <si>
    <t>375</t>
  </si>
  <si>
    <t>Усть-Кульское</t>
  </si>
  <si>
    <t>25638449</t>
  </si>
  <si>
    <t>376</t>
  </si>
  <si>
    <t>Шерагульское</t>
  </si>
  <si>
    <t>25638452</t>
  </si>
  <si>
    <t>377</t>
  </si>
  <si>
    <t>Усольский муниципальный район</t>
  </si>
  <si>
    <t>25640000</t>
  </si>
  <si>
    <t>Белореченское</t>
  </si>
  <si>
    <t>25640153</t>
  </si>
  <si>
    <t>378</t>
  </si>
  <si>
    <t>Большееланское</t>
  </si>
  <si>
    <t>25640404</t>
  </si>
  <si>
    <t>379</t>
  </si>
  <si>
    <t>Железнодорожное</t>
  </si>
  <si>
    <t>25640407</t>
  </si>
  <si>
    <t>380</t>
  </si>
  <si>
    <t>Мальтинское</t>
  </si>
  <si>
    <t>25640410</t>
  </si>
  <si>
    <t>381</t>
  </si>
  <si>
    <t>Мишелевское</t>
  </si>
  <si>
    <t>25640155</t>
  </si>
  <si>
    <t>382</t>
  </si>
  <si>
    <t>Новожилкинское</t>
  </si>
  <si>
    <t>25640412</t>
  </si>
  <si>
    <t>383</t>
  </si>
  <si>
    <t>Новомальтинское</t>
  </si>
  <si>
    <t>25640414</t>
  </si>
  <si>
    <t>384</t>
  </si>
  <si>
    <t>Раздольинское</t>
  </si>
  <si>
    <t>25640416</t>
  </si>
  <si>
    <t>385</t>
  </si>
  <si>
    <t>Сосновское</t>
  </si>
  <si>
    <t>25640419</t>
  </si>
  <si>
    <t>386</t>
  </si>
  <si>
    <t>Среднинское</t>
  </si>
  <si>
    <t>25640160</t>
  </si>
  <si>
    <t>387</t>
  </si>
  <si>
    <t>Тайтурское</t>
  </si>
  <si>
    <t>25640162</t>
  </si>
  <si>
    <t>388</t>
  </si>
  <si>
    <t>Тальянское</t>
  </si>
  <si>
    <t>25640422</t>
  </si>
  <si>
    <t>389</t>
  </si>
  <si>
    <t>Тельминское</t>
  </si>
  <si>
    <t>25640173</t>
  </si>
  <si>
    <t>390</t>
  </si>
  <si>
    <t>391</t>
  </si>
  <si>
    <t>Усть-Илимский муниципальный район</t>
  </si>
  <si>
    <t>25642000</t>
  </si>
  <si>
    <t>Бадарминское</t>
  </si>
  <si>
    <t>25642401</t>
  </si>
  <si>
    <t>392</t>
  </si>
  <si>
    <t>Ершовское</t>
  </si>
  <si>
    <t>25642403</t>
  </si>
  <si>
    <t>393</t>
  </si>
  <si>
    <t>25642155</t>
  </si>
  <si>
    <t>394</t>
  </si>
  <si>
    <t>Кеульское</t>
  </si>
  <si>
    <t>25642402</t>
  </si>
  <si>
    <t>395</t>
  </si>
  <si>
    <t>Межселенные территории Усть-Илимского муниципального района, расположенные вне границ муниципальных образований Усть-Илимского муниципального района</t>
  </si>
  <si>
    <t>25642701</t>
  </si>
  <si>
    <t>396</t>
  </si>
  <si>
    <t>Невонское</t>
  </si>
  <si>
    <t>25642405</t>
  </si>
  <si>
    <t>397</t>
  </si>
  <si>
    <t>Подъеланское</t>
  </si>
  <si>
    <t>25642404</t>
  </si>
  <si>
    <t>398</t>
  </si>
  <si>
    <t>Седановское</t>
  </si>
  <si>
    <t>25642407</t>
  </si>
  <si>
    <t>399</t>
  </si>
  <si>
    <t>Тубинское</t>
  </si>
  <si>
    <t>25642408</t>
  </si>
  <si>
    <t>400</t>
  </si>
  <si>
    <t>401</t>
  </si>
  <si>
    <t>Эдучанское</t>
  </si>
  <si>
    <t>25642410</t>
  </si>
  <si>
    <t>402</t>
  </si>
  <si>
    <t>Усть-Кутский муниципальный район</t>
  </si>
  <si>
    <t>25644000</t>
  </si>
  <si>
    <t>Верхнемарковское</t>
  </si>
  <si>
    <t>25644410</t>
  </si>
  <si>
    <t>403</t>
  </si>
  <si>
    <t>Звезднинское</t>
  </si>
  <si>
    <t>25644154</t>
  </si>
  <si>
    <t>404</t>
  </si>
  <si>
    <t>Межселенная территория Усть-Кутского муниципального района, на территории которой расположены земли следующих населенных пунктов: с Боярск, с Омолой и др.</t>
  </si>
  <si>
    <t>25644701</t>
  </si>
  <si>
    <t>405</t>
  </si>
  <si>
    <t>Нийское</t>
  </si>
  <si>
    <t>25644413</t>
  </si>
  <si>
    <t>406</t>
  </si>
  <si>
    <t>Подымахинское</t>
  </si>
  <si>
    <t>25644422</t>
  </si>
  <si>
    <t>407</t>
  </si>
  <si>
    <t>Ручейское</t>
  </si>
  <si>
    <t>25644407</t>
  </si>
  <si>
    <t>408</t>
  </si>
  <si>
    <t>409</t>
  </si>
  <si>
    <t>Усть-Кутское городское поселение</t>
  </si>
  <si>
    <t>25644101</t>
  </si>
  <si>
    <t>410</t>
  </si>
  <si>
    <t>Янтальское</t>
  </si>
  <si>
    <t>25644160</t>
  </si>
  <si>
    <t>411</t>
  </si>
  <si>
    <t>Усть-Удинский муниципальный район</t>
  </si>
  <si>
    <t>25646000</t>
  </si>
  <si>
    <t>Аносовское</t>
  </si>
  <si>
    <t>25646402</t>
  </si>
  <si>
    <t>412</t>
  </si>
  <si>
    <t>Аталанское</t>
  </si>
  <si>
    <t>25646404</t>
  </si>
  <si>
    <t>413</t>
  </si>
  <si>
    <t>Балаганкинское</t>
  </si>
  <si>
    <t>25646407</t>
  </si>
  <si>
    <t>414</t>
  </si>
  <si>
    <t>Игжейское</t>
  </si>
  <si>
    <t>25646413</t>
  </si>
  <si>
    <t>415</t>
  </si>
  <si>
    <t>Ключинское</t>
  </si>
  <si>
    <t>25646447</t>
  </si>
  <si>
    <t>416</t>
  </si>
  <si>
    <t>Малышевское</t>
  </si>
  <si>
    <t>25646422</t>
  </si>
  <si>
    <t>417</t>
  </si>
  <si>
    <t>Молькинское</t>
  </si>
  <si>
    <t>25646425</t>
  </si>
  <si>
    <t>418</t>
  </si>
  <si>
    <t>Новоудинское</t>
  </si>
  <si>
    <t>25646428</t>
  </si>
  <si>
    <t>419</t>
  </si>
  <si>
    <t>Подволоченское</t>
  </si>
  <si>
    <t>25646431</t>
  </si>
  <si>
    <t>420</t>
  </si>
  <si>
    <t>Светлолобовское</t>
  </si>
  <si>
    <t>25646434</t>
  </si>
  <si>
    <t>421</t>
  </si>
  <si>
    <t>Среднемуйское</t>
  </si>
  <si>
    <t>25646437</t>
  </si>
  <si>
    <t>422</t>
  </si>
  <si>
    <t>423</t>
  </si>
  <si>
    <t>Усть-Удинское</t>
  </si>
  <si>
    <t>25646442</t>
  </si>
  <si>
    <t>424</t>
  </si>
  <si>
    <t>Усть-Удинское городское поселение</t>
  </si>
  <si>
    <t>25646151</t>
  </si>
  <si>
    <t>425</t>
  </si>
  <si>
    <t>Чичковское</t>
  </si>
  <si>
    <t>25646448</t>
  </si>
  <si>
    <t>426</t>
  </si>
  <si>
    <t>Юголокское</t>
  </si>
  <si>
    <t>25646446</t>
  </si>
  <si>
    <t>427</t>
  </si>
  <si>
    <t>Черемховский муниципальный район</t>
  </si>
  <si>
    <t>25648000</t>
  </si>
  <si>
    <t>Алехинское</t>
  </si>
  <si>
    <t>25648402</t>
  </si>
  <si>
    <t>428</t>
  </si>
  <si>
    <t>Бельское</t>
  </si>
  <si>
    <t>25648404</t>
  </si>
  <si>
    <t>429</t>
  </si>
  <si>
    <t>Булайское</t>
  </si>
  <si>
    <t>25648405</t>
  </si>
  <si>
    <t>430</t>
  </si>
  <si>
    <t>Голуметское</t>
  </si>
  <si>
    <t>25648407</t>
  </si>
  <si>
    <t>431</t>
  </si>
  <si>
    <t>Зерновское</t>
  </si>
  <si>
    <t>25648410</t>
  </si>
  <si>
    <t>432</t>
  </si>
  <si>
    <t>Каменно-Ангарское</t>
  </si>
  <si>
    <t>25648412</t>
  </si>
  <si>
    <t>433</t>
  </si>
  <si>
    <t>Лоховское</t>
  </si>
  <si>
    <t>25648428</t>
  </si>
  <si>
    <t>434</t>
  </si>
  <si>
    <t>Михайловское</t>
  </si>
  <si>
    <t>25648155</t>
  </si>
  <si>
    <t>435</t>
  </si>
  <si>
    <t>Нижнеиретское</t>
  </si>
  <si>
    <t>25648416</t>
  </si>
  <si>
    <t>436</t>
  </si>
  <si>
    <t>Новогромовское</t>
  </si>
  <si>
    <t>25648417</t>
  </si>
  <si>
    <t>437</t>
  </si>
  <si>
    <t>Новостроевское</t>
  </si>
  <si>
    <t>25648418</t>
  </si>
  <si>
    <t>438</t>
  </si>
  <si>
    <t>Онотское</t>
  </si>
  <si>
    <t>25648419</t>
  </si>
  <si>
    <t>439</t>
  </si>
  <si>
    <t>Парфеновское</t>
  </si>
  <si>
    <t>25648422</t>
  </si>
  <si>
    <t>440</t>
  </si>
  <si>
    <t>Саянское</t>
  </si>
  <si>
    <t>25648425</t>
  </si>
  <si>
    <t>441</t>
  </si>
  <si>
    <t>Тальниковское</t>
  </si>
  <si>
    <t>25648431</t>
  </si>
  <si>
    <t>442</t>
  </si>
  <si>
    <t>Тунгусское</t>
  </si>
  <si>
    <t>25648434</t>
  </si>
  <si>
    <t>443</t>
  </si>
  <si>
    <t>Узколугское</t>
  </si>
  <si>
    <t>25648437</t>
  </si>
  <si>
    <t>444</t>
  </si>
  <si>
    <t>445</t>
  </si>
  <si>
    <t>Черемховское</t>
  </si>
  <si>
    <t>25648443</t>
  </si>
  <si>
    <t>446</t>
  </si>
  <si>
    <t>Чунский муниципальный район</t>
  </si>
  <si>
    <t>25650000</t>
  </si>
  <si>
    <t>Балтуринское</t>
  </si>
  <si>
    <t>25650402</t>
  </si>
  <si>
    <t>447</t>
  </si>
  <si>
    <t>Бунбуйское</t>
  </si>
  <si>
    <t>25650407</t>
  </si>
  <si>
    <t>448</t>
  </si>
  <si>
    <t>Веселовское</t>
  </si>
  <si>
    <t>25650410</t>
  </si>
  <si>
    <t>449</t>
  </si>
  <si>
    <t>25650414</t>
  </si>
  <si>
    <t>450</t>
  </si>
  <si>
    <t>Лесогорское</t>
  </si>
  <si>
    <t>25650162</t>
  </si>
  <si>
    <t>451</t>
  </si>
  <si>
    <t>Межселенные территории Чунского муниципального района, расположенные вне границ муниципальных образований Чунского муниципального района</t>
  </si>
  <si>
    <t>25650701</t>
  </si>
  <si>
    <t>452</t>
  </si>
  <si>
    <t>Мухинское</t>
  </si>
  <si>
    <t>25650416</t>
  </si>
  <si>
    <t>453</t>
  </si>
  <si>
    <t>Новочунское</t>
  </si>
  <si>
    <t>25650419</t>
  </si>
  <si>
    <t>454</t>
  </si>
  <si>
    <t>25650165</t>
  </si>
  <si>
    <t>455</t>
  </si>
  <si>
    <t>Таргизское</t>
  </si>
  <si>
    <t>25650422</t>
  </si>
  <si>
    <t>456</t>
  </si>
  <si>
    <t>Червянское</t>
  </si>
  <si>
    <t>25650425</t>
  </si>
  <si>
    <t>457</t>
  </si>
  <si>
    <t>458</t>
  </si>
  <si>
    <t>Чунское</t>
  </si>
  <si>
    <t>25650151</t>
  </si>
  <si>
    <t>459</t>
  </si>
  <si>
    <t>Шелеховский муниципальный район</t>
  </si>
  <si>
    <t>25655000</t>
  </si>
  <si>
    <t>Баклашинское</t>
  </si>
  <si>
    <t>25655402</t>
  </si>
  <si>
    <t>460</t>
  </si>
  <si>
    <t>Большелугское</t>
  </si>
  <si>
    <t>25655404</t>
  </si>
  <si>
    <t>461</t>
  </si>
  <si>
    <t>Большелугское городское поселение</t>
  </si>
  <si>
    <t>25655153</t>
  </si>
  <si>
    <t>462</t>
  </si>
  <si>
    <t>Олхинское</t>
  </si>
  <si>
    <t>25655407</t>
  </si>
  <si>
    <t>463</t>
  </si>
  <si>
    <t>Подкаменское</t>
  </si>
  <si>
    <t>25655408</t>
  </si>
  <si>
    <t>464</t>
  </si>
  <si>
    <t>Шаманское</t>
  </si>
  <si>
    <t>25655415</t>
  </si>
  <si>
    <t>465</t>
  </si>
  <si>
    <t>466</t>
  </si>
  <si>
    <t>25655101</t>
  </si>
  <si>
    <t>467</t>
  </si>
  <si>
    <t>Эхирит-Булагатский муниципальный район</t>
  </si>
  <si>
    <t>25657000</t>
  </si>
  <si>
    <t>Алужинское</t>
  </si>
  <si>
    <t>25657401</t>
  </si>
  <si>
    <t>468</t>
  </si>
  <si>
    <t>Ахинское</t>
  </si>
  <si>
    <t>25657402</t>
  </si>
  <si>
    <t>469</t>
  </si>
  <si>
    <t>Гаханское</t>
  </si>
  <si>
    <t>25657413</t>
  </si>
  <si>
    <t>470</t>
  </si>
  <si>
    <t>Захальское</t>
  </si>
  <si>
    <t>25657416</t>
  </si>
  <si>
    <t>471</t>
  </si>
  <si>
    <t>Капсальское</t>
  </si>
  <si>
    <t>25657419</t>
  </si>
  <si>
    <t>472</t>
  </si>
  <si>
    <t>Корсукское</t>
  </si>
  <si>
    <t>25657420</t>
  </si>
  <si>
    <t>473</t>
  </si>
  <si>
    <t>Кулункунское</t>
  </si>
  <si>
    <t>25657422</t>
  </si>
  <si>
    <t>474</t>
  </si>
  <si>
    <t>Ново-Николаевское</t>
  </si>
  <si>
    <t>25657432</t>
  </si>
  <si>
    <t>475</t>
  </si>
  <si>
    <t>Олойское</t>
  </si>
  <si>
    <t>25657435</t>
  </si>
  <si>
    <t>476</t>
  </si>
  <si>
    <t>Тугутуйское</t>
  </si>
  <si>
    <t>25657442</t>
  </si>
  <si>
    <t>477</t>
  </si>
  <si>
    <t>Усть-Ордынское</t>
  </si>
  <si>
    <t>25657444</t>
  </si>
  <si>
    <t>478</t>
  </si>
  <si>
    <t>Харазаргайское</t>
  </si>
  <si>
    <t>25657447</t>
  </si>
  <si>
    <t>479</t>
  </si>
  <si>
    <t>Харатское</t>
  </si>
  <si>
    <t>25657448</t>
  </si>
  <si>
    <t>480</t>
  </si>
  <si>
    <t>481</t>
  </si>
  <si>
    <t>город Братск</t>
  </si>
  <si>
    <t>25714000</t>
  </si>
  <si>
    <t>482</t>
  </si>
  <si>
    <t>город Иркутск</t>
  </si>
  <si>
    <t>25701000</t>
  </si>
  <si>
    <t>483</t>
  </si>
  <si>
    <t>город Саянск</t>
  </si>
  <si>
    <t>25726000</t>
  </si>
  <si>
    <t>484</t>
  </si>
  <si>
    <t>город Свирск</t>
  </si>
  <si>
    <t>25746000</t>
  </si>
  <si>
    <t>485</t>
  </si>
  <si>
    <t>город Тулун</t>
  </si>
  <si>
    <t>25732000</t>
  </si>
  <si>
    <t>486</t>
  </si>
  <si>
    <t>город Усолье-Сибирское</t>
  </si>
  <si>
    <t>25736000</t>
  </si>
  <si>
    <t>487</t>
  </si>
  <si>
    <t>город Усть-Илимск</t>
  </si>
  <si>
    <t>25738000</t>
  </si>
  <si>
    <t>488</t>
  </si>
  <si>
    <t>город Черемхово</t>
  </si>
  <si>
    <t>25745000</t>
  </si>
  <si>
    <t>489</t>
  </si>
  <si>
    <t>NUMBER_POINT</t>
  </si>
  <si>
    <t>L_NAME</t>
  </si>
  <si>
    <t>L_START_DATE</t>
  </si>
  <si>
    <t>L_END_DATE</t>
  </si>
  <si>
    <t>Инвестиционная программа "Развитие, повышение надежности и энергетической эффективности систем теплоснабжения с. Пивовариха Ушаковского муниципального образования на 2015-2021 годы"</t>
  </si>
  <si>
    <t>01.01.2015</t>
  </si>
  <si>
    <t>31.12.2021</t>
  </si>
  <si>
    <t>Инвестиционная программа "Развитие, повышение надежности и энергетической эффективности систем теплоснабжения, подключение потребителей тепловой энергии к системам централизованного теплоснабжения поселка Дзержинск Иркутского района на 2015-2020 годы"</t>
  </si>
  <si>
    <t>31.12.2020</t>
  </si>
  <si>
    <t>Инвестиционная программа № 05-52-1/22 от 09.06.2022 ООО "ТеплоРесурс" в сфере теплоснабжения и горячего водоснабжения по развитию, модернизации и реконструкции котельных и тепловых сетей, на территории городского поселения Мамское, Мамско-Чуйский муниципальный район на 2022-2036 годы</t>
  </si>
  <si>
    <t>09.06.2022</t>
  </si>
  <si>
    <t>31.12.2036</t>
  </si>
  <si>
    <t>Инвестиционная программа № 05-52-17/20 от 01.09.2020 ООО "Акваресурс" в сфере теплоснабжения по комплексному развитию котельных, на территории сельского поселения Новожилкинское, Усольский муниципальный район на 2020-2040 годы</t>
  </si>
  <si>
    <t>01.09.2020</t>
  </si>
  <si>
    <t>30.08.2040</t>
  </si>
  <si>
    <t>Инвестиционная программа № 102-мр от 23.09.2014 ООО "КиренскТеплоРесурс" в сфере теплоснабжения по реконструкции систем теплоснабжения, на территории городского поселения Новоигирминское, Нижнеилимский муниципальный район на 2016-2022 годы</t>
  </si>
  <si>
    <t>01.01.2016</t>
  </si>
  <si>
    <t>31.12.2022</t>
  </si>
  <si>
    <t>Инвестиционная программа № 118-мр от 30.10.2014 ООО "Ушаковская" в сфере теплоснабжения по развитию, повышению надежности и энергетической эффективности систем теплоснабжения, на территории п Дзержинск, Дзержинское, Иркутский муниципальный район на 2015-2020 годы</t>
  </si>
  <si>
    <t>Инвестиционная программа № 168-мр-мр от 29.09.2016 ЗАО "Байкалэнерго" в сфере теплоснабжения по модернизации, развитию и техническому перевооружению инфраструктуры, на территории городского поселения Тайшетское, Тайшетский муниципальный район на 2018-2021 годы</t>
  </si>
  <si>
    <t>01.01.2018</t>
  </si>
  <si>
    <t>Инвестиционная программа № 241-мр от 30.11.2015 ООО "Сервис" в сфере теплоснабжения по повышению надежности и энергетической эффективности системы теплоснабжения, на территории городского поселения Листвянское, Иркутский муниципальный район на 2015-2027 годы</t>
  </si>
  <si>
    <t>30.11.2015</t>
  </si>
  <si>
    <t>31.12.2027</t>
  </si>
  <si>
    <t>Инвестиционная программа № 352-мр от 29.10.2018 ООО "Южнобайкальское" в сфере теплоснабжения по модернизации и реконструкции котельной, на территории п Свердлово, Захальское, Эхирит-Булагатский муниципальный район на 2018-2022 годы</t>
  </si>
  <si>
    <t>29.10.2018</t>
  </si>
  <si>
    <t>Инвестиционная программа № 359-мр от 25.10.2017 МУП "Шелеховские тепловые сети" в сфере теплоснабжения по реконструкции тепловой сети, на территории городского поселения город Шелехов, Шелеховский муниципальный район на 2018-2022 годы</t>
  </si>
  <si>
    <t>Инвестиционная программа № 58-113-мр от 09.03.2021 ООО "Теплосервис" в сфере теплоснабжения по развитию, повышению надежности и энергетической эффективности систем теплоснабжения, на территории городского округа Зиминское на 2022-2030 годы</t>
  </si>
  <si>
    <t>01.01.2022</t>
  </si>
  <si>
    <t>31.12.2030</t>
  </si>
  <si>
    <t>Инвестиционная программа № 58-113-мр от 09.03.2021 ООО "Теплосервис" в сфере теплоснабжения по развитию, повышению надежности и энергетической эффективности тепловых сетей, на территории городского округа Зиминское на 2021-2030 годы</t>
  </si>
  <si>
    <t>24.03.2021</t>
  </si>
  <si>
    <t>Инвестиционная программа № 58-113-мр от 09.03.2021 ООО "Теплосервис" в сфере теплоснабжения по развитию, реконструкции и модернизации систем тепловых сетей, на территории городского округа Зиминское на 2022-2030 годы</t>
  </si>
  <si>
    <t>Инвестиционная программа № 58-121-мр от 10.03.2021 ООО ТК "БЕЛАЯ" в сфере теплоснабжения по модернизации и реконструкции системы теплоснабжения, на территории п Железнодорожный, Железнодорожное, Усольский муниципальный район на 2022-2023 годы</t>
  </si>
  <si>
    <t>01.05.2022</t>
  </si>
  <si>
    <t>01.05.2023</t>
  </si>
  <si>
    <t>Инвестиционная программа № 58-122-мр от 10.03.2021 ООО ТК "БЕЛАЯ" в сфере теплоснабжения по модернизации и реконструкции систем теплоснабжения, на территории с Голуметь, Голуметское, Черемховский муниципальный район на 2022 год</t>
  </si>
  <si>
    <t>Инвестиционная программа № 58-127-мр от 26.02.2021 ООО "Акваресурс" в сфере теплоснабжения по модернизации и реконструкции тепловых сетей, на территории городского поселения Юртинское, Тайшетский муниципальный район на 2022 год</t>
  </si>
  <si>
    <t>Инвестиционная программа № 58-204-мр от 10.01.2022 ООО ТК "БЕЛАЯ" в сфере теплоснабжения и горячего водоснабжения по комплексному развитию котельных и тепловых сетей, на территории рп Мишелевка, Мишелевское, Усольский муниципальный район на 2022-2040 годы</t>
  </si>
  <si>
    <t>10.01.2022</t>
  </si>
  <si>
    <t>31.12.2040</t>
  </si>
  <si>
    <t>Инвестиционная программа № 58-204-мр от 24.08.2021 ООО ТК "БЕЛАЯ" в сфере теплоснабжения по модернизации и реконструкции систем теплоснабжения от котельных и тепловых сетей, на территории рп Мишелевка, Мишелевское, Усольский муниципальный район на 2021-2040 годы</t>
  </si>
  <si>
    <t>24.08.2021</t>
  </si>
  <si>
    <t>31.10.2040</t>
  </si>
  <si>
    <t>Инвестиционная программа № 58-204-мр от 24.08.2021 ООО ТК "БЕЛАЯ" в сфере теплоснабжения по модернизации и реконструкции систем теплоснабжения, на территории рп Мишелевка, Мишелевское, Усольский муниципальный район на 2021-2040 годы</t>
  </si>
  <si>
    <t>Инвестиционная программа № 58-241-мр от 26.06.2019 ООО "Надежда" в сфере теплоснабжения по реконструкции и модернизации существующих объектов тепловых сетей и системы централизованного теплоснабжения, на территории муниципального района Эхирит-Булагатский на 2020-2027 годы</t>
  </si>
  <si>
    <t>01.01.2020</t>
  </si>
  <si>
    <t>Инвестиционная программа № 58-244-мр от 23.09.2021 ООО "Водолей Профи" в сфере теплоснабжения по модернизации и реконструкции систем теплоснабжения от котельных и тепловых сетей, на территории сельского поселения Усть-Удинское, Усть-Удинский муниципальный район на 2021-2029 годы</t>
  </si>
  <si>
    <t>23.09.2021</t>
  </si>
  <si>
    <t>08.06.2029</t>
  </si>
  <si>
    <t>Инвестиционная программа № 58-304-vh от 09.06.2022 ООО "ТеплоРесурс" в сфере теплоснабжения и горячего водоснабжения по развитию, модернизации и реконструкции котельных и тепловых сетей, на территории городского поселения Мамское, Мамско-Чуйский муниципальный район на 2022-2036 годы</t>
  </si>
  <si>
    <t>Инвестиционная программа № 58-304-мр от 09.06.2022 ООО "ТеплоРесурс" в сфере теплоснабжения и горячего водоснабжения по развитию, модернизации и реконструкции котельных и тепловых сетей, на территории городского поселения Мамское, Мамско-Чуйский муниципальный район на 2022-2036 годы</t>
  </si>
  <si>
    <t>Инвестиционная программа № 58-304-мр от 09.06.2022 ООО "ТеплоРесурс" в сфере теплоснабжения по развитию, реконструкции и модернизации систем котельных и тепловых сетей, на территории рп Мама, Мамское, Мамско-Чуйский муниципальный район на 2022-2036 годы</t>
  </si>
  <si>
    <t>Инвестиционная программа № 58-312/1-мр от 08.11.2021 ЗАО "Байкалэнерго" в сфере теплоснабжения по модернизации, реконструкции и техническому перевооружению котельных и тепловых сетей, на территории городского поселения Тайшетское, Тайшетский муниципальный район на 2022-2026 годы</t>
  </si>
  <si>
    <t>31.12.2026</t>
  </si>
  <si>
    <t>Инвестиционная программа № 58-33 от 01.01.2022 ООО "Коммунальные системы города Тулуна" в сфере теплоснабжения по модернизации и строительству котельных и тепловых сетей, на территории городского округа Тулун на 2022-2024 годы</t>
  </si>
  <si>
    <t>31.12.2024</t>
  </si>
  <si>
    <t>Инвестиционная программа № 58-33 от 08.02.2022 ООО "Коммунальные системы города Тулуна" в сфере теплоснабжения по модернизации и строительству систем теплоснабжения от котельных и тепловых сетей, на территории городского округа Тулун на 2022-2024 годы</t>
  </si>
  <si>
    <t>01.03.2022</t>
  </si>
  <si>
    <t>30.12.2024</t>
  </si>
  <si>
    <t>Инвестиционная программа № 58-338-мр от 22.11.2021 ООО "Байкальская энергетическая компания" в сфере теплоснабжения по строительству, реконструкции, модернизации и развитию котельных и тепловых сетей на 2021-2023 годы</t>
  </si>
  <si>
    <t>22.11.2021</t>
  </si>
  <si>
    <t>31.12.2023</t>
  </si>
  <si>
    <t>Инвестиционная программа № 58-338-мр от 22.11.2021 ООО "Байкальская энергетическая компания" в сфере теплоснабжения по строительству, реконструкции, модернизации и развитию котельных и тепловых сетей на 2022-2023 годы</t>
  </si>
  <si>
    <t>Инвестиционная программа № 58-364-мр от 03.05.2023 МУП "Шелеховские тепловые сети" в сфере теплоснабжения по реконструкции и развитию тепловых сетей, на территории городского поселения Шелеховское, Шелеховский муниципальный район на 2023-2025 годы</t>
  </si>
  <si>
    <t>03.05.2023</t>
  </si>
  <si>
    <t>31.12.2025</t>
  </si>
  <si>
    <t>Инвестиционная программа № 58-37-мр от 30.01.2020 МУП "Шелеховские тепловые сети" в сфере теплоснабжения по модернизации и реконструкции магистральных сетей, на территории городского поселения город Шелехов, Шелеховский муниципальный район на 2021-2022 годы</t>
  </si>
  <si>
    <t>01.01.2021</t>
  </si>
  <si>
    <t>Инвестиционная программа № 58-37-мр от 30.01.2020 МУП "Шелеховские тепловые сети" в сфере теплоснабжения по строительству, реконструкции и модернизации тепловых сетей, на территории городского поселения город Шелехов, Шелеховский муниципальный район на 2021-2022 годы</t>
  </si>
  <si>
    <t>Инвестиционная программа № 58-418-мр от 30.10.2019 Муниципальное унитарное предприятие "ТеплоЭнергоСервис г. Иркутска" в сфере теплоснабжения по реконструкции и модернизации существующих объектов котельных, на территории городского округа Иркутск на 2020-2021 годы</t>
  </si>
  <si>
    <t>09.01.2020</t>
  </si>
  <si>
    <t>Инвестиционная программа № 58-418-мр от 30.10.2019 Муниципальное унитарное предприятие "ТеплоЭнергоСервис г. Иркутска" в сфере теплоснабжения по реконструкции и модернизации существующих объектов котельных, на территории городского округа Иркутск на 2020-2022 годы</t>
  </si>
  <si>
    <t>Инвестиционная программа № 58-418-спр от 30.10.2019 Муниципальное унитарное предприятие "ТеплоЭнергоСервис г. Иркутска" в сфере теплоснабжения по реконструкции и модернизации существующих объектов котельной, на территории городского округа Иркутск на 2019-2022 годы</t>
  </si>
  <si>
    <t>01.11.2019</t>
  </si>
  <si>
    <t>Инвестиционная программа № 58-418-спр от 30.10.2019 Муниципальное унитарное предприятие "ТеплоЭнергоСервис г. Иркутска" в сфере теплоснабжения по реконструкции и модернизации существующих объектов котельных, на территории городского округа Иркутск на 2019-2022 годы</t>
  </si>
  <si>
    <t>Инвестиционная программа № 58-486-мр от 31.10.2022 МУП "Шелеховские тепловые сети" в сфере теплоснабжения по модернизации и строительству тепловой сети, на территории городского поселения Шелеховское, Шелеховский муниципальный район на 2023-2025 годы</t>
  </si>
  <si>
    <t>01.12.2023</t>
  </si>
  <si>
    <t>Инвестиционная программа № 58-486-мр от 31.10.2022 МУП "Шелеховские тепловые сети" в сфере теплоснабжения по модернизации и строительству тепловой сети, на территории городского поселения город Шелехов, Шелеховский муниципальный район на 2023-2025 годы</t>
  </si>
  <si>
    <t>01.01.2023</t>
  </si>
  <si>
    <t>Инвестиционная программа № 58-518-мр от 18.11.2022 ЗАО "Байкалэнерго" в сфере теплоснабжения по комплексному развитию систем теплоснабжения от котельных и тепловых сетей, на территории городского округа Иркутск на 2023-2027 годы</t>
  </si>
  <si>
    <t>Инвестиционная программа № 58-593-мр от 23.12.2022 ООО "КиренскТеплоРесурс" в сфере теплоснабжения по реконструкции систем теплоснабжения, на территории городского поселения Киренское, Киренский муниципальный район на 2022-2036 годы</t>
  </si>
  <si>
    <t>23.12.2022</t>
  </si>
  <si>
    <t>Инвестиционная программа № 58-770-мр от 06.12.2023 ООО "Южнобайкальское" в сфере теплоснабжения по модернизации и реконструкции котельных и тепловых сетей, на территории муниципального района Эхирит-Булагатский на 2024-2027 годы</t>
  </si>
  <si>
    <t>01.01.2024</t>
  </si>
  <si>
    <t>Инвестиционная программа АО "Байкалэнерго" в сфере теплоснабжения на территории города Иркутск на 2018-2022 годы</t>
  </si>
  <si>
    <t>Инвестиционная программа МУП "ЖилкомСервис" в сфере теплоснабжения на 2018-2020 годы</t>
  </si>
  <si>
    <t>Инвестиционная программа ООО "Тепловые сети" в сфере теплоснабжения на территории города Свирск на 2017-2021 годы</t>
  </si>
  <si>
    <t>01.07.2017</t>
  </si>
  <si>
    <t>Инвестиционная программа ООО "Тепловые сети" на 2017-2021 гг. на территории г. Свирск</t>
  </si>
  <si>
    <t>01.01.2017</t>
  </si>
  <si>
    <t>Инвестиционная программа ООО "Теплоэнергосервис" в сфере теплоснабжения на территории города Свирск на 2017-2021 годы</t>
  </si>
  <si>
    <t>Инвестиционная программа ООО "Теплоэнергосервис" на 2017-2021 гг. на территории г. Свирск</t>
  </si>
  <si>
    <t>Инвестиционная программа ООО "ТрансТехРесурс" по реконструкции и модернизации системы теплоснабжения городского поселения Бирюсинское на 2018-2025 годы</t>
  </si>
  <si>
    <t>Инвестиционная программа ООО "Центральная котельная" на 2017-2021 гг. на территории г. Свирск</t>
  </si>
  <si>
    <t>Инвестиционная программа ООО "Южнобайкальское" в сфере теплоснабжения на 2018-2029 годы</t>
  </si>
  <si>
    <t>31.12.2029</t>
  </si>
  <si>
    <t>Инвестиционная программа ОП "Тайшетские тепловые сети" АО "Байкалэнерго", осуществляющего регулируемые виды деятельности в сфере теплоснабжения, на 2018-2021 годы</t>
  </si>
  <si>
    <t>Инвестиционная программа от 01.12.2018 ООО "УК "Ушаковская" в сфере теплоснабжения и горячего водоснабжения по развитию систем инженерной инфраструктуры, на территории д Сосновый Бор, Сосновоборское, Иркутский муниципальный район на 2019-2023 годы</t>
  </si>
  <si>
    <t>01.01.2019</t>
  </si>
  <si>
    <t>Инвестиционная программа от 02.09.2020 ООО "Акваресурс" в сфере теплоснабжения по модернизации и реконструкции котельных, на территории сельского поселения Раздольинское, Усольский муниципальный район на 2020-2021 годы</t>
  </si>
  <si>
    <t>01.10.2020</t>
  </si>
  <si>
    <t>30.06.2021</t>
  </si>
  <si>
    <t>Инвестиционная программа от 09.06.2022 ООО "ТеплоРесурс" в сфере теплоснабжения в отношении систем теплоснабжения, на территории муниципального района Мамско-Чуйский на 2023 год</t>
  </si>
  <si>
    <t>Инвестиционная программа от 09.06.2022 ООО "ТеплоРесурс" в сфере теплоснабжения по реконструкции, модернизации и развитию систем теплоснабжения, на территории городского поселения Мамское, Мамско-Чуйский муниципальный район на 2023-2036 годы</t>
  </si>
  <si>
    <t>Инвестиционная программа от 16.04.2021 ООО "СТЭК-М" в сфере теплоснабжения по модернизации систем теплоснабжения, на территории рп Михайловка, Михайловское, Черемховский муниципальный район на 2022-2040 годы</t>
  </si>
  <si>
    <t>Инвестиционная программа от 16.11.2021 МУП "ЖилкомСервис" в сфере теплоснабжения и горячего водоснабжения по модернизации и реконструкции тепловых сетей, на территории городского поселения Мамаканское, Бодайбинский муниципальный район на 2022 год</t>
  </si>
  <si>
    <t>Инвестиционная программа от 16.12.2020 ООО "Чистые Ключи" в сфере теплоснабжения по развитию, повышению надежности и энергетической эффективности систем теплоснабжения, на территории п Чистые Ключи, Баклашинское, Шелеховский муниципальный район на 2021-2030 годы</t>
  </si>
  <si>
    <t>Инвестиционная программа от 18.03.2021 ООО "Акваресурс" в сфере теплоснабжения по модернизации и реконструкции систем теплоснабжения, на территории рп Юрты, Юртинское, Тайшетский муниципальный район на 2021 год</t>
  </si>
  <si>
    <t>Инвестиционная программа от 18.03.2021 ООО "ЖКХ" в сфере теплоснабжения по реконструкции и модернизации систем теплоснабжения, на территории городского поселения Юртинское, Тайшетский муниципальный район на 2022 год</t>
  </si>
  <si>
    <t>Инвестиционная программа от 20.11.2019 ООО "КиренскТеплоРесурс" в сфере теплоснабжения по реконструкции систем теплоснабжения, на территории муниципального района Киренский на 2020-2027 годы</t>
  </si>
  <si>
    <t>Инвестиционная программа от 21.02.2022 ООО "Тепловые сети" в сфере теплоснабжения по реконструкции тепловых сетей, на территории городского округа Свирское на 2022-2026 годы</t>
  </si>
  <si>
    <t>21.02.2022</t>
  </si>
  <si>
    <t>15.12.2026</t>
  </si>
  <si>
    <t>Инвестиционная программа от 21.02.2022 ООО "Центральная котельная" в сфере теплоснабжения по реконструкции объектов, на территории городского округа Свирское на 2022-2026 годы</t>
  </si>
  <si>
    <t>20.12.2026</t>
  </si>
  <si>
    <t>Инвестиционная программа от 21.09.2022 МУП "Саянское теплоэнергетическое предприятие" в сфере теплоснабжения по строительству, реконструкции и модернизации тепловых сетей на 2023-2025 годы</t>
  </si>
  <si>
    <t>Инвестиционная программа от 23.09.2021 ООО "Водолей Профи" в сфере теплоснабжения по реконструкции и модернизации существующих объектов тепловых сетей, на территории сельского поселения Усть-Удинское, Усть-Удинский муниципальный район на 2022-2029 годы</t>
  </si>
  <si>
    <t>Инвестиционная программа от 23.10.2019 ООО "ДАГАЗ" в сфере теплоэнергетического комплекса (котельной) по реконструкции и модернизации существующих объектов объектов, на территории сельского поселения Усть-Ордынское, Эхирит-Булагатский муниципальный район на 2020-2027 годы</t>
  </si>
  <si>
    <t>Инвестиционная программа от 23.12.2022 ООО "КиренскТеплоРесурс" в сфере теплоснабжения по реконструкции систем теплоснабжения от котельных и тепловых сетей, на территории городского поселения Киренское, Киренский муниципальный район на 2022-2028 годы</t>
  </si>
  <si>
    <t>31.12.2028</t>
  </si>
  <si>
    <t>Инвестиционная программа от 25.10.2017 МУП "Шелеховские тепловые сети" в сфере теплоснабжения по реконструкции тепловой сети на 2018-2020 годы</t>
  </si>
  <si>
    <t>Инвестиционная программа от 26.06.2017 ООО "Окружные коммунальные системы" в сфере теплоснабжения по развитию, повышению надежности и энергетической эффективности системы теплоснабжения от котельных и тепловых сетей, на территории сельского поселения Бохан, Боханский муниципальный район на 2017-2024 годы</t>
  </si>
  <si>
    <t>26.06.2017</t>
  </si>
  <si>
    <t>Инвестиционная программа от 26.06.2019 ООО "Надежда" в сфере теплоснабжения по реконструкции и модернизации существующих объектов единого комплекса объектов, на территории сельского поселения Усть-Ордынское, Эхирит-Булагатский муниципальный район на 2019-2027 годы</t>
  </si>
  <si>
    <t>26.06.2019</t>
  </si>
  <si>
    <t>Инвестиционная программа от 26.07.2019 ООО "Надежда" в сфере теплоснабжения по реконструкции и модернизации существующих объектов тепловых сетей и системы централизованного теплоснабжения, на территории сельского поселения Усть-Ордынское, Эхирит-Булагатский муниципальный район на 2019-2027 годы</t>
  </si>
  <si>
    <t>30.10.2019</t>
  </si>
  <si>
    <t>01.01.2027</t>
  </si>
  <si>
    <t>Инвестиционная программа от 28.09.2018 ООО "Окружные коммунальные системы" в сфере теплоснабжения по повышению надежности и энергетической эффективности системы теплоснабжения от котельных и тепловых сетей, на территории сельского поселения Баяндай, Баяндаевский муниципальный район на 2018-2027 годы</t>
  </si>
  <si>
    <t>28.09.2018</t>
  </si>
  <si>
    <t>Инвестиционная программа от 30.10.2014 ООО "Ушаковская" в сфере теплоснабжения по развитию, повышению надежности и энергетической эффективности систем инженерной инфраструктуры, на территории п Дзержинск, Дзержинское, Иркутский муниципальный район на 2015-2020 годы</t>
  </si>
  <si>
    <t>Инвестиционная программа от 30.10.2014 ООО "Ушаковская" в сфере теплоснабжения по развитию, повышению надежности и энергетической эффективности систем энергоснабжения (теплоснабжения), на территории сельского поселения Дзержинское, Иркутский муниципальный район на 2015-2020 годы</t>
  </si>
  <si>
    <t>Инвестиционная программа по модернизации и реконструкции котельной Половино-Черемхово СОШ с оборудованием на территории с. Половино-Черемхово Тайшетского района на 2017-2027 годы</t>
  </si>
  <si>
    <t>12.01.2017</t>
  </si>
  <si>
    <t>Инвестиционная программа по модернизации и реконструкции центральной котельной р.п. Юрты на территории р.п. Юрты на 2016-2021 годы</t>
  </si>
  <si>
    <t>01.09.2016</t>
  </si>
  <si>
    <t>TER_NAME</t>
  </si>
  <si>
    <t>Территория 1</t>
  </si>
  <si>
    <t>ID_TARIFF_NAME</t>
  </si>
  <si>
    <t>TARIFF_NAME</t>
  </si>
  <si>
    <t>VED_NAME</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</si>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</sst>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1" formatCode="_(* #,##0_);_(* (#,##0);_(* &quot;-&quot;_);_(@_)"/>
    <numFmt numFmtId="42" formatCode="_(&quot;$&quot;* #,##0_);_(&quot;$&quot;* (#,##0);_(&quot;$&quot;* &quot;-&quot;_);_(@_)"/>
    <numFmt numFmtId="43" formatCode="_(* #,##0.00_);_(* (#,##0.00);_(* &quot;-&quot;??_);_(@_)"/>
    <numFmt numFmtId="44" formatCode="_(&quot;$&quot;* #,##0.00_);_(&quot;$&quot;* (#,##0.00);_(&quot;$&quot;* &quot;-&quot;??_);_(@_)"/>
    <numFmt numFmtId="171" formatCode="000000"/>
    <numFmt numFmtId="172" formatCode="#,##0.000"/>
    <numFmt numFmtId="173" formatCode="#,##0.0000"/>
    <numFmt numFmtId="174" formatCode="dd\.mm\.yyyy"/>
  </numFmts>
  <fonts count="116">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6500"/>
      <name val="Calibri"/>
      <scheme val="minor"/>
    </font>
    <font>
      <b/>
      <sz val="11"/>
      <color rgb="FF3F3F3F"/>
      <name val="Calibri"/>
      <scheme val="minor"/>
    </font>
    <font>
      <b/>
      <sz val="18"/>
      <color theme="3"/>
      <name val="Cambria"/>
      <scheme val="major"/>
    </font>
    <font>
      <b/>
      <sz val="11"/>
      <color theme="1"/>
      <name val="Calibri"/>
      <scheme val="minor"/>
    </font>
    <font>
      <sz val="11"/>
      <color rgb="FFFF0000"/>
      <name val="Calibri"/>
      <scheme val="minor"/>
    </font>
    <font>
      <sz val="9"/>
      <color auto="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0"/>
      <color auto="1"/>
      <name val="Arial Cyr"/>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b/>
      <sz val="9"/>
      <color rgb="FF000080"/>
      <name val="Tahoma"/>
    </font>
    <font>
      <u/>
      <sz val="1"/>
      <color rgb="FF333399"/>
      <name val="Tahoma"/>
    </font>
    <font>
      <sz val="15"/>
      <color auto="1"/>
      <name val="Tahoma"/>
    </font>
    <font>
      <sz val="1"/>
      <color auto="1"/>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u/>
      <sz val="9"/>
      <color rgb="FF000000"/>
      <name val="Tahoma"/>
    </font>
  </fonts>
  <fills count="56">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BCBCBC"/>
      </patternFill>
    </fill>
    <fill>
      <patternFill patternType="solid">
        <fgColor rgb="FFEAEBEE"/>
      </patternFill>
    </fill>
  </fills>
  <borders count="77">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style="thin">
        <color theme="0" tint="-0.25"/>
      </right>
      <top style="thin">
        <color rgb="FFC0C0C0"/>
      </top>
      <bottom style="medium">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rgb="FFC0C0C0"/>
      </left>
      <right style="thin">
        <color rgb="FFC0C0C0"/>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right style="thin">
        <color rgb="FFBCBCBC"/>
      </right>
      <top style="thin">
        <color rgb="FFBCBCBC"/>
      </top>
      <bottom/>
    </border>
    <border>
      <left/>
      <right style="thin">
        <color rgb="FFBCBCBC"/>
      </right>
      <top/>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C0C0C0"/>
      </left>
      <right style="thin">
        <color rgb="FFC0C0C0"/>
      </right>
      <top style="thin">
        <color rgb="FFBCBCBC"/>
      </top>
      <bottom style="thin">
        <color rgb="FFBCBCBC"/>
      </bottom>
    </border>
    <border>
      <left style="thin">
        <color rgb="FFBCBCBC"/>
      </left>
      <right/>
      <top style="thin">
        <color rgb="FFBCBCBC"/>
      </top>
      <bottom style="thin">
        <color rgb="FFC0C0C0"/>
      </bottom>
    </border>
    <border>
      <left/>
      <right style="thin">
        <color rgb="FFC0C0C0"/>
      </right>
      <top style="thin">
        <color rgb="FFC0C0C0"/>
      </top>
      <bottom style="medium">
        <color rgb="FFC0C0C0"/>
      </bottom>
    </border>
  </borders>
  <cellStyleXfs count="47">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2" fillId="14" borderId="0" applyFont="1" applyFill="1" applyBorder="0">
      <alignment vertical="top"/>
    </xf>
    <xf numFmtId="0" fontId="2" fillId="15" borderId="0" applyFont="1" applyFill="1" applyBorder="0">
      <alignment vertical="top"/>
    </xf>
    <xf numFmtId="0" fontId="2" fillId="16" borderId="0" applyFont="1" applyFill="1" applyBorder="0">
      <alignment vertical="top"/>
    </xf>
    <xf numFmtId="0" fontId="2" fillId="17" borderId="0" applyFont="1" applyFill="1" applyBorder="0">
      <alignment vertical="top"/>
    </xf>
    <xf numFmtId="0" fontId="2" fillId="18" borderId="0" applyFont="1" applyFill="1" applyBorder="0">
      <alignment vertical="top"/>
    </xf>
    <xf numFmtId="0" fontId="2"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43" fontId="6" fillId="0" borderId="0" applyFont="0" applyFill="0" applyBorder="0" applyNumberFormat="1">
      <alignment vertical="top"/>
    </xf>
    <xf numFmtId="41" fontId="6" fillId="0" borderId="0" applyFont="0" applyFill="0" applyBorder="0" applyNumberFormat="1">
      <alignment vertical="top"/>
    </xf>
    <xf numFmtId="44" fontId="6" fillId="0" borderId="0" applyFont="0" applyFill="0" applyBorder="0" applyNumberFormat="1">
      <alignment vertical="top"/>
    </xf>
    <xf numFmtId="42"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6" fillId="32" borderId="7" applyFont="0" applyFill="1" applyBorder="1">
      <alignment vertical="top"/>
    </xf>
    <xf numFmtId="0" fontId="15" fillId="27" borderId="8" applyFont="1" applyFill="1" applyBorder="1">
      <alignment vertical="top"/>
    </xf>
    <xf numFmtId="9" fontId="6" fillId="0" borderId="0" applyFont="0" applyFill="0" applyBorder="0" applyNumberFormat="1">
      <alignment vertical="top"/>
    </xf>
    <xf numFmtId="0" fontId="16" fillId="0" borderId="0" applyFont="1" applyFill="0" applyBorder="0">
      <alignment vertical="top"/>
    </xf>
    <xf numFmtId="0" fontId="17" fillId="0" borderId="9" applyFont="1" applyFill="0" applyBorder="1">
      <alignment vertical="top"/>
    </xf>
    <xf numFmtId="0" fontId="18" fillId="0" borderId="0" applyFont="1" applyFill="0" applyBorder="0">
      <alignment vertical="top"/>
    </xf>
  </cellStyleXfs>
  <cellXfs count="5164">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2" fillId="14" borderId="0" xfId="13" applyFont="1" applyFill="1">
      <alignment vertical="top"/>
    </xf>
    <xf numFmtId="0" fontId="2" fillId="15" borderId="0" xfId="14" applyFont="1" applyFill="1">
      <alignment vertical="top"/>
    </xf>
    <xf numFmtId="0" fontId="2" fillId="16" borderId="0" xfId="15" applyFont="1" applyFill="1">
      <alignment vertical="top"/>
    </xf>
    <xf numFmtId="0" fontId="2" fillId="17" borderId="0" xfId="16" applyFont="1" applyFill="1">
      <alignment vertical="top"/>
    </xf>
    <xf numFmtId="0" fontId="2" fillId="18" borderId="0" xfId="17" applyFont="1" applyFill="1">
      <alignment vertical="top"/>
    </xf>
    <xf numFmtId="0" fontId="2"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43" fontId="6" fillId="0" borderId="0" xfId="28" applyNumberFormat="1">
      <alignment vertical="top"/>
    </xf>
    <xf numFmtId="41" fontId="6" fillId="0" borderId="0" xfId="29" applyNumberFormat="1">
      <alignment vertical="top"/>
    </xf>
    <xf numFmtId="44" fontId="6" fillId="0" borderId="0" xfId="30" applyNumberFormat="1">
      <alignment vertical="top"/>
    </xf>
    <xf numFmtId="42"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6" fillId="32" borderId="7" xfId="41" applyFill="1" applyBorder="1">
      <alignment vertical="top"/>
    </xf>
    <xf numFmtId="0" fontId="15" fillId="27" borderId="8" xfId="42" applyFont="1" applyFill="1" applyBorder="1">
      <alignment vertical="top"/>
    </xf>
    <xf numFmtId="9" fontId="6" fillId="0" borderId="0" xfId="43" applyNumberFormat="1">
      <alignment vertical="top"/>
    </xf>
    <xf numFmtId="0" fontId="16" fillId="0" borderId="0" xfId="44" applyFont="1">
      <alignment vertical="top"/>
    </xf>
    <xf numFmtId="0" fontId="17" fillId="0" borderId="9" xfId="45" applyFont="1" applyBorder="1">
      <alignment vertical="top"/>
    </xf>
    <xf numFmtId="0" fontId="18" fillId="0" borderId="0" xfId="46" applyFont="1">
      <alignment vertical="top"/>
    </xf>
    <xf numFmtId="49" fontId="0" fillId="0" borderId="0" xfId="0" applyFont="1" applyNumberFormat="1">
      <alignment vertical="top"/>
    </xf>
    <xf numFmtId="0" fontId="19" fillId="0" borderId="0" xfId="0" applyFont="1" applyNumberFormat="1">
      <alignment vertical="top" wrapText="1"/>
    </xf>
    <xf numFmtId="49" fontId="19" fillId="0" borderId="0" xfId="0" applyFont="1" applyNumberFormat="1">
      <alignment vertical="top"/>
    </xf>
    <xf numFmtId="49" fontId="0" fillId="0" borderId="0" xfId="0" applyFont="1" applyNumberFormat="1">
      <alignment vertical="top"/>
    </xf>
    <xf numFmtId="49" fontId="19" fillId="33" borderId="10" xfId="0" applyFont="1" applyFill="1" applyBorder="1" applyNumberFormat="1">
      <alignment horizontal="center" vertical="top"/>
    </xf>
    <xf numFmtId="49" fontId="0" fillId="0" borderId="0" xfId="0" applyFont="1" applyNumberFormat="1">
      <alignment vertical="top"/>
    </xf>
    <xf numFmtId="0" fontId="19" fillId="0" borderId="0" xfId="0" applyFont="1" applyNumberFormat="1"/>
    <xf numFmtId="0" fontId="19" fillId="34" borderId="0" xfId="0" applyFont="1" applyFill="1" applyNumberFormat="1"/>
    <xf numFmtId="0" fontId="20" fillId="0" borderId="0" xfId="0" applyFont="1" applyNumberFormat="1">
      <alignment vertical="center" wrapText="1"/>
    </xf>
    <xf numFmtId="0" fontId="21" fillId="0" borderId="0" xfId="0" applyFont="1" applyNumberFormat="1">
      <alignment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22" fillId="34" borderId="0" xfId="0" applyFont="1" applyFill="1" applyNumberFormat="1">
      <alignment vertical="center" wrapText="1"/>
    </xf>
    <xf numFmtId="0" fontId="19" fillId="34" borderId="0" xfId="0" applyFont="1" applyFill="1" applyNumberFormat="1">
      <alignment horizontal="right" vertical="center" wrapText="1" indent="1"/>
    </xf>
    <xf numFmtId="0" fontId="19" fillId="34" borderId="0" xfId="0" applyFont="1" applyFill="1" applyNumberFormat="1">
      <alignment horizontal="center" vertical="center" wrapText="1"/>
    </xf>
    <xf numFmtId="0" fontId="21" fillId="0" borderId="0" xfId="0" applyFont="1" applyNumberFormat="1">
      <alignment horizontal="center" vertical="center" wrapText="1"/>
    </xf>
    <xf numFmtId="0" fontId="23" fillId="34" borderId="0" xfId="0" applyFont="1" applyFill="1" applyNumberFormat="1">
      <alignment horizontal="center" vertical="center" wrapText="1"/>
    </xf>
    <xf numFmtId="0" fontId="19" fillId="0" borderId="0" xfId="0" applyFont="1" applyNumberFormat="1">
      <alignment vertical="center"/>
    </xf>
    <xf numFmtId="49" fontId="19" fillId="34" borderId="0" xfId="0" applyFont="1" applyFill="1" applyNumberFormat="1">
      <alignment horizontal="right" vertical="center" wrapText="1" indent="1"/>
    </xf>
    <xf numFmtId="49" fontId="22" fillId="34" borderId="0" xfId="0" applyFont="1" applyFill="1" applyNumberFormat="1">
      <alignment horizontal="center" vertical="center" wrapText="1"/>
    </xf>
    <xf numFmtId="0" fontId="19" fillId="0" borderId="0" xfId="0" applyFont="1" applyNumberFormat="1">
      <alignment vertical="center" wrapText="1"/>
    </xf>
    <xf numFmtId="0" fontId="19" fillId="34" borderId="0" xfId="0" applyFont="1" applyFill="1" applyNumberFormat="1">
      <alignment vertical="center" wrapText="1"/>
    </xf>
    <xf numFmtId="0" fontId="19" fillId="34" borderId="0" xfId="0" applyFont="1" applyFill="1" applyNumberFormat="1">
      <alignment horizontal="right" vertical="center" wrapText="1"/>
    </xf>
    <xf numFmtId="49" fontId="0" fillId="34" borderId="0" xfId="0" applyFont="1" applyFill="1" applyNumberFormat="1">
      <alignment horizontal="right" vertical="center" wrapText="1" indent="1"/>
    </xf>
    <xf numFmtId="49" fontId="24" fillId="34"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25" fillId="34" borderId="0" xfId="0" applyFont="1" applyFill="1" applyNumberFormat="1">
      <alignment horizontal="center" vertical="center" wrapText="1"/>
    </xf>
    <xf numFmtId="0" fontId="25" fillId="0" borderId="0" xfId="0" applyFont="1" applyNumberFormat="1">
      <alignment horizontal="center" vertical="center"/>
    </xf>
    <xf numFmtId="0" fontId="25" fillId="34" borderId="0" xfId="0" applyFont="1" applyFill="1" applyNumberFormat="1">
      <alignment horizontal="center" vertical="center"/>
    </xf>
    <xf numFmtId="49" fontId="26" fillId="0" borderId="11" xfId="0" applyFont="1" applyBorder="1" applyNumberFormat="1">
      <alignment vertical="top" wrapText="1"/>
    </xf>
    <xf numFmtId="0" fontId="0" fillId="0" borderId="11" xfId="0" applyFont="1" applyBorder="1" applyNumberFormat="1">
      <alignment vertical="top" wrapText="1"/>
    </xf>
    <xf numFmtId="0" fontId="27" fillId="0" borderId="0" xfId="0" applyFont="1" applyNumberFormat="1"/>
    <xf numFmtId="0" fontId="19" fillId="34" borderId="0" xfId="0" applyFont="1" applyFill="1" applyNumberFormat="1">
      <alignment horizontal="center" vertical="center" wrapText="1"/>
    </xf>
    <xf numFmtId="0" fontId="28" fillId="34" borderId="0" xfId="0" applyFont="1" applyFill="1" applyNumberFormat="1">
      <alignment vertical="center" wrapText="1"/>
    </xf>
    <xf numFmtId="0" fontId="28" fillId="0" borderId="0" xfId="0" applyFont="1" applyNumberFormat="1">
      <alignment vertical="center" wrapText="1"/>
    </xf>
    <xf numFmtId="0" fontId="20" fillId="0" borderId="0" xfId="0" applyFont="1" applyNumberFormat="1">
      <alignment horizontal="left" vertical="center" wrapText="1"/>
    </xf>
    <xf numFmtId="49" fontId="20" fillId="0" borderId="0" xfId="0" applyFont="1" applyNumberFormat="1">
      <alignment horizontal="left" vertical="center" wrapText="1"/>
    </xf>
    <xf numFmtId="0" fontId="0" fillId="0" borderId="0" xfId="0" applyFont="1" applyNumberFormat="1">
      <alignment vertical="top"/>
    </xf>
    <xf numFmtId="49" fontId="19" fillId="0" borderId="0" xfId="0" applyFont="1" applyNumberFormat="1">
      <alignment vertical="center" wrapText="1"/>
    </xf>
    <xf numFmtId="49" fontId="19" fillId="0" borderId="0" xfId="0" applyFont="1" applyNumberFormat="1">
      <alignment vertical="top"/>
    </xf>
    <xf numFmtId="0" fontId="19" fillId="0" borderId="0" xfId="0" applyFont="1" applyNumberFormat="1">
      <alignment vertical="center" wrapText="1"/>
    </xf>
    <xf numFmtId="0" fontId="0" fillId="0" borderId="0" xfId="0" applyFont="1" applyNumberFormat="1">
      <alignment vertical="center"/>
    </xf>
    <xf numFmtId="0" fontId="19" fillId="34" borderId="12" xfId="0" applyFont="1" applyFill="1" applyBorder="1" applyNumberFormat="1">
      <alignment horizontal="center" vertical="center" wrapText="1"/>
    </xf>
    <xf numFmtId="49" fontId="19" fillId="35" borderId="12" xfId="0" applyFont="1" applyFill="1" applyBorder="1" applyNumberFormat="1">
      <alignment horizontal="left" vertical="center" wrapText="1"/>
      <protection locked="0"/>
    </xf>
    <xf numFmtId="49" fontId="29" fillId="36" borderId="13" xfId="0" applyFont="1" applyFill="1" applyBorder="1" applyNumberFormat="1">
      <alignment horizontal="left" vertical="center"/>
    </xf>
    <xf numFmtId="0" fontId="0" fillId="0" borderId="12" xfId="0" applyFont="1" applyBorder="1" applyNumberFormat="1">
      <alignment horizontal="center" vertical="center" wrapText="1"/>
    </xf>
    <xf numFmtId="0" fontId="19" fillId="36" borderId="14" xfId="0" applyFont="1" applyFill="1" applyBorder="1" applyNumberFormat="1">
      <alignment vertical="center" wrapText="1"/>
    </xf>
    <xf numFmtId="0" fontId="19" fillId="0" borderId="12" xfId="0" applyFont="1" applyBorder="1" applyNumberFormat="1">
      <alignment horizontal="center" vertical="center" wrapText="1"/>
    </xf>
    <xf numFmtId="0" fontId="30" fillId="0" borderId="0" xfId="0" applyFont="1" applyNumberFormat="1">
      <alignment vertical="center"/>
    </xf>
    <xf numFmtId="49" fontId="19" fillId="0" borderId="12" xfId="0" applyFont="1" applyBorder="1" applyNumberFormat="1">
      <alignment horizontal="center" vertical="center" wrapText="1"/>
    </xf>
    <xf numFmtId="0" fontId="19" fillId="34" borderId="12" xfId="0" applyFont="1" applyFill="1" applyBorder="1" applyNumberFormat="1">
      <alignment horizontal="center" vertical="center"/>
    </xf>
    <xf numFmtId="49" fontId="19" fillId="35" borderId="12" xfId="0" applyFont="1" applyFill="1" applyBorder="1" applyNumberFormat="1">
      <alignment horizontal="left" vertical="center" wrapText="1"/>
      <protection locked="0"/>
    </xf>
    <xf numFmtId="0" fontId="20" fillId="0" borderId="0" xfId="0" applyFont="1" applyNumberFormat="1">
      <alignment vertical="center" wrapText="1"/>
    </xf>
    <xf numFmtId="0" fontId="31" fillId="0" borderId="0" xfId="0" applyFont="1" applyNumberFormat="1">
      <alignment vertical="center" wrapText="1"/>
    </xf>
    <xf numFmtId="49" fontId="19" fillId="0" borderId="0" xfId="0" applyFont="1" applyNumberFormat="1">
      <alignment vertical="top"/>
    </xf>
    <xf numFmtId="49" fontId="20"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xf>
    <xf numFmtId="49" fontId="19" fillId="0" borderId="0" xfId="0" applyFont="1" applyNumberFormat="1">
      <alignment vertical="top"/>
    </xf>
    <xf numFmtId="0" fontId="19" fillId="34" borderId="0" xfId="0" applyFont="1" applyFill="1" applyNumberFormat="1"/>
    <xf numFmtId="0" fontId="32" fillId="34" borderId="0" xfId="0" applyFont="1" applyFill="1" applyNumberFormat="1">
      <alignment horizontal="center" vertical="center" wrapText="1"/>
    </xf>
    <xf numFmtId="0" fontId="20" fillId="34" borderId="0" xfId="0" applyFont="1" applyFill="1" applyNumberFormat="1"/>
    <xf numFmtId="49" fontId="19" fillId="0" borderId="0" xfId="0" applyFont="1" applyNumberFormat="1">
      <alignment vertical="top"/>
    </xf>
    <xf numFmtId="49" fontId="25" fillId="0" borderId="0" xfId="0" applyFont="1" applyNumberFormat="1">
      <alignment horizontal="center" vertical="center" wrapText="1"/>
    </xf>
    <xf numFmtId="0" fontId="19"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33" fillId="36" borderId="15" xfId="0" applyFont="1" applyFill="1" applyBorder="1" applyNumberFormat="1">
      <alignment horizontal="center" vertical="top"/>
    </xf>
    <xf numFmtId="49" fontId="29" fillId="36" borderId="15" xfId="0" applyFont="1" applyFill="1" applyBorder="1" applyNumberFormat="1">
      <alignment horizontal="left" vertical="center"/>
    </xf>
    <xf numFmtId="49" fontId="19" fillId="0" borderId="0" xfId="0" applyFont="1" applyNumberFormat="1">
      <alignment horizontal="center" vertical="top"/>
    </xf>
    <xf numFmtId="0" fontId="30" fillId="0" borderId="0" xfId="0" applyFont="1" applyNumberFormat="1">
      <alignment vertical="center"/>
    </xf>
    <xf numFmtId="0" fontId="0" fillId="0" borderId="0" xfId="0" applyFont="1" applyNumberFormat="1">
      <alignment horizontal="center" vertical="center" wrapText="1"/>
    </xf>
    <xf numFmtId="49" fontId="19" fillId="0" borderId="0" xfId="0" applyFont="1" applyNumberFormat="1">
      <alignment horizontal="center" vertical="center" wrapText="1"/>
    </xf>
    <xf numFmtId="49" fontId="19" fillId="0" borderId="0" xfId="0" applyFont="1" applyNumberFormat="1">
      <alignment vertical="center" wrapText="1"/>
    </xf>
    <xf numFmtId="0" fontId="25" fillId="34" borderId="0" xfId="0" applyFont="1" applyFill="1" applyNumberFormat="1">
      <alignment horizontal="center" vertical="center" wrapText="1"/>
    </xf>
    <xf numFmtId="49" fontId="34" fillId="0" borderId="0" xfId="0" applyFont="1" applyNumberFormat="1">
      <alignment horizontal="right" vertical="top"/>
    </xf>
    <xf numFmtId="49" fontId="34" fillId="0" borderId="0" xfId="0" applyFont="1" applyNumberFormat="1">
      <alignment vertical="top"/>
    </xf>
    <xf numFmtId="0" fontId="19" fillId="0" borderId="0" xfId="0" applyFont="1" applyNumberFormat="1">
      <alignment horizontal="center" vertical="center" wrapText="1"/>
    </xf>
    <xf numFmtId="49" fontId="19" fillId="0" borderId="0" xfId="0" applyFont="1" applyNumberFormat="1">
      <alignment vertical="top"/>
    </xf>
    <xf numFmtId="0" fontId="0" fillId="0" borderId="0" xfId="0" applyFont="1" applyNumberFormat="1">
      <alignment vertical="center"/>
    </xf>
    <xf numFmtId="0" fontId="35" fillId="0" borderId="0" xfId="0" applyFont="1" applyNumberFormat="1">
      <alignment vertical="center" wrapText="1"/>
    </xf>
    <xf numFmtId="49" fontId="19" fillId="0" borderId="16" xfId="0" applyFont="1" applyBorder="1" applyNumberFormat="1">
      <alignment vertical="top"/>
    </xf>
    <xf numFmtId="0" fontId="27" fillId="0" borderId="0" xfId="0" applyFont="1" applyNumberFormat="1"/>
    <xf numFmtId="49" fontId="36" fillId="0" borderId="0" xfId="0" applyFont="1" applyNumberFormat="1">
      <alignment vertical="top"/>
    </xf>
    <xf numFmtId="0" fontId="36" fillId="0" borderId="0" xfId="0" applyFont="1" applyNumberFormat="1">
      <alignment vertical="center" wrapText="1"/>
    </xf>
    <xf numFmtId="49" fontId="0" fillId="34" borderId="12" xfId="0" applyFont="1" applyFill="1" applyBorder="1" applyNumberFormat="1">
      <alignment horizontal="center" vertical="center" wrapText="1"/>
    </xf>
    <xf numFmtId="0" fontId="20" fillId="0" borderId="0" xfId="0" applyFont="1" applyNumberFormat="1">
      <alignment horizontal="left" vertical="center" wrapText="1"/>
    </xf>
    <xf numFmtId="49" fontId="19" fillId="0" borderId="12" xfId="0" applyFont="1" applyBorder="1" applyNumberFormat="1">
      <alignment horizontal="left" vertical="center" wrapText="1"/>
    </xf>
    <xf numFmtId="0" fontId="19" fillId="34" borderId="17" xfId="0" applyFont="1" applyFill="1" applyBorder="1" applyNumberFormat="1">
      <alignment horizontal="center" vertical="center"/>
    </xf>
    <xf numFmtId="0" fontId="19" fillId="0" borderId="12" xfId="0" applyFont="1" applyBorder="1" applyNumberFormat="1">
      <alignment vertical="center" wrapText="1"/>
    </xf>
    <xf numFmtId="0" fontId="37" fillId="0" borderId="0" xfId="0" applyFont="1" applyNumberFormat="1">
      <alignment vertical="center" wrapText="1"/>
    </xf>
    <xf numFmtId="0" fontId="37" fillId="0" borderId="0" xfId="0" applyFont="1" applyNumberFormat="1">
      <alignment vertical="center"/>
    </xf>
    <xf numFmtId="0" fontId="38" fillId="0" borderId="0" xfId="0" applyFont="1" applyNumberFormat="1">
      <alignment vertical="center"/>
    </xf>
    <xf numFmtId="0" fontId="37"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top" wrapText="1"/>
    </xf>
    <xf numFmtId="49" fontId="19" fillId="0" borderId="12" xfId="0" applyFont="1" applyBorder="1" applyNumberFormat="1">
      <alignment horizontal="center" vertical="center" wrapText="1"/>
    </xf>
    <xf numFmtId="0" fontId="35"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25" fillId="0" borderId="0" xfId="0" applyFont="1" applyNumberFormat="1">
      <alignment horizontal="center" vertical="center" wrapText="1"/>
    </xf>
    <xf numFmtId="0" fontId="25" fillId="0" borderId="0" xfId="0" applyFont="1" applyNumberFormat="1">
      <alignment horizontal="center" vertical="center" wrapText="1"/>
    </xf>
    <xf numFmtId="0" fontId="19" fillId="0" borderId="0" xfId="0" applyFont="1" applyNumberFormat="1">
      <alignment horizontal="right" vertical="center" wrapText="1"/>
    </xf>
    <xf numFmtId="4" fontId="19" fillId="0" borderId="0" xfId="0" applyFont="1" applyNumberFormat="1">
      <alignment horizontal="right" vertical="center" wrapText="1"/>
    </xf>
    <xf numFmtId="0" fontId="19" fillId="0" borderId="0" xfId="0" applyFont="1" applyNumberFormat="1">
      <alignment horizontal="left" vertical="center" wrapText="1" indent="1"/>
    </xf>
    <xf numFmtId="49" fontId="19" fillId="0" borderId="0" xfId="0" applyFont="1" applyNumberFormat="1">
      <alignment vertical="top"/>
    </xf>
    <xf numFmtId="4" fontId="19" fillId="0" borderId="0" xfId="0" applyFont="1" applyNumberFormat="1">
      <alignment horizontal="center" vertical="center" wrapText="1"/>
    </xf>
    <xf numFmtId="0" fontId="36" fillId="0" borderId="0" xfId="0" applyFont="1" applyNumberFormat="1">
      <alignment vertical="center"/>
    </xf>
    <xf numFmtId="171" fontId="19" fillId="0" borderId="12" xfId="0" applyFont="1" applyBorder="1" applyNumberFormat="1">
      <alignment horizontal="center" vertical="center" wrapText="1"/>
    </xf>
    <xf numFmtId="49" fontId="36" fillId="36" borderId="19" xfId="0" applyFont="1" applyFill="1" applyBorder="1" applyNumberFormat="1">
      <alignment horizontal="left" vertical="center" wrapText="1"/>
    </xf>
    <xf numFmtId="49" fontId="0" fillId="36" borderId="15" xfId="0" applyFont="1" applyFill="1" applyBorder="1" applyNumberFormat="1">
      <alignment horizontal="left" vertical="center"/>
    </xf>
    <xf numFmtId="49" fontId="36" fillId="36" borderId="20" xfId="0" applyFont="1" applyFill="1" applyBorder="1" applyNumberFormat="1">
      <alignment horizontal="left" vertical="center" wrapText="1"/>
    </xf>
    <xf numFmtId="0" fontId="24" fillId="0" borderId="0" xfId="0" applyFont="1" applyNumberFormat="1">
      <alignment horizontal="center" vertical="center" wrapText="1"/>
    </xf>
    <xf numFmtId="49" fontId="39" fillId="36" borderId="15" xfId="0" applyFont="1" applyFill="1" applyBorder="1" applyNumberFormat="1">
      <alignment horizontal="right" vertical="center" wrapText="1"/>
    </xf>
    <xf numFmtId="49" fontId="19" fillId="36" borderId="15" xfId="0" applyFont="1" applyFill="1" applyBorder="1" applyNumberFormat="1">
      <alignment horizontal="right" vertical="center" wrapText="1"/>
    </xf>
    <xf numFmtId="49" fontId="19" fillId="36" borderId="13" xfId="0" applyFont="1" applyFill="1" applyBorder="1" applyNumberFormat="1">
      <alignment horizontal="right" vertical="center" wrapText="1"/>
    </xf>
    <xf numFmtId="0" fontId="19" fillId="0" borderId="21" xfId="0" applyFont="1" applyBorder="1" applyNumberFormat="1">
      <alignment vertical="center" wrapText="1"/>
    </xf>
    <xf numFmtId="0" fontId="34" fillId="0" borderId="0" xfId="0" applyFont="1" applyNumberFormat="1">
      <alignment vertical="center" wrapText="1"/>
    </xf>
    <xf numFmtId="0" fontId="40" fillId="0" borderId="0" xfId="0" applyFont="1" applyNumberFormat="1">
      <alignment horizontal="center" vertical="center" wrapText="1"/>
    </xf>
    <xf numFmtId="49" fontId="0" fillId="34" borderId="0" xfId="0" applyFont="1" applyFill="1" applyNumberFormat="1">
      <alignment vertical="top"/>
    </xf>
    <xf numFmtId="49" fontId="41" fillId="37" borderId="0" xfId="0" applyFont="1" applyFill="1" applyNumberFormat="1">
      <alignment vertical="top"/>
    </xf>
    <xf numFmtId="49" fontId="41" fillId="0" borderId="0" xfId="0" applyFont="1" applyNumberFormat="1">
      <alignment vertical="top"/>
    </xf>
    <xf numFmtId="0" fontId="36" fillId="0" borderId="0" xfId="0" applyFont="1" applyNumberFormat="1">
      <alignment vertical="center"/>
    </xf>
    <xf numFmtId="49" fontId="0" fillId="36" borderId="15" xfId="0" applyFont="1" applyFill="1" applyBorder="1" applyNumberFormat="1">
      <alignment horizontal="right" vertical="center" wrapText="1"/>
    </xf>
    <xf numFmtId="49" fontId="0" fillId="0" borderId="0" xfId="0" applyFont="1" applyNumberFormat="1">
      <alignment vertical="top"/>
    </xf>
    <xf numFmtId="0" fontId="39" fillId="0" borderId="11" xfId="0" applyFont="1" applyBorder="1" applyNumberFormat="1">
      <alignment vertical="center" wrapText="1"/>
    </xf>
    <xf numFmtId="0" fontId="35" fillId="0" borderId="0" xfId="0" applyFont="1" applyNumberFormat="1">
      <alignment vertical="top" wrapText="1"/>
    </xf>
    <xf numFmtId="0" fontId="19" fillId="0" borderId="11" xfId="0" applyFont="1" applyBorder="1" applyNumberFormat="1">
      <alignment vertical="center" wrapText="1"/>
    </xf>
    <xf numFmtId="49" fontId="19" fillId="0" borderId="0" xfId="0" applyFont="1" applyNumberFormat="1">
      <alignment vertical="top"/>
    </xf>
    <xf numFmtId="0" fontId="19" fillId="34"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37"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8" borderId="12" xfId="0" applyFont="1" applyFill="1" applyBorder="1" applyNumberFormat="1">
      <alignment horizontal="left" vertical="center" wrapText="1" indent="1"/>
      <protection locked="0"/>
    </xf>
    <xf numFmtId="49" fontId="29" fillId="36" borderId="15" xfId="0" applyFont="1" applyFill="1" applyBorder="1" applyNumberFormat="1">
      <alignment horizontal="left" vertical="center" indent="3"/>
    </xf>
    <xf numFmtId="49" fontId="33" fillId="36" borderId="13" xfId="0" applyFont="1" applyFill="1" applyBorder="1" applyNumberFormat="1">
      <alignment horizontal="center" vertical="top"/>
    </xf>
    <xf numFmtId="0" fontId="35" fillId="0" borderId="0" xfId="0" applyFont="1" applyNumberFormat="1">
      <alignment horizontal="right" vertical="top"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19" fillId="39" borderId="12" xfId="0" applyFont="1" applyFill="1" applyBorder="1" applyNumberFormat="1">
      <alignment horizontal="left" vertical="center" wrapText="1"/>
    </xf>
    <xf numFmtId="0" fontId="19" fillId="0" borderId="12" xfId="0" applyFont="1" applyBorder="1" applyNumberFormat="1">
      <alignment vertical="top" wrapText="1"/>
    </xf>
    <xf numFmtId="0" fontId="25" fillId="0" borderId="0" xfId="0" applyFont="1" applyNumberFormat="1">
      <alignment horizontal="center" vertical="center" wrapText="1"/>
    </xf>
    <xf numFmtId="49" fontId="0" fillId="0" borderId="17" xfId="0" applyFont="1" applyBorder="1" applyNumberFormat="1">
      <alignment vertical="top"/>
    </xf>
    <xf numFmtId="0" fontId="37" fillId="0" borderId="0" xfId="0" applyFont="1" applyNumberFormat="1">
      <alignment vertical="center"/>
    </xf>
    <xf numFmtId="0" fontId="42" fillId="0" borderId="0" xfId="0" applyFont="1" applyNumberFormat="1">
      <alignment vertical="center"/>
    </xf>
    <xf numFmtId="49" fontId="43" fillId="38" borderId="12" xfId="0" applyFont="1" applyFill="1" applyBorder="1" applyNumberFormat="1">
      <alignment horizontal="left" vertical="center" wrapText="1"/>
      <protection locked="0"/>
    </xf>
    <xf numFmtId="49" fontId="33" fillId="36" borderId="13" xfId="0" applyFont="1" applyFill="1" applyBorder="1" applyNumberFormat="1">
      <alignment horizontal="center" vertical="top"/>
    </xf>
    <xf numFmtId="0" fontId="0" fillId="33" borderId="12" xfId="0" applyFont="1" applyFill="1" applyBorder="1" applyNumberFormat="1">
      <alignment horizontal="left" vertical="center" wrapText="1" indent="1"/>
    </xf>
    <xf numFmtId="49" fontId="19" fillId="38" borderId="12" xfId="0" applyFont="1" applyFill="1" applyBorder="1" applyNumberFormat="1">
      <alignment horizontal="left" vertical="center" wrapText="1" indent="1"/>
      <protection locked="0"/>
    </xf>
    <xf numFmtId="49" fontId="19" fillId="33" borderId="12" xfId="0" applyFont="1" applyFill="1" applyBorder="1" applyNumberFormat="1">
      <alignment horizontal="left" vertical="center" wrapText="1" indent="1"/>
    </xf>
    <xf numFmtId="49" fontId="19" fillId="0" borderId="12" xfId="0" applyFont="1" applyBorder="1" applyNumberFormat="1">
      <alignment horizontal="left" vertical="center" wrapText="1" indent="1"/>
    </xf>
    <xf numFmtId="0" fontId="19" fillId="0" borderId="12" xfId="0" applyFont="1" applyBorder="1" applyNumberFormat="1">
      <alignment horizontal="center" vertical="center" wrapText="1"/>
    </xf>
    <xf numFmtId="0" fontId="35" fillId="0" borderId="0" xfId="0" applyFont="1" applyNumberFormat="1">
      <alignment vertical="center" wrapText="1"/>
    </xf>
    <xf numFmtId="0" fontId="37" fillId="0" borderId="0" xfId="0" applyFont="1" applyNumberFormat="1">
      <alignment horizontal="center" vertical="center" wrapText="1"/>
    </xf>
    <xf numFmtId="0" fontId="0" fillId="0" borderId="12" xfId="0" applyFont="1" applyBorder="1" applyNumberFormat="1">
      <alignment horizontal="left" vertical="center" wrapText="1"/>
    </xf>
    <xf numFmtId="49" fontId="24" fillId="0" borderId="15" xfId="0" applyFont="1" applyBorder="1" applyNumberFormat="1">
      <alignment horizontal="center" vertical="center" wrapText="1"/>
    </xf>
    <xf numFmtId="0" fontId="44" fillId="0" borderId="0" xfId="0" applyFont="1" applyNumberFormat="1">
      <alignment vertical="center"/>
    </xf>
    <xf numFmtId="0" fontId="45" fillId="0" borderId="0" xfId="0" applyFont="1" applyNumberFormat="1">
      <alignment vertical="center"/>
    </xf>
    <xf numFmtId="0" fontId="37" fillId="0" borderId="0" xfId="0" applyFont="1" applyNumberFormat="1">
      <alignment vertical="center"/>
    </xf>
    <xf numFmtId="0" fontId="37" fillId="0" borderId="0" xfId="0" applyFont="1" applyNumberFormat="1">
      <alignment horizontal="left" vertical="center" wrapText="1" indent="1"/>
    </xf>
    <xf numFmtId="0" fontId="36"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46"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50"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53" fillId="0" borderId="0" xfId="0" applyFont="1" applyNumberFormat="1">
      <alignment horizontal="left" vertical="center" wrapText="1"/>
    </xf>
    <xf numFmtId="0" fontId="53" fillId="0" borderId="0" xfId="0" applyFont="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49" fontId="19" fillId="0" borderId="0" xfId="0" applyFont="1" applyNumberFormat="1">
      <alignment vertical="center" wrapText="1"/>
    </xf>
    <xf numFmtId="0" fontId="0" fillId="0" borderId="0" xfId="0" applyFont="1" applyNumberFormat="1">
      <alignment horizontal="left" vertical="center" indent="1"/>
    </xf>
    <xf numFmtId="0" fontId="37" fillId="0" borderId="0" xfId="0" applyFont="1" applyNumberFormat="1">
      <alignment horizontal="left" vertical="center" indent="1"/>
    </xf>
    <xf numFmtId="0" fontId="37" fillId="0" borderId="0" xfId="0" applyFont="1" applyNumberFormat="1">
      <alignment horizontal="left" vertical="center" indent="1"/>
    </xf>
    <xf numFmtId="0" fontId="37" fillId="0" borderId="22" xfId="0" applyFont="1" applyBorder="1" applyNumberFormat="1">
      <alignment vertical="center"/>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19" fillId="0" borderId="0" xfId="0" applyFont="1" applyNumberFormat="1">
      <alignment vertical="top"/>
    </xf>
    <xf numFmtId="0" fontId="19" fillId="0" borderId="0" xfId="0" applyFont="1" applyNumberFormat="1">
      <alignment horizontal="left" vertical="center" wrapText="1" indent="2"/>
    </xf>
    <xf numFmtId="0" fontId="19" fillId="0" borderId="12" xfId="0" applyFont="1" applyBorder="1" applyNumberFormat="1">
      <alignment vertical="top" wrapText="1"/>
    </xf>
    <xf numFmtId="0" fontId="0" fillId="38" borderId="12" xfId="0" applyFont="1" applyFill="1" applyBorder="1" applyNumberFormat="1">
      <alignment horizontal="left" vertical="center" wrapText="1"/>
      <protection locked="0"/>
    </xf>
    <xf numFmtId="0" fontId="19" fillId="0" borderId="12" xfId="0" applyFont="1" applyBorder="1" applyNumberFormat="1">
      <alignment horizontal="left" vertical="top" wrapText="1"/>
    </xf>
    <xf numFmtId="0" fontId="19" fillId="0" borderId="12" xfId="0" applyFont="1" applyBorder="1" applyNumberFormat="1">
      <alignment horizontal="left" vertical="center" wrapText="1"/>
    </xf>
    <xf numFmtId="0" fontId="19" fillId="0" borderId="12" xfId="0" applyFont="1" applyBorder="1" applyNumberFormat="1">
      <alignment horizontal="center" vertical="center" wrapText="1"/>
    </xf>
    <xf numFmtId="49" fontId="19" fillId="0" borderId="17" xfId="0" applyFont="1" applyBorder="1" applyNumberFormat="1">
      <alignment horizontal="left" vertical="center" wrapText="1"/>
    </xf>
    <xf numFmtId="49" fontId="39" fillId="36" borderId="14" xfId="0" applyFont="1" applyFill="1" applyBorder="1" applyNumberFormat="1">
      <alignment horizontal="center" vertical="center"/>
    </xf>
    <xf numFmtId="49" fontId="29" fillId="36" borderId="13" xfId="0" applyFont="1" applyFill="1" applyBorder="1" applyNumberFormat="1">
      <alignment horizontal="left" vertical="center"/>
    </xf>
    <xf numFmtId="0" fontId="19" fillId="0" borderId="0" xfId="0" applyFont="1" applyNumberFormat="1"/>
    <xf numFmtId="0" fontId="54" fillId="0" borderId="0" xfId="0" applyFont="1" applyNumberFormat="1">
      <alignment vertical="center" wrapText="1"/>
    </xf>
    <xf numFmtId="0" fontId="54" fillId="0" borderId="0" xfId="0" applyFont="1" applyNumberFormat="1">
      <alignment vertical="center" wrapText="1"/>
    </xf>
    <xf numFmtId="0" fontId="54" fillId="0" borderId="0" xfId="0" applyFont="1" applyNumberFormat="1"/>
    <xf numFmtId="49" fontId="55" fillId="0" borderId="0" xfId="0" applyFont="1" applyNumberFormat="1">
      <alignment vertical="top"/>
    </xf>
    <xf numFmtId="49" fontId="56" fillId="0" borderId="0" xfId="0" applyFont="1" applyNumberFormat="1">
      <alignment vertical="top"/>
    </xf>
    <xf numFmtId="0" fontId="19" fillId="0" borderId="0" xfId="0" applyFont="1" applyNumberFormat="1">
      <alignment horizontal="center" vertical="center" wrapText="1"/>
    </xf>
    <xf numFmtId="49" fontId="19" fillId="38" borderId="12" xfId="0" applyFont="1" applyFill="1" applyBorder="1" applyNumberFormat="1">
      <alignment horizontal="left" vertical="center" wrapText="1" indent="1"/>
      <protection locked="0"/>
    </xf>
    <xf numFmtId="0" fontId="37" fillId="0" borderId="0" xfId="0" applyFont="1" applyNumberFormat="1">
      <alignment vertical="top"/>
    </xf>
    <xf numFmtId="49" fontId="37" fillId="0" borderId="0" xfId="0" applyFont="1" applyNumberFormat="1">
      <alignment vertical="top"/>
    </xf>
    <xf numFmtId="0" fontId="0" fillId="0" borderId="0" xfId="0" applyFont="1" applyNumberFormat="1">
      <alignment vertical="top"/>
    </xf>
    <xf numFmtId="49" fontId="19" fillId="0" borderId="12" xfId="0" applyFont="1" applyBorder="1" applyNumberFormat="1">
      <alignment horizontal="right" vertical="center"/>
    </xf>
    <xf numFmtId="0" fontId="57" fillId="0" borderId="0" xfId="0" applyFont="1" applyNumberFormat="1">
      <alignment vertical="center"/>
    </xf>
    <xf numFmtId="0" fontId="37" fillId="0" borderId="0" xfId="0" applyFont="1" applyNumberFormat="1">
      <alignment vertical="center"/>
    </xf>
    <xf numFmtId="0" fontId="35" fillId="0" borderId="0" xfId="0" applyFont="1" applyNumberFormat="1">
      <alignment horizontal="center" vertical="center" wrapText="1"/>
    </xf>
    <xf numFmtId="0" fontId="0" fillId="0" borderId="0" xfId="0" applyFont="1" applyNumberFormat="1">
      <alignment horizontal="center" vertical="center"/>
    </xf>
    <xf numFmtId="0" fontId="37" fillId="0" borderId="0" xfId="0" applyFont="1" applyNumberFormat="1">
      <alignment vertical="center" wrapText="1"/>
    </xf>
    <xf numFmtId="0" fontId="19" fillId="0" borderId="12" xfId="0" applyFont="1" applyBorder="1" applyNumberFormat="1">
      <alignment horizontal="left" vertical="center" wrapText="1"/>
    </xf>
    <xf numFmtId="0" fontId="58" fillId="0" borderId="0" xfId="0" applyFont="1" applyNumberFormat="1">
      <alignment vertical="center"/>
    </xf>
    <xf numFmtId="49" fontId="24" fillId="34" borderId="0" xfId="0" applyFont="1" applyFill="1" applyNumberFormat="1">
      <alignment horizontal="center" vertical="center" wrapText="1"/>
    </xf>
    <xf numFmtId="0" fontId="0" fillId="0" borderId="0" xfId="0" applyFont="1" applyNumberFormat="1">
      <alignment vertical="center"/>
    </xf>
    <xf numFmtId="0"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0" fontId="19" fillId="34" borderId="12" xfId="0" applyFont="1" applyFill="1" applyBorder="1" applyNumberFormat="1">
      <alignment horizontal="left" vertical="center" wrapText="1" indent="4"/>
    </xf>
    <xf numFmtId="0" fontId="19" fillId="34" borderId="12" xfId="0" applyFont="1" applyFill="1" applyBorder="1" applyNumberFormat="1">
      <alignment horizontal="left" vertical="center" wrapText="1" indent="5"/>
    </xf>
    <xf numFmtId="49" fontId="29" fillId="36" borderId="15" xfId="0" applyFont="1" applyFill="1" applyBorder="1" applyNumberFormat="1">
      <alignment horizontal="left" vertical="center" indent="5"/>
    </xf>
    <xf numFmtId="49" fontId="29" fillId="36" borderId="15" xfId="0" applyFont="1" applyFill="1" applyBorder="1" applyNumberFormat="1">
      <alignment horizontal="left" vertical="center" indent="6"/>
    </xf>
    <xf numFmtId="0" fontId="19" fillId="0" borderId="12" xfId="0" applyFont="1" applyBorder="1" applyNumberFormat="1">
      <alignment vertical="center" wrapText="1"/>
    </xf>
    <xf numFmtId="0" fontId="35" fillId="0" borderId="0" xfId="0" applyFont="1" applyNumberFormat="1">
      <alignment vertical="center" wrapText="1"/>
    </xf>
    <xf numFmtId="0" fontId="59" fillId="34" borderId="0" xfId="0" applyFont="1" applyFill="1" applyNumberFormat="1">
      <alignment vertical="center" wrapText="1"/>
    </xf>
    <xf numFmtId="49" fontId="19" fillId="0" borderId="12" xfId="0" applyFont="1" applyBorder="1" applyNumberFormat="1">
      <alignment horizontal="center" vertical="center" wrapText="1"/>
    </xf>
    <xf numFmtId="49" fontId="0" fillId="0" borderId="0" xfId="0" applyFont="1" applyNumberFormat="1">
      <alignment vertical="top"/>
    </xf>
    <xf numFmtId="49" fontId="29" fillId="36" borderId="14" xfId="0" applyFont="1" applyFill="1" applyBorder="1" applyNumberFormat="1">
      <alignment horizontal="left" vertical="center" indent="1"/>
    </xf>
    <xf numFmtId="0" fontId="0" fillId="34"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19" fillId="0" borderId="12" xfId="0" applyFont="1" applyBorder="1" applyNumberFormat="1">
      <alignment vertical="top" wrapText="1"/>
    </xf>
    <xf numFmtId="0" fontId="19" fillId="0" borderId="12" xfId="0" applyFont="1" applyBorder="1" applyNumberFormat="1">
      <alignment vertical="center" wrapText="1"/>
    </xf>
    <xf numFmtId="0" fontId="57" fillId="0" borderId="0" xfId="0" applyFont="1" applyNumberFormat="1">
      <alignment vertical="center"/>
    </xf>
    <xf numFmtId="0" fontId="19" fillId="0" borderId="12" xfId="0" applyFont="1" applyBorder="1" applyNumberFormat="1">
      <alignment horizontal="left" vertical="center" wrapText="1" indent="6"/>
    </xf>
    <xf numFmtId="0" fontId="19" fillId="0" borderId="17" xfId="0" applyFont="1" applyBorder="1" applyNumberFormat="1">
      <alignment vertical="center" wrapText="1"/>
    </xf>
    <xf numFmtId="0" fontId="19" fillId="0" borderId="23" xfId="0" applyFont="1" applyBorder="1" applyNumberFormat="1">
      <alignment vertical="center" wrapText="1"/>
    </xf>
    <xf numFmtId="49" fontId="0" fillId="36" borderId="13" xfId="0" applyFont="1" applyFill="1" applyBorder="1" applyNumberFormat="1">
      <alignment horizontal="center" vertical="center" wrapText="1"/>
    </xf>
    <xf numFmtId="0" fontId="0" fillId="0" borderId="14" xfId="0" applyFont="1" applyBorder="1" applyNumberFormat="1">
      <alignment vertical="center"/>
    </xf>
    <xf numFmtId="172" fontId="0" fillId="38" borderId="12" xfId="0" applyFont="1" applyFill="1" applyBorder="1" applyNumberFormat="1">
      <alignment horizontal="right" vertical="center"/>
      <protection locked="0"/>
    </xf>
    <xf numFmtId="0" fontId="0" fillId="34" borderId="14" xfId="0" applyFont="1" applyFill="1" applyBorder="1" applyNumberFormat="1">
      <alignment horizontal="right" vertical="center" wrapText="1" indent="1"/>
    </xf>
    <xf numFmtId="49" fontId="20" fillId="0" borderId="0" xfId="0" applyFont="1" applyNumberFormat="1">
      <alignment vertical="top"/>
    </xf>
    <xf numFmtId="0" fontId="28" fillId="34" borderId="0" xfId="0" applyFont="1" applyFill="1" applyNumberFormat="1">
      <alignment vertical="center" wrapText="1"/>
    </xf>
    <xf numFmtId="49" fontId="60" fillId="36" borderId="14" xfId="0" applyFont="1" applyFill="1" applyBorder="1" applyNumberFormat="1">
      <alignment horizontal="center" vertical="center"/>
    </xf>
    <xf numFmtId="0" fontId="19" fillId="34" borderId="12" xfId="0" applyFont="1" applyFill="1" applyBorder="1" applyNumberFormat="1">
      <alignment horizontal="left" vertical="center" wrapText="1" indent="1"/>
    </xf>
    <xf numFmtId="0" fontId="19" fillId="34" borderId="12" xfId="0" applyFont="1" applyFill="1" applyBorder="1" applyNumberFormat="1">
      <alignment horizontal="left" vertical="center" wrapText="1" indent="2"/>
    </xf>
    <xf numFmtId="0" fontId="19" fillId="34" borderId="12" xfId="0" applyFont="1" applyFill="1" applyBorder="1" applyNumberFormat="1">
      <alignment horizontal="left" vertical="center" wrapText="1" indent="3"/>
    </xf>
    <xf numFmtId="0" fontId="19" fillId="0" borderId="12" xfId="0" applyFont="1" applyBorder="1" applyNumberFormat="1">
      <alignment horizontal="left" vertical="center" wrapText="1" indent="4"/>
    </xf>
    <xf numFmtId="49" fontId="29" fillId="36" borderId="14" xfId="0" applyFont="1" applyFill="1" applyBorder="1" applyNumberFormat="1">
      <alignment vertical="center" wrapText="1"/>
    </xf>
    <xf numFmtId="49" fontId="29" fillId="36" borderId="15" xfId="0" applyFont="1" applyFill="1" applyBorder="1" applyNumberFormat="1">
      <alignment vertical="center"/>
    </xf>
    <xf numFmtId="49" fontId="29" fillId="36" borderId="15" xfId="0" applyFont="1" applyFill="1" applyBorder="1" applyNumberFormat="1">
      <alignment vertical="center" wrapText="1"/>
    </xf>
    <xf numFmtId="0" fontId="19" fillId="0" borderId="12" xfId="0" applyFont="1" applyBorder="1" applyNumberFormat="1">
      <alignment vertical="center" wrapText="1"/>
    </xf>
    <xf numFmtId="49" fontId="19" fillId="0" borderId="12" xfId="0" applyFont="1" applyBorder="1" applyNumberFormat="1">
      <alignment vertical="center" wrapText="1"/>
    </xf>
    <xf numFmtId="0" fontId="19" fillId="0" borderId="0" xfId="0" applyFont="1" applyNumberFormat="1">
      <alignment vertical="top" wrapText="1"/>
    </xf>
    <xf numFmtId="49" fontId="29" fillId="36" borderId="14" xfId="0" applyFont="1" applyFill="1" applyBorder="1" applyNumberFormat="1">
      <alignment horizontal="left" vertical="center"/>
    </xf>
    <xf numFmtId="49" fontId="0" fillId="0" borderId="12" xfId="0" applyFont="1" applyBorder="1" applyNumberFormat="1">
      <alignment vertical="center" wrapText="1"/>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0" xfId="0" applyFont="1" applyNumberFormat="1">
      <alignment horizontal="right" vertical="center" wrapText="1" indent="1"/>
    </xf>
    <xf numFmtId="0" fontId="39" fillId="34" borderId="0" xfId="0" applyFont="1" applyFill="1" applyNumberFormat="1">
      <alignment horizontal="center" vertical="center" wrapText="1"/>
    </xf>
    <xf numFmtId="49" fontId="60" fillId="36" borderId="15" xfId="0" applyFont="1" applyFill="1" applyBorder="1" applyNumberFormat="1">
      <alignment horizontal="left" vertical="center"/>
    </xf>
    <xf numFmtId="0" fontId="19" fillId="0" borderId="0" xfId="0" applyFont="1" applyNumberFormat="1">
      <alignment vertical="center" wrapText="1"/>
    </xf>
    <xf numFmtId="49" fontId="19" fillId="36" borderId="13" xfId="0" applyFont="1" applyFill="1" applyBorder="1" applyNumberFormat="1">
      <alignment horizontal="center" vertical="center" wrapText="1"/>
    </xf>
    <xf numFmtId="4" fontId="19" fillId="0" borderId="12" xfId="0" applyFont="1" applyBorder="1" applyNumberFormat="1">
      <alignment horizontal="right" vertical="center" wrapText="1"/>
    </xf>
    <xf numFmtId="49" fontId="0" fillId="36" borderId="15" xfId="0" applyFont="1" applyFill="1" applyBorder="1" applyNumberFormat="1">
      <alignment horizontal="center" vertical="center" wrapText="1"/>
    </xf>
    <xf numFmtId="0" fontId="19" fillId="0" borderId="0" xfId="0" applyFont="1" applyNumberFormat="1">
      <alignment vertical="center" wrapText="1"/>
    </xf>
    <xf numFmtId="0" fontId="19" fillId="0" borderId="0" xfId="0" applyFont="1" applyNumberFormat="1">
      <alignment vertical="center" wrapText="1"/>
    </xf>
    <xf numFmtId="4" fontId="37"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61" fillId="0" borderId="14" xfId="0" applyFont="1" applyBorder="1" applyNumberFormat="1">
      <alignment horizontal="left" vertical="center" wrapText="1"/>
    </xf>
    <xf numFmtId="0" fontId="57" fillId="0" borderId="12" xfId="0" applyFont="1" applyBorder="1" applyNumberFormat="1">
      <alignment horizontal="left" vertical="center" wrapText="1" indent="2"/>
    </xf>
    <xf numFmtId="49" fontId="57" fillId="0" borderId="12" xfId="0" applyFont="1" applyBorder="1" applyNumberFormat="1">
      <alignment horizontal="center" vertical="center" wrapText="1"/>
    </xf>
    <xf numFmtId="0" fontId="62" fillId="0" borderId="0" xfId="0" applyFont="1" applyNumberFormat="1">
      <alignment vertical="center" wrapText="1"/>
    </xf>
    <xf numFmtId="0" fontId="19" fillId="0" borderId="0" xfId="0" applyFont="1" applyNumberFormat="1">
      <alignment vertical="top"/>
    </xf>
    <xf numFmtId="0" fontId="19" fillId="0" borderId="0" xfId="0" applyFont="1" applyNumberFormat="1">
      <alignment horizontal="right" vertical="top" wrapText="1"/>
    </xf>
    <xf numFmtId="0" fontId="19" fillId="0" borderId="17" xfId="0" applyFont="1" applyBorder="1" applyNumberFormat="1">
      <alignment vertical="center" wrapText="1"/>
    </xf>
    <xf numFmtId="49" fontId="33" fillId="36" borderId="15" xfId="0" applyFont="1" applyFill="1" applyBorder="1" applyNumberFormat="1">
      <alignment horizontal="center" vertical="top"/>
    </xf>
    <xf numFmtId="0" fontId="19" fillId="0" borderId="23" xfId="0" applyFont="1" applyBorder="1" applyNumberFormat="1">
      <alignment vertical="top" wrapText="1"/>
    </xf>
    <xf numFmtId="0" fontId="0" fillId="0" borderId="0" xfId="0" applyFont="1" applyNumberFormat="1">
      <alignment horizontal="left" vertical="top" wrapText="1"/>
    </xf>
    <xf numFmtId="0" fontId="19" fillId="0" borderId="17" xfId="0" applyFont="1" applyBorder="1" applyNumberFormat="1">
      <alignment vertical="top" wrapText="1"/>
    </xf>
    <xf numFmtId="0" fontId="19" fillId="0" borderId="0" xfId="0" applyFont="1" applyNumberFormat="1">
      <alignment vertical="center" wrapText="1"/>
    </xf>
    <xf numFmtId="49" fontId="19" fillId="0" borderId="0" xfId="0" applyFont="1" applyNumberFormat="1">
      <alignment vertical="top"/>
    </xf>
    <xf numFmtId="0" fontId="28" fillId="0" borderId="0" xfId="0" applyFont="1" applyNumberFormat="1">
      <alignment vertical="center" wrapText="1"/>
    </xf>
    <xf numFmtId="0" fontId="19" fillId="0" borderId="12" xfId="0" applyFont="1" applyBorder="1" applyNumberFormat="1">
      <alignment vertical="center" wrapText="1"/>
    </xf>
    <xf numFmtId="49" fontId="19" fillId="0" borderId="0" xfId="0" applyFont="1" applyNumberFormat="1">
      <alignment horizontal="center" vertical="center" wrapText="1"/>
    </xf>
    <xf numFmtId="0" fontId="19" fillId="36" borderId="14" xfId="0" applyFont="1" applyFill="1" applyBorder="1" applyNumberFormat="1">
      <alignment vertical="center" wrapText="1"/>
    </xf>
    <xf numFmtId="0" fontId="19" fillId="38" borderId="12" xfId="0" applyFont="1" applyFill="1" applyBorder="1" applyNumberFormat="1">
      <alignment horizontal="left" vertical="center" wrapText="1" indent="1"/>
      <protection locked="0"/>
    </xf>
    <xf numFmtId="49" fontId="29" fillId="36" borderId="15" xfId="0" applyFont="1" applyFill="1" applyBorder="1" applyNumberFormat="1">
      <alignment horizontal="left" vertical="center" indent="2"/>
    </xf>
    <xf numFmtId="0" fontId="37" fillId="0" borderId="0" xfId="0" applyFont="1" applyNumberFormat="1">
      <alignment vertical="center"/>
    </xf>
    <xf numFmtId="0" fontId="63" fillId="0" borderId="0" xfId="0" applyFont="1" applyNumberFormat="1">
      <alignment vertical="center" wrapText="1"/>
    </xf>
    <xf numFmtId="0" fontId="31" fillId="34" borderId="0" xfId="0" applyFont="1" applyFill="1" applyNumberFormat="1">
      <alignment horizontal="center" vertical="center" wrapText="1"/>
    </xf>
    <xf numFmtId="0" fontId="19" fillId="0" borderId="24" xfId="0" applyFont="1" applyBorder="1" applyNumberFormat="1">
      <alignment vertical="center" wrapText="1"/>
    </xf>
    <xf numFmtId="0" fontId="25" fillId="0" borderId="0" xfId="0" applyFont="1" applyNumberFormat="1">
      <alignment vertical="center" wrapText="1"/>
    </xf>
    <xf numFmtId="49" fontId="19" fillId="0" borderId="24" xfId="0" applyFont="1" applyBorder="1" applyNumberFormat="1">
      <alignment vertical="top"/>
    </xf>
    <xf numFmtId="0" fontId="37" fillId="0" borderId="24" xfId="0" applyFont="1" applyBorder="1" applyNumberFormat="1">
      <alignment horizontal="center" vertical="center" wrapText="1"/>
    </xf>
    <xf numFmtId="0" fontId="37" fillId="0" borderId="24" xfId="0" applyFont="1" applyBorder="1" applyNumberFormat="1">
      <alignment vertical="center" wrapText="1"/>
    </xf>
    <xf numFmtId="49" fontId="20" fillId="0" borderId="0" xfId="0" applyFont="1" applyNumberFormat="1">
      <alignment vertical="top"/>
    </xf>
    <xf numFmtId="49" fontId="0" fillId="0" borderId="24" xfId="0" applyFont="1" applyBorder="1" applyNumberFormat="1">
      <alignment vertical="top"/>
    </xf>
    <xf numFmtId="49" fontId="19" fillId="0" borderId="0" xfId="0" applyFont="1" applyNumberFormat="1">
      <alignment vertical="top"/>
    </xf>
    <xf numFmtId="49" fontId="19" fillId="0" borderId="0" xfId="0" applyFont="1" applyNumberFormat="1">
      <alignment vertical="center" wrapText="1"/>
    </xf>
    <xf numFmtId="0" fontId="25" fillId="34" borderId="0" xfId="0" applyFont="1" applyFill="1" applyNumberFormat="1">
      <alignment vertical="center" wrapText="1"/>
    </xf>
    <xf numFmtId="0" fontId="20" fillId="0" borderId="0" xfId="0" applyFont="1" applyNumberFormat="1">
      <alignment horizontal="center" vertical="center" wrapText="1"/>
    </xf>
    <xf numFmtId="0" fontId="20" fillId="0" borderId="0" xfId="0" applyFont="1" applyNumberFormat="1">
      <alignment vertical="center" wrapText="1"/>
    </xf>
    <xf numFmtId="0" fontId="19" fillId="34" borderId="0" xfId="0" applyFont="1" applyFill="1" applyNumberFormat="1">
      <alignment vertical="center" wrapText="1"/>
    </xf>
    <xf numFmtId="49" fontId="19" fillId="0" borderId="0" xfId="0" applyFont="1" applyNumberFormat="1">
      <alignment vertical="center" wrapText="1"/>
    </xf>
    <xf numFmtId="49" fontId="29" fillId="36" borderId="15" xfId="0" applyFont="1" applyFill="1" applyBorder="1" applyNumberFormat="1">
      <alignment horizontal="left" vertical="center" indent="2"/>
    </xf>
    <xf numFmtId="49" fontId="29" fillId="36" borderId="15" xfId="0" applyFont="1" applyFill="1" applyBorder="1" applyNumberFormat="1">
      <alignment horizontal="left" vertical="center" indent="4"/>
    </xf>
    <xf numFmtId="49" fontId="19" fillId="0" borderId="0" xfId="0" applyFont="1" applyNumberFormat="1">
      <alignment vertical="center"/>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0" fontId="37" fillId="0" borderId="0" xfId="0" applyFont="1" applyNumberFormat="1">
      <alignment vertical="center"/>
    </xf>
    <xf numFmtId="0" fontId="19" fillId="0" borderId="0" xfId="0" applyFont="1" applyNumberFormat="1">
      <alignment vertical="top" wrapText="1"/>
    </xf>
    <xf numFmtId="49" fontId="19" fillId="0" borderId="12" xfId="0" applyFont="1" applyBorder="1" applyNumberFormat="1">
      <alignment horizontal="right" vertical="top"/>
    </xf>
    <xf numFmtId="49" fontId="19" fillId="0" borderId="17" xfId="0" applyFont="1" applyBorder="1" applyNumberFormat="1">
      <alignment horizontal="right" vertical="top"/>
    </xf>
    <xf numFmtId="49" fontId="29" fillId="36" borderId="15" xfId="0" applyFont="1" applyFill="1" applyBorder="1" applyNumberFormat="1">
      <alignment horizontal="left" vertical="center" indent="3"/>
    </xf>
    <xf numFmtId="49" fontId="0" fillId="0" borderId="0" xfId="0" applyFont="1" applyNumberFormat="1">
      <alignment vertical="top"/>
    </xf>
    <xf numFmtId="0" fontId="19" fillId="0" borderId="0" xfId="0" applyFont="1" applyNumberFormat="1">
      <alignment vertical="center" wrapText="1"/>
    </xf>
    <xf numFmtId="49" fontId="20" fillId="0" borderId="0" xfId="0" applyFont="1" applyNumberFormat="1">
      <alignment vertical="top"/>
    </xf>
    <xf numFmtId="49" fontId="28" fillId="0" borderId="0" xfId="0" applyFont="1" applyNumberFormat="1">
      <alignment vertical="top"/>
    </xf>
    <xf numFmtId="0" fontId="28" fillId="34" borderId="0" xfId="0" applyFont="1" applyFill="1" applyNumberFormat="1">
      <alignment vertical="center" wrapText="1"/>
    </xf>
    <xf numFmtId="49" fontId="19" fillId="0" borderId="0" xfId="0" applyFont="1" applyNumberFormat="1">
      <alignment vertical="top"/>
    </xf>
    <xf numFmtId="49" fontId="19" fillId="38" borderId="12" xfId="0" applyFont="1" applyFill="1" applyBorder="1" applyNumberFormat="1">
      <alignment horizontal="left" vertical="center" wrapText="1" indent="4"/>
      <protection locked="0"/>
    </xf>
    <xf numFmtId="49" fontId="19" fillId="38"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37" fillId="0" borderId="0" xfId="0" applyFont="1" applyNumberFormat="1">
      <alignment vertical="top"/>
    </xf>
    <xf numFmtId="49" fontId="37" fillId="0" borderId="0" xfId="0" applyFont="1" applyNumberFormat="1">
      <alignment vertical="center" wrapText="1"/>
    </xf>
    <xf numFmtId="49" fontId="37" fillId="0" borderId="0" xfId="0" applyFont="1" applyNumberFormat="1">
      <alignment vertical="top"/>
    </xf>
    <xf numFmtId="49" fontId="37" fillId="0" borderId="0" xfId="0" applyFont="1" applyNumberFormat="1">
      <alignment vertical="center"/>
    </xf>
    <xf numFmtId="49" fontId="19" fillId="38" borderId="12" xfId="0" applyFont="1" applyFill="1" applyBorder="1" applyNumberFormat="1">
      <alignment horizontal="left" vertical="center" wrapText="1"/>
      <protection locked="0"/>
    </xf>
    <xf numFmtId="49" fontId="43" fillId="38"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72" fontId="19" fillId="0" borderId="12" xfId="0" applyFont="1" applyBorder="1" applyNumberFormat="1">
      <alignment horizontal="right" vertical="center" wrapText="1"/>
    </xf>
    <xf numFmtId="49" fontId="43" fillId="38" borderId="14" xfId="0" applyFont="1" applyFill="1" applyBorder="1" applyNumberFormat="1">
      <alignment horizontal="left" vertical="center" wrapText="1"/>
      <protection locked="0"/>
    </xf>
    <xf numFmtId="0" fontId="19" fillId="34" borderId="12" xfId="0" applyFont="1" applyFill="1" applyBorder="1" applyNumberFormat="1">
      <alignment horizontal="center" vertical="center" wrapText="1"/>
    </xf>
    <xf numFmtId="0" fontId="25" fillId="34" borderId="0" xfId="0" applyFont="1" applyFill="1" applyNumberFormat="1">
      <alignment horizontal="center" vertical="center" wrapText="1"/>
    </xf>
    <xf numFmtId="0" fontId="0" fillId="0" borderId="12" xfId="0" applyFont="1" applyBorder="1" applyNumberFormat="1">
      <alignment horizontal="left" vertical="center" wrapText="1"/>
    </xf>
    <xf numFmtId="0" fontId="19" fillId="34" borderId="0" xfId="0" applyFont="1" applyFill="1" applyNumberFormat="1">
      <alignment horizontal="center" vertical="center" wrapText="1"/>
    </xf>
    <xf numFmtId="0" fontId="39" fillId="0" borderId="0" xfId="0" applyFont="1" applyNumberFormat="1">
      <alignment vertical="top" wrapText="1"/>
    </xf>
    <xf numFmtId="0" fontId="19" fillId="34" borderId="26" xfId="0" applyFont="1" applyFill="1" applyBorder="1" applyNumberFormat="1">
      <alignment horizontal="right" vertical="center" wrapText="1" indent="1"/>
    </xf>
    <xf numFmtId="0" fontId="0" fillId="34" borderId="26" xfId="0" applyFont="1" applyFill="1" applyBorder="1" applyNumberFormat="1">
      <alignment horizontal="right" vertical="center" wrapText="1" indent="1"/>
    </xf>
    <xf numFmtId="0" fontId="19" fillId="0" borderId="0" xfId="0" applyFont="1" applyNumberFormat="1">
      <alignment horizontal="left" vertical="center" wrapText="1" indent="4"/>
    </xf>
    <xf numFmtId="0" fontId="19" fillId="34" borderId="0" xfId="0" applyFont="1" applyFill="1" applyNumberFormat="1">
      <alignment horizontal="center" vertical="center" wrapText="1"/>
    </xf>
    <xf numFmtId="49" fontId="29" fillId="36" borderId="15" xfId="0" applyFont="1" applyFill="1" applyBorder="1" applyNumberFormat="1">
      <alignment horizontal="left" vertical="center"/>
    </xf>
    <xf numFmtId="0" fontId="19" fillId="0" borderId="19" xfId="0" applyFont="1" applyBorder="1" applyNumberFormat="1">
      <alignment vertical="center" wrapText="1"/>
    </xf>
    <xf numFmtId="0" fontId="19" fillId="0" borderId="0" xfId="0" applyFont="1" applyNumberFormat="1">
      <alignment horizontal="left" vertical="center" wrapText="1" indent="1"/>
    </xf>
    <xf numFmtId="0" fontId="62" fillId="0" borderId="0" xfId="0" applyFont="1" applyNumberFormat="1">
      <alignment vertical="center" wrapText="1"/>
    </xf>
    <xf numFmtId="49" fontId="0" fillId="34" borderId="14" xfId="0" applyFont="1" applyFill="1" applyBorder="1" applyNumberFormat="1">
      <alignment horizontal="center" vertical="center" wrapText="1"/>
    </xf>
    <xf numFmtId="49" fontId="29" fillId="36" borderId="27" xfId="0" applyFont="1" applyFill="1" applyBorder="1" applyNumberFormat="1">
      <alignment horizontal="left" vertical="center" indent="2"/>
    </xf>
    <xf numFmtId="49" fontId="43" fillId="35" borderId="12" xfId="0" applyFont="1" applyFill="1" applyBorder="1" applyNumberFormat="1">
      <alignment horizontal="left" vertical="center" wrapText="1"/>
      <protection locked="0"/>
    </xf>
    <xf numFmtId="49" fontId="19" fillId="0" borderId="19" xfId="0" applyFont="1" applyBorder="1" applyNumberFormat="1">
      <alignment vertical="top"/>
    </xf>
    <xf numFmtId="49" fontId="60" fillId="36" borderId="13" xfId="0" applyFont="1" applyFill="1" applyBorder="1" applyNumberFormat="1">
      <alignment horizontal="left" vertical="center" indent="1"/>
    </xf>
    <xf numFmtId="49" fontId="60" fillId="36" borderId="15" xfId="0" applyFont="1" applyFill="1" applyBorder="1" applyNumberFormat="1">
      <alignment horizontal="left" vertical="center" indent="1"/>
    </xf>
    <xf numFmtId="49" fontId="39" fillId="36" borderId="14" xfId="0" applyFont="1" applyFill="1" applyBorder="1" applyNumberFormat="1">
      <alignment horizontal="center" vertical="center"/>
    </xf>
    <xf numFmtId="49" fontId="60" fillId="36" borderId="15" xfId="0" applyFont="1" applyFill="1" applyBorder="1" applyNumberFormat="1">
      <alignment vertical="center"/>
    </xf>
    <xf numFmtId="0" fontId="0" fillId="40" borderId="12" xfId="0" applyFont="1" applyFill="1" applyBorder="1" applyNumberFormat="1">
      <alignment horizontal="right" vertical="center"/>
    </xf>
    <xf numFmtId="0" fontId="21" fillId="0" borderId="0" xfId="0" applyFont="1" applyNumberFormat="1">
      <alignment vertical="center" wrapText="1"/>
    </xf>
    <xf numFmtId="0" fontId="19" fillId="0" borderId="0" xfId="0" applyFont="1" applyNumberFormat="1">
      <alignment vertical="center" wrapText="1"/>
    </xf>
    <xf numFmtId="0" fontId="22" fillId="34" borderId="0" xfId="0" applyFont="1" applyFill="1" applyNumberFormat="1">
      <alignment vertical="center" wrapText="1"/>
    </xf>
    <xf numFmtId="0" fontId="20" fillId="0" borderId="0" xfId="0" applyFont="1" applyNumberFormat="1">
      <alignment horizontal="center" vertical="center" wrapText="1"/>
    </xf>
    <xf numFmtId="0" fontId="0" fillId="0" borderId="0" xfId="0" applyFont="1" applyNumberFormat="1">
      <alignment vertical="center" wrapText="1"/>
    </xf>
    <xf numFmtId="0" fontId="20" fillId="0" borderId="0" xfId="0" applyFont="1" applyNumberFormat="1">
      <alignment horizontal="left" vertical="center" wrapText="1"/>
    </xf>
    <xf numFmtId="0" fontId="0" fillId="0" borderId="12" xfId="0" applyFont="1" applyBorder="1" applyNumberFormat="1">
      <alignment horizontal="center" vertical="center"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0" fontId="36" fillId="0" borderId="0" xfId="0" applyFont="1" applyNumberFormat="1">
      <alignment vertical="center" wrapText="1"/>
    </xf>
    <xf numFmtId="0" fontId="0" fillId="0" borderId="0" xfId="0" applyFont="1" applyNumberFormat="1">
      <alignment vertical="center"/>
    </xf>
    <xf numFmtId="49" fontId="37" fillId="0" borderId="0" xfId="0" applyFont="1" applyNumberFormat="1">
      <alignment vertical="top"/>
    </xf>
    <xf numFmtId="0" fontId="64" fillId="0" borderId="0" xfId="0" applyFont="1" applyNumberFormat="1">
      <alignment vertical="center" wrapText="1"/>
    </xf>
    <xf numFmtId="49" fontId="39" fillId="36" borderId="14" xfId="0" applyFont="1" applyFill="1" applyBorder="1" applyNumberFormat="1">
      <alignment horizontal="right" vertical="center" wrapText="1"/>
    </xf>
    <xf numFmtId="49" fontId="36" fillId="0" borderId="0" xfId="0" applyFont="1" applyNumberFormat="1">
      <alignment vertical="top"/>
    </xf>
    <xf numFmtId="49" fontId="0" fillId="0" borderId="0" xfId="0" applyFont="1" applyNumberFormat="1">
      <alignment vertical="top"/>
    </xf>
    <xf numFmtId="49" fontId="0" fillId="36"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50" fillId="0" borderId="0" xfId="0" applyFont="1" applyNumberFormat="1">
      <alignment vertical="center" wrapText="1"/>
    </xf>
    <xf numFmtId="0" fontId="0" fillId="0" borderId="14" xfId="0" applyFont="1" applyBorder="1" applyNumberFormat="1">
      <alignment horizontal="center" vertical="center" wrapText="1"/>
    </xf>
    <xf numFmtId="0" fontId="0" fillId="35" borderId="12"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4" borderId="14" xfId="0" applyFont="1" applyFill="1" applyBorder="1" applyNumberFormat="1">
      <alignment horizontal="left" vertical="center" wrapText="1" indent="1"/>
    </xf>
    <xf numFmtId="0" fontId="0" fillId="34" borderId="17" xfId="0" applyFont="1" applyFill="1" applyBorder="1" applyNumberFormat="1">
      <alignment horizontal="left" vertical="center" wrapText="1"/>
    </xf>
    <xf numFmtId="0" fontId="0" fillId="34" borderId="12" xfId="0" applyFont="1" applyFill="1" applyBorder="1" applyNumberFormat="1">
      <alignment horizontal="left" vertical="center" wrapText="1"/>
    </xf>
    <xf numFmtId="0" fontId="0" fillId="34" borderId="12" xfId="0" applyFont="1" applyFill="1" applyBorder="1" applyNumberFormat="1">
      <alignment horizontal="left" vertical="center" wrapText="1" indent="2"/>
    </xf>
    <xf numFmtId="0" fontId="0" fillId="34" borderId="12" xfId="0" applyFont="1" applyFill="1" applyBorder="1" applyNumberFormat="1">
      <alignment horizontal="center" vertical="center"/>
    </xf>
    <xf numFmtId="49" fontId="0" fillId="38" borderId="12" xfId="0" applyFont="1" applyFill="1" applyBorder="1" applyNumberFormat="1">
      <alignment horizontal="left" vertical="center" wrapText="1"/>
      <protection locked="0"/>
    </xf>
    <xf numFmtId="0" fontId="0" fillId="34"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4" borderId="12" xfId="0" applyFont="1" applyFill="1" applyBorder="1" applyNumberFormat="1">
      <alignment vertical="center" wrapText="1"/>
    </xf>
    <xf numFmtId="49" fontId="0" fillId="34" borderId="12" xfId="0" applyFont="1" applyFill="1" applyBorder="1" applyNumberFormat="1">
      <alignment horizontal="center" vertical="center"/>
    </xf>
    <xf numFmtId="0" fontId="0" fillId="34" borderId="12" xfId="0" applyFont="1" applyFill="1" applyBorder="1" applyNumberFormat="1">
      <alignment horizontal="center" vertical="center" wrapText="1"/>
    </xf>
    <xf numFmtId="0" fontId="19" fillId="0" borderId="0" xfId="0" applyFont="1" applyNumberFormat="1">
      <alignment vertical="center" wrapText="1"/>
    </xf>
    <xf numFmtId="49" fontId="24" fillId="34" borderId="0" xfId="0" applyFont="1" applyFill="1" applyNumberFormat="1">
      <alignment horizontal="center" vertical="center"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25" fillId="0" borderId="0" xfId="0" applyFont="1" applyNumberFormat="1">
      <alignment horizontal="center" vertical="center" wrapText="1"/>
    </xf>
    <xf numFmtId="0" fontId="31" fillId="0" borderId="0" xfId="0" applyFont="1" applyNumberFormat="1">
      <alignment vertical="center" wrapText="1"/>
    </xf>
    <xf numFmtId="0" fontId="35" fillId="0" borderId="0" xfId="0" applyFont="1" applyNumberFormat="1">
      <alignment horizontal="center" vertical="center" wrapText="1"/>
    </xf>
    <xf numFmtId="0" fontId="34" fillId="0" borderId="0" xfId="0" applyFont="1" applyNumberFormat="1">
      <alignment vertical="center" wrapText="1"/>
    </xf>
    <xf numFmtId="0" fontId="0" fillId="34" borderId="0" xfId="0" applyFont="1" applyFill="1" applyNumberFormat="1"/>
    <xf numFmtId="0" fontId="0" fillId="34" borderId="0" xfId="0" applyFont="1" applyFill="1" applyNumberFormat="1">
      <alignment horizontal="center"/>
    </xf>
    <xf numFmtId="0" fontId="19" fillId="34" borderId="0" xfId="0" applyFont="1" applyFill="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6" fillId="34" borderId="0" xfId="0" applyFont="1" applyFill="1" applyNumberFormat="1"/>
    <xf numFmtId="0" fontId="67" fillId="34" borderId="0" xfId="0" applyFont="1" applyFill="1" applyNumberFormat="1">
      <alignment horizontal="right" vertical="center"/>
    </xf>
    <xf numFmtId="0" fontId="67" fillId="34" borderId="0" xfId="0" applyFont="1" applyFill="1" applyNumberFormat="1">
      <alignment horizontal="right" vertical="top"/>
    </xf>
    <xf numFmtId="0" fontId="19" fillId="34" borderId="0" xfId="0" applyFont="1" applyFill="1" applyNumberFormat="1">
      <alignment horizontal="center" vertical="center" wrapText="1"/>
    </xf>
    <xf numFmtId="0" fontId="24" fillId="34" borderId="0" xfId="0" applyFont="1" applyFill="1" applyNumberFormat="1">
      <alignment horizontal="center" vertical="center"/>
    </xf>
    <xf numFmtId="0" fontId="19" fillId="0" borderId="12" xfId="0" applyFont="1" applyBorder="1" applyNumberFormat="1">
      <alignment horizontal="center" vertical="center" wrapText="1"/>
    </xf>
    <xf numFmtId="0" fontId="34" fillId="0" borderId="0" xfId="0" applyFont="1" applyNumberFormat="1">
      <alignment vertical="top" wrapText="1"/>
    </xf>
    <xf numFmtId="0" fontId="19" fillId="36" borderId="14" xfId="0" applyFont="1" applyFill="1" applyBorder="1" applyNumberFormat="1">
      <alignment horizontal="center"/>
    </xf>
    <xf numFmtId="0" fontId="60" fillId="36" borderId="15" xfId="0" applyFont="1" applyFill="1" applyBorder="1" applyNumberFormat="1">
      <alignment horizontal="left" vertical="center"/>
    </xf>
    <xf numFmtId="0" fontId="60" fillId="36" borderId="13" xfId="0" applyFont="1" applyFill="1" applyBorder="1" applyNumberFormat="1">
      <alignment horizontal="left" vertical="center"/>
    </xf>
    <xf numFmtId="0" fontId="68" fillId="34" borderId="0" xfId="0" applyFont="1" applyFill="1" applyNumberFormat="1">
      <alignment vertical="center"/>
    </xf>
    <xf numFmtId="0" fontId="68" fillId="34" borderId="0" xfId="0" applyFont="1" applyFill="1" applyNumberFormat="1">
      <alignment vertical="center" wrapText="1"/>
    </xf>
    <xf numFmtId="49" fontId="19"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34" borderId="12" xfId="0" applyFont="1" applyFill="1" applyBorder="1" applyNumberFormat="1">
      <alignment vertical="center" wrapText="1"/>
    </xf>
    <xf numFmtId="0" fontId="55" fillId="34" borderId="0" xfId="0" applyFont="1" applyFill="1" applyNumberFormat="1"/>
    <xf numFmtId="0" fontId="41" fillId="34" borderId="0" xfId="0" applyFont="1" applyFill="1" applyNumberFormat="1"/>
    <xf numFmtId="0" fontId="51" fillId="34" borderId="0" xfId="0" applyFont="1" applyFill="1" applyNumberFormat="1"/>
    <xf numFmtId="0" fontId="51" fillId="34" borderId="0" xfId="0" applyFont="1" applyFill="1" applyNumberFormat="1">
      <alignment horizontal="center"/>
    </xf>
    <xf numFmtId="0" fontId="48" fillId="0" borderId="0" xfId="0" applyFont="1" applyNumberFormat="1">
      <alignment vertical="center" wrapText="1"/>
    </xf>
    <xf numFmtId="0" fontId="50"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4" fontId="50" fillId="0" borderId="0" xfId="0" applyFont="1" applyNumberFormat="1">
      <alignment horizontal="right" vertical="center" wrapText="1"/>
    </xf>
    <xf numFmtId="0" fontId="50" fillId="0" borderId="0" xfId="0" applyFont="1" applyNumberFormat="1">
      <alignment horizontal="left" vertical="center" wrapText="1" indent="1"/>
    </xf>
    <xf numFmtId="0" fontId="69" fillId="34" borderId="0" xfId="0" applyFont="1" applyFill="1" applyNumberFormat="1">
      <alignment horizontal="center" vertical="center" wrapText="1"/>
    </xf>
    <xf numFmtId="0" fontId="24" fillId="34" borderId="0" xfId="0" applyFont="1" applyFill="1" applyNumberFormat="1">
      <alignment horizontal="center" vertical="center" wrapText="1"/>
    </xf>
    <xf numFmtId="0" fontId="54" fillId="0" borderId="0" xfId="0" applyFont="1" applyNumberFormat="1">
      <alignment vertical="center" wrapText="1"/>
    </xf>
    <xf numFmtId="0" fontId="37" fillId="0" borderId="0" xfId="0" applyFont="1" applyNumberFormat="1">
      <alignment vertical="center" wrapText="1"/>
    </xf>
    <xf numFmtId="49" fontId="19" fillId="39" borderId="12" xfId="0" applyFont="1" applyFill="1" applyBorder="1" applyNumberFormat="1">
      <alignment horizontal="left" vertical="center" wrapText="1"/>
    </xf>
    <xf numFmtId="0" fontId="54" fillId="0" borderId="0" xfId="0" applyFont="1" applyNumberFormat="1">
      <alignment horizontal="center" vertical="center" wrapText="1"/>
    </xf>
    <xf numFmtId="0" fontId="19" fillId="34" borderId="24" xfId="0" applyFont="1" applyFill="1" applyBorder="1" applyNumberFormat="1">
      <alignment vertical="center" wrapText="1"/>
    </xf>
    <xf numFmtId="49" fontId="24" fillId="34" borderId="15" xfId="0" applyFont="1" applyFill="1" applyBorder="1" applyNumberFormat="1">
      <alignment horizontal="center" vertical="center" wrapText="1"/>
    </xf>
    <xf numFmtId="0" fontId="37" fillId="0" borderId="0" xfId="0" applyFont="1" applyNumberFormat="1">
      <alignment horizontal="center" vertical="center" wrapText="1"/>
    </xf>
    <xf numFmtId="0" fontId="69" fillId="0" borderId="0" xfId="0" applyFont="1" applyNumberFormat="1">
      <alignment horizontal="center" vertical="center" wrapText="1"/>
    </xf>
    <xf numFmtId="0" fontId="63" fillId="0" borderId="0" xfId="0" applyFont="1" applyNumberFormat="1">
      <alignment vertical="center" wrapText="1"/>
    </xf>
    <xf numFmtId="49" fontId="63" fillId="0" borderId="12" xfId="0" applyFont="1" applyBorder="1" applyNumberFormat="1">
      <alignment horizontal="left" vertical="center" wrapText="1"/>
    </xf>
    <xf numFmtId="0" fontId="70" fillId="34" borderId="0" xfId="0" applyFont="1" applyFill="1" applyNumberFormat="1">
      <alignment horizontal="center" vertical="center" wrapText="1"/>
    </xf>
    <xf numFmtId="49" fontId="63" fillId="0" borderId="17" xfId="0" applyFont="1" applyBorder="1" applyNumberFormat="1">
      <alignment horizontal="left" vertical="center" wrapText="1"/>
    </xf>
    <xf numFmtId="0" fontId="37" fillId="0" borderId="0" xfId="0" applyFont="1" applyNumberFormat="1">
      <alignment vertical="center"/>
    </xf>
    <xf numFmtId="0" fontId="37" fillId="34" borderId="0" xfId="0" applyFont="1" applyFill="1" applyNumberFormat="1"/>
    <xf numFmtId="0" fontId="37" fillId="34" borderId="0" xfId="0" applyFont="1" applyFill="1" applyNumberFormat="1">
      <alignment vertical="center" wrapText="1"/>
    </xf>
    <xf numFmtId="0" fontId="37" fillId="0" borderId="0" xfId="0" applyFont="1" applyNumberFormat="1">
      <alignment vertical="center" wrapText="1"/>
    </xf>
    <xf numFmtId="49" fontId="19" fillId="0" borderId="0" xfId="0" applyFont="1" applyNumberFormat="1">
      <alignment vertical="top"/>
    </xf>
    <xf numFmtId="0" fontId="19" fillId="0" borderId="0" xfId="0" applyFont="1" applyNumberFormat="1">
      <alignment vertical="center" wrapText="1"/>
    </xf>
    <xf numFmtId="0" fontId="25" fillId="34" borderId="0" xfId="0" applyFont="1" applyFill="1" applyNumberFormat="1">
      <alignment horizontal="center" vertical="center" wrapText="1"/>
    </xf>
    <xf numFmtId="0" fontId="31" fillId="0" borderId="0" xfId="0" applyFont="1" applyNumberFormat="1">
      <alignment vertical="center" wrapText="1"/>
    </xf>
    <xf numFmtId="49" fontId="19" fillId="0" borderId="12" xfId="0" applyFont="1" applyBorder="1" applyNumberFormat="1">
      <alignment horizontal="left" vertical="center" wrapText="1"/>
    </xf>
    <xf numFmtId="0" fontId="19" fillId="0" borderId="0" xfId="0" applyFont="1" applyNumberFormat="1">
      <alignment vertical="center" wrapText="1"/>
    </xf>
    <xf numFmtId="49" fontId="37" fillId="0" borderId="0" xfId="0" applyFont="1" applyNumberFormat="1">
      <alignment vertical="center" wrapText="1"/>
    </xf>
    <xf numFmtId="0" fontId="37" fillId="0" borderId="0" xfId="0" applyFont="1" applyNumberFormat="1">
      <alignment vertical="center" wrapText="1"/>
    </xf>
    <xf numFmtId="0" fontId="19" fillId="0" borderId="12" xfId="0" applyFont="1" applyBorder="1" applyNumberFormat="1">
      <alignment horizontal="center" vertical="center" wrapText="1"/>
    </xf>
    <xf numFmtId="14"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0" fontId="37" fillId="0" borderId="0" xfId="0" applyFont="1" applyNumberFormat="1">
      <alignment horizontal="left" vertical="center" wrapText="1"/>
    </xf>
    <xf numFmtId="49" fontId="37" fillId="0" borderId="0" xfId="0" applyFont="1" applyNumberFormat="1">
      <alignment horizontal="left" vertical="center" wrapText="1"/>
    </xf>
    <xf numFmtId="0" fontId="37" fillId="0" borderId="0" xfId="0" applyFont="1" applyNumberFormat="1">
      <alignment vertical="center" wrapText="1"/>
    </xf>
    <xf numFmtId="49" fontId="43" fillId="0" borderId="12" xfId="0" applyFont="1" applyBorder="1" applyNumberFormat="1">
      <alignment horizontal="left" vertical="center" wrapText="1"/>
    </xf>
    <xf numFmtId="14"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horizontal="center" vertical="center" wrapText="1"/>
    </xf>
    <xf numFmtId="0" fontId="19" fillId="0" borderId="12" xfId="0" applyFont="1" applyBorder="1" applyNumberFormat="1">
      <alignment horizontal="center" vertical="center" wrapText="1"/>
    </xf>
    <xf numFmtId="49" fontId="19" fillId="39" borderId="12" xfId="0" applyFont="1" applyFill="1" applyBorder="1" applyNumberFormat="1">
      <alignment horizontal="center" vertical="center" wrapText="1"/>
    </xf>
    <xf numFmtId="0" fontId="72" fillId="0" borderId="0" xfId="0" applyFont="1" applyNumberFormat="1">
      <alignment horizontal="center" vertical="center" wrapText="1"/>
    </xf>
    <xf numFmtId="0" fontId="25" fillId="0" borderId="0" xfId="0" applyFont="1" applyNumberFormat="1">
      <alignment horizontal="center" vertical="center" wrapText="1"/>
    </xf>
    <xf numFmtId="49" fontId="19" fillId="0" borderId="12" xfId="0" applyFont="1" applyBorder="1" applyNumberFormat="1">
      <alignment horizontal="center" vertical="center" wrapText="1"/>
    </xf>
    <xf numFmtId="0" fontId="0" fillId="34" borderId="14" xfId="0" applyFont="1" applyFill="1" applyBorder="1" applyNumberFormat="1">
      <alignment horizontal="left" vertical="center" wrapText="1"/>
    </xf>
    <xf numFmtId="49" fontId="39" fillId="36" borderId="15" xfId="0" applyFont="1" applyFill="1" applyBorder="1" applyNumberFormat="1">
      <alignment horizontal="center" vertical="center"/>
    </xf>
    <xf numFmtId="0" fontId="21" fillId="0" borderId="0" xfId="0" applyFont="1" applyNumberFormat="1">
      <alignment vertical="center" wrapText="1"/>
    </xf>
    <xf numFmtId="0" fontId="20" fillId="0" borderId="0" xfId="0" applyFont="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vertical="center" wrapText="1"/>
    </xf>
    <xf numFmtId="0" fontId="36" fillId="0" borderId="0" xfId="0" applyFont="1" applyNumberFormat="1">
      <alignment horizontal="center" vertical="center" wrapText="1"/>
    </xf>
    <xf numFmtId="0" fontId="73" fillId="0" borderId="0" xfId="0" applyFont="1" applyNumberFormat="1">
      <alignment vertical="center" wrapText="1"/>
    </xf>
    <xf numFmtId="49" fontId="36" fillId="0" borderId="0" xfId="0" applyFont="1" applyNumberFormat="1">
      <alignment horizontal="center" vertical="center" wrapText="1"/>
    </xf>
    <xf numFmtId="0" fontId="36" fillId="0" borderId="0" xfId="0" applyFont="1" applyNumberFormat="1">
      <alignment vertical="center" wrapText="1"/>
    </xf>
    <xf numFmtId="49" fontId="19" fillId="0" borderId="0" xfId="0" applyFont="1" applyNumberFormat="1">
      <alignment horizontal="center" vertical="top" wrapText="1"/>
    </xf>
    <xf numFmtId="49" fontId="19" fillId="0" borderId="12" xfId="0" applyFont="1" applyBorder="1" applyNumberFormat="1">
      <alignment horizontal="center" vertical="center" wrapText="1"/>
    </xf>
    <xf numFmtId="49" fontId="19" fillId="38" borderId="12" xfId="0" applyFont="1" applyFill="1" applyBorder="1" applyNumberFormat="1">
      <alignment vertical="center" wrapText="1"/>
      <protection locked="0"/>
    </xf>
    <xf numFmtId="4" fontId="19" fillId="35" borderId="12" xfId="0" applyFont="1" applyFill="1" applyBorder="1" applyNumberFormat="1">
      <alignment horizontal="right" vertical="center" wrapText="1"/>
      <protection locked="0"/>
    </xf>
    <xf numFmtId="0" fontId="19" fillId="0" borderId="13" xfId="0" applyFont="1" applyBorder="1" applyNumberFormat="1">
      <alignment vertical="top" wrapText="1"/>
    </xf>
    <xf numFmtId="0" fontId="74" fillId="0" borderId="0" xfId="0" applyFont="1" applyNumberFormat="1">
      <alignment vertical="center" wrapText="1"/>
    </xf>
    <xf numFmtId="0" fontId="44" fillId="0" borderId="0" xfId="0" applyFont="1" applyNumberFormat="1">
      <alignment vertical="center" wrapText="1"/>
    </xf>
    <xf numFmtId="173" fontId="19" fillId="35" borderId="12" xfId="0" applyFont="1" applyFill="1" applyBorder="1" applyNumberFormat="1">
      <alignment horizontal="right" vertical="center" wrapText="1"/>
      <protection locked="0"/>
    </xf>
    <xf numFmtId="0" fontId="19" fillId="0" borderId="28" xfId="0" applyFont="1" applyBorder="1" applyNumberFormat="1">
      <alignment horizontal="center" vertical="center" wrapText="1"/>
    </xf>
    <xf numFmtId="0" fontId="19" fillId="38" borderId="12" xfId="0" applyFont="1" applyFill="1" applyBorder="1" applyNumberFormat="1">
      <alignment horizontal="left" vertical="center" wrapText="1" indent="2"/>
      <protection locked="0"/>
    </xf>
    <xf numFmtId="49" fontId="37" fillId="0" borderId="0" xfId="0" applyFont="1" applyNumberFormat="1">
      <alignment horizontal="center" vertical="center" wrapText="1"/>
    </xf>
    <xf numFmtId="0" fontId="37" fillId="0" borderId="28" xfId="0" applyFont="1" applyBorder="1" applyNumberFormat="1">
      <alignment horizontal="center" vertical="center" wrapText="1"/>
    </xf>
    <xf numFmtId="0" fontId="37" fillId="0" borderId="12" xfId="0" applyFont="1" applyBorder="1" applyNumberFormat="1">
      <alignment horizontal="left" vertical="center" wrapText="1" indent="2"/>
    </xf>
    <xf numFmtId="0" fontId="37" fillId="0" borderId="12" xfId="0" applyFont="1" applyBorder="1" applyNumberFormat="1">
      <alignment horizontal="center" vertical="center" wrapText="1"/>
    </xf>
    <xf numFmtId="0" fontId="37" fillId="0" borderId="12" xfId="0" applyFont="1" applyBorder="1" applyNumberFormat="1">
      <alignment vertical="center" wrapText="1"/>
    </xf>
    <xf numFmtId="0" fontId="19" fillId="0" borderId="12" xfId="0" applyFont="1" applyBorder="1" applyNumberFormat="1">
      <alignment horizontal="left" vertical="center" wrapText="1" indent="3"/>
    </xf>
    <xf numFmtId="49" fontId="19" fillId="38" borderId="12" xfId="0" applyFont="1" applyFill="1" applyBorder="1" applyNumberFormat="1">
      <alignment horizontal="center" vertical="center" wrapText="1"/>
      <protection locked="0"/>
    </xf>
    <xf numFmtId="0" fontId="19" fillId="35" borderId="12" xfId="0" applyFont="1" applyFill="1" applyBorder="1" applyNumberFormat="1">
      <alignment horizontal="left" vertical="center" wrapText="1"/>
      <protection locked="0"/>
    </xf>
    <xf numFmtId="0" fontId="35" fillId="0" borderId="0" xfId="0" applyFont="1" applyNumberFormat="1">
      <alignment vertical="center" wrapText="1"/>
    </xf>
    <xf numFmtId="4" fontId="19" fillId="38" borderId="12" xfId="0" applyFont="1" applyFill="1" applyBorder="1" applyNumberFormat="1">
      <alignment horizontal="right" vertical="center" wrapText="1"/>
      <protection locked="0"/>
    </xf>
    <xf numFmtId="4" fontId="19" fillId="33" borderId="12" xfId="0" applyFont="1" applyFill="1" applyBorder="1" applyNumberFormat="1">
      <alignment horizontal="right" vertical="center" wrapText="1"/>
    </xf>
    <xf numFmtId="0" fontId="19" fillId="0" borderId="12" xfId="0" applyFont="1" applyBorder="1" applyNumberFormat="1">
      <alignment horizontal="left" vertical="center" wrapText="1" indent="1"/>
    </xf>
    <xf numFmtId="49" fontId="63" fillId="0" borderId="0" xfId="0" applyFont="1" applyNumberFormat="1">
      <alignment horizontal="center" vertical="center" wrapText="1"/>
    </xf>
    <xf numFmtId="49" fontId="63" fillId="0" borderId="28" xfId="0" applyFont="1" applyBorder="1" applyNumberFormat="1">
      <alignment horizontal="center" vertical="center" wrapText="1"/>
    </xf>
    <xf numFmtId="0" fontId="63" fillId="0" borderId="12" xfId="0" applyFont="1" applyBorder="1" applyNumberFormat="1">
      <alignment horizontal="left" vertical="center" wrapText="1" indent="2"/>
    </xf>
    <xf numFmtId="0" fontId="63" fillId="0" borderId="12" xfId="0" applyFont="1" applyBorder="1" applyNumberFormat="1">
      <alignment horizontal="center" vertical="center" wrapText="1"/>
    </xf>
    <xf numFmtId="0" fontId="63"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3" fillId="0" borderId="28" xfId="0" applyFont="1" applyBorder="1" applyNumberFormat="1">
      <alignment horizontal="center" vertical="center" wrapText="1"/>
    </xf>
    <xf numFmtId="0" fontId="63" fillId="0" borderId="12" xfId="0" applyFont="1" applyBorder="1" applyNumberFormat="1">
      <alignment horizontal="left" vertical="center" wrapText="1" indent="3"/>
    </xf>
    <xf numFmtId="4" fontId="63" fillId="0" borderId="12" xfId="0" applyFont="1" applyBorder="1" applyNumberFormat="1">
      <alignment horizontal="right" vertical="center" wrapText="1"/>
    </xf>
    <xf numFmtId="49" fontId="19" fillId="36" borderId="14" xfId="0" applyFont="1" applyFill="1" applyBorder="1" applyNumberFormat="1">
      <alignment vertical="center" wrapText="1"/>
    </xf>
    <xf numFmtId="49" fontId="29" fillId="36" borderId="15" xfId="0" applyFont="1" applyFill="1" applyBorder="1" applyNumberFormat="1">
      <alignment horizontal="left" vertical="center" indent="2"/>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14" fontId="19" fillId="0" borderId="0" xfId="0" applyFont="1" applyNumberFormat="1">
      <alignment horizontal="center" vertical="center" wrapText="1"/>
    </xf>
    <xf numFmtId="49" fontId="39" fillId="0" borderId="0" xfId="0" applyFont="1" applyNumberFormat="1">
      <alignment horizontal="center" vertical="center"/>
    </xf>
    <xf numFmtId="0" fontId="19" fillId="0" borderId="12" xfId="0" applyFont="1" applyBorder="1" applyNumberFormat="1">
      <alignment horizontal="left" vertical="center" wrapText="1" indent="2"/>
    </xf>
    <xf numFmtId="173" fontId="19" fillId="38" borderId="12" xfId="0" applyFont="1" applyFill="1" applyBorder="1" applyNumberFormat="1">
      <alignment horizontal="right" vertical="center" wrapText="1"/>
      <protection locked="0"/>
    </xf>
    <xf numFmtId="0" fontId="19" fillId="0" borderId="17" xfId="0" applyFont="1" applyBorder="1" applyNumberFormat="1">
      <alignment horizontal="center" vertical="center" wrapText="1"/>
    </xf>
    <xf numFmtId="4" fontId="19" fillId="33" borderId="17"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0" fontId="19" fillId="0" borderId="0" xfId="0" applyFont="1" applyNumberFormat="1">
      <alignment horizontal="left" vertical="center" wrapText="1"/>
    </xf>
    <xf numFmtId="0" fontId="19" fillId="0" borderId="0" xfId="0" applyFont="1" applyNumberFormat="1">
      <alignment vertical="center"/>
    </xf>
    <xf numFmtId="0" fontId="0" fillId="0" borderId="0" xfId="0" applyFont="1" applyNumberFormat="1">
      <alignment vertical="center"/>
    </xf>
    <xf numFmtId="0" fontId="36" fillId="0" borderId="0" xfId="0" applyFont="1" applyNumberFormat="1">
      <alignment vertical="center"/>
    </xf>
    <xf numFmtId="0" fontId="19" fillId="0" borderId="0" xfId="0" applyFont="1" applyNumberFormat="1">
      <alignment vertical="center"/>
    </xf>
    <xf numFmtId="0" fontId="76" fillId="0" borderId="0" xfId="0" applyFont="1" applyNumberFormat="1">
      <alignment vertical="center"/>
    </xf>
    <xf numFmtId="0" fontId="30" fillId="0" borderId="0" xfId="0" applyFont="1" applyNumberFormat="1">
      <alignment vertical="center"/>
    </xf>
    <xf numFmtId="0" fontId="19" fillId="0" borderId="0" xfId="0" applyFont="1" applyNumberFormat="1">
      <alignment vertical="center" wrapText="1"/>
    </xf>
    <xf numFmtId="0" fontId="30" fillId="0" borderId="0" xfId="0" applyFont="1" applyNumberFormat="1">
      <alignment vertical="center"/>
    </xf>
    <xf numFmtId="0" fontId="76" fillId="0" borderId="0" xfId="0" applyFont="1" applyNumberFormat="1">
      <alignment vertical="center"/>
    </xf>
    <xf numFmtId="0" fontId="42" fillId="0" borderId="0" xfId="0" applyFont="1" applyNumberFormat="1">
      <alignment vertical="center"/>
    </xf>
    <xf numFmtId="0" fontId="19" fillId="0" borderId="0" xfId="0" applyFont="1" applyNumberFormat="1">
      <alignment horizontal="center" vertical="center" wrapText="1"/>
    </xf>
    <xf numFmtId="49" fontId="24" fillId="0" borderId="0" xfId="0" applyFont="1" applyNumberFormat="1">
      <alignment horizontal="center" vertical="center" wrapText="1"/>
    </xf>
    <xf numFmtId="49" fontId="24" fillId="0" borderId="12" xfId="0" applyFont="1" applyBorder="1" applyNumberFormat="1">
      <alignment horizontal="center" vertical="center" wrapText="1"/>
    </xf>
    <xf numFmtId="0" fontId="36"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xf>
    <xf numFmtId="0" fontId="19" fillId="0" borderId="0" xfId="0" applyFont="1" applyNumberFormat="1">
      <alignment horizontal="center" vertical="center" wrapText="1"/>
    </xf>
    <xf numFmtId="0" fontId="19" fillId="36" borderId="14"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0" fontId="0" fillId="36" borderId="13" xfId="0" applyFont="1" applyFill="1" applyBorder="1" applyNumberFormat="1">
      <alignment vertical="center"/>
    </xf>
    <xf numFmtId="49" fontId="19" fillId="0" borderId="17" xfId="0" applyFont="1" applyBorder="1" applyNumberFormat="1">
      <alignment horizontal="center" vertical="center" wrapText="1"/>
    </xf>
    <xf numFmtId="49" fontId="65" fillId="0" borderId="12" xfId="0" applyFont="1" applyBorder="1" applyNumberFormat="1">
      <alignment horizontal="left" vertical="center" wrapText="1" indent="1"/>
    </xf>
    <xf numFmtId="0" fontId="36" fillId="0" borderId="0" xfId="0" applyFont="1" applyNumberFormat="1">
      <alignment vertical="center"/>
    </xf>
    <xf numFmtId="0" fontId="64" fillId="0" borderId="0" xfId="0" applyFont="1" applyNumberFormat="1">
      <alignment vertical="center"/>
    </xf>
    <xf numFmtId="0" fontId="0" fillId="0" borderId="0" xfId="0" applyFont="1" applyNumberFormat="1">
      <alignment vertical="center"/>
    </xf>
    <xf numFmtId="49" fontId="29" fillId="36" borderId="13" xfId="0" applyFont="1" applyFill="1" applyBorder="1" applyNumberFormat="1">
      <alignment horizontal="left" vertical="center" indent="1"/>
    </xf>
    <xf numFmtId="49" fontId="39" fillId="36" borderId="13" xfId="0" applyFont="1" applyFill="1" applyBorder="1" applyNumberFormat="1">
      <alignment horizontal="right" vertical="center" wrapText="1"/>
    </xf>
    <xf numFmtId="0" fontId="65" fillId="41" borderId="0" xfId="0" applyFont="1" applyFill="1" applyNumberFormat="1">
      <alignment vertical="top"/>
    </xf>
    <xf numFmtId="49" fontId="20" fillId="0" borderId="0" xfId="0" applyFont="1" applyNumberFormat="1">
      <alignment horizontal="center" vertical="center" wrapText="1"/>
    </xf>
    <xf numFmtId="0" fontId="37"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horizontal="center" vertical="center" wrapText="1"/>
    </xf>
    <xf numFmtId="0" fontId="39" fillId="0" borderId="0" xfId="0" applyFont="1" applyNumberFormat="1">
      <alignment horizontal="center" vertical="center" wrapText="1"/>
    </xf>
    <xf numFmtId="49" fontId="20" fillId="0" borderId="0" xfId="0" applyFont="1" applyNumberFormat="1">
      <alignment horizontal="center" vertical="center" wrapText="1"/>
    </xf>
    <xf numFmtId="4" fontId="19" fillId="0" borderId="0" xfId="0" applyFont="1" applyNumberFormat="1">
      <alignment horizontal="right" vertical="center" wrapText="1"/>
    </xf>
    <xf numFmtId="9" fontId="39" fillId="0" borderId="0" xfId="0" applyFont="1" applyNumberFormat="1">
      <alignment horizontal="center" vertical="center" wrapText="1"/>
    </xf>
    <xf numFmtId="0" fontId="62"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49" fontId="53" fillId="0" borderId="0" xfId="0" applyFont="1" applyNumberFormat="1">
      <alignment horizontal="center" vertical="center" wrapText="1"/>
    </xf>
    <xf numFmtId="0" fontId="5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49" fontId="36" fillId="0" borderId="0" xfId="0" applyFont="1" applyNumberFormat="1">
      <alignment vertical="top"/>
    </xf>
    <xf numFmtId="0" fontId="36"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6" fillId="0" borderId="12" xfId="0" applyFont="1" applyBorder="1" applyNumberFormat="1">
      <alignment horizontal="right" vertical="center" wrapText="1"/>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0" fontId="29" fillId="0" borderId="12" xfId="0" applyFont="1" applyBorder="1" applyNumberFormat="1">
      <alignment horizontal="left" vertical="center" indent="1"/>
    </xf>
    <xf numFmtId="0" fontId="19" fillId="0" borderId="0" xfId="0" applyFont="1" applyNumberFormat="1">
      <alignment horizontal="right" vertical="center" wrapText="1"/>
    </xf>
    <xf numFmtId="0" fontId="0" fillId="0" borderId="0" xfId="0" applyFont="1" applyNumberFormat="1">
      <alignment vertical="center"/>
    </xf>
    <xf numFmtId="0" fontId="34" fillId="0" borderId="0" xfId="0" applyFont="1" applyNumberFormat="1">
      <alignment horizontal="right" vertical="top" wrapText="1"/>
    </xf>
    <xf numFmtId="0" fontId="19" fillId="0" borderId="0" xfId="0" applyFont="1" applyNumberFormat="1">
      <alignment vertical="top" wrapText="1"/>
    </xf>
    <xf numFmtId="0" fontId="19" fillId="0" borderId="0" xfId="0" applyFont="1" applyNumberFormat="1">
      <alignment horizontal="left" vertical="top" wrapText="1"/>
    </xf>
    <xf numFmtId="0" fontId="24" fillId="0" borderId="0" xfId="0" applyFont="1" applyNumberFormat="1">
      <alignment horizontal="center" vertical="center" wrapText="1"/>
    </xf>
    <xf numFmtId="4"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49" fontId="43" fillId="35" borderId="14" xfId="0" applyFont="1" applyFill="1" applyBorder="1" applyNumberFormat="1">
      <alignment horizontal="left" vertical="center" wrapText="1"/>
      <protection locked="0"/>
    </xf>
    <xf numFmtId="49" fontId="19" fillId="38" borderId="12" xfId="0" applyFont="1" applyFill="1" applyBorder="1" applyNumberFormat="1">
      <alignment horizontal="left" vertical="center" wrapText="1"/>
      <protection locked="0"/>
    </xf>
    <xf numFmtId="0" fontId="34" fillId="0" borderId="0" xfId="0" applyFont="1" applyNumberFormat="1">
      <alignment vertical="top"/>
    </xf>
    <xf numFmtId="49" fontId="19" fillId="0" borderId="31" xfId="0" applyFont="1" applyBorder="1" applyNumberFormat="1">
      <alignment horizontal="center" vertical="center" wrapText="1"/>
    </xf>
    <xf numFmtId="0" fontId="19" fillId="0" borderId="31" xfId="0" applyFont="1" applyBorder="1" applyNumberFormat="1">
      <alignment horizontal="left" vertical="center" wrapText="1"/>
    </xf>
    <xf numFmtId="0" fontId="19" fillId="0" borderId="31" xfId="0" applyFont="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19" fillId="0" borderId="32" xfId="0" applyFont="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0" fontId="19" fillId="0" borderId="31" xfId="0" applyFont="1" applyBorder="1" applyNumberFormat="1">
      <alignment horizontal="left" vertical="center" wrapText="1" indent="2"/>
    </xf>
    <xf numFmtId="0" fontId="36" fillId="0" borderId="0" xfId="0" applyFont="1" applyNumberFormat="1">
      <alignment horizontal="center" vertical="center" wrapText="1"/>
    </xf>
    <xf numFmtId="49" fontId="19" fillId="0" borderId="0" xfId="0" applyFont="1" applyNumberFormat="1">
      <alignment horizontal="left" vertical="center" wrapText="1"/>
    </xf>
    <xf numFmtId="0" fontId="73" fillId="0" borderId="0" xfId="0" applyFont="1" applyNumberFormat="1">
      <alignment vertical="center" wrapText="1"/>
    </xf>
    <xf numFmtId="0" fontId="73" fillId="0" borderId="0" xfId="0" applyFont="1" applyNumberFormat="1">
      <alignment vertical="center" wrapText="1"/>
    </xf>
    <xf numFmtId="0" fontId="19" fillId="0" borderId="0" xfId="0" applyFont="1" applyNumberFormat="1">
      <alignment horizontal="left" vertical="center" wrapText="1"/>
    </xf>
    <xf numFmtId="0" fontId="19" fillId="0" borderId="12" xfId="0" applyFont="1" applyBorder="1" applyNumberFormat="1">
      <alignment horizontal="left" vertical="center" wrapText="1"/>
    </xf>
    <xf numFmtId="3" fontId="19" fillId="0" borderId="14" xfId="0" applyFont="1" applyBorder="1" applyNumberFormat="1">
      <alignment vertical="center" wrapText="1"/>
    </xf>
    <xf numFmtId="0" fontId="19" fillId="0" borderId="13" xfId="0" applyFont="1" applyBorder="1" applyNumberFormat="1">
      <alignment vertical="center" wrapText="1"/>
    </xf>
    <xf numFmtId="4" fontId="19" fillId="35" borderId="14" xfId="0" applyFont="1" applyFill="1" applyBorder="1" applyNumberFormat="1">
      <alignment horizontal="right" vertical="center" wrapText="1"/>
      <protection locked="0"/>
    </xf>
    <xf numFmtId="4" fontId="19" fillId="0" borderId="14" xfId="0" applyFont="1" applyBorder="1" applyNumberFormat="1">
      <alignment horizontal="right" vertical="center" wrapText="1"/>
    </xf>
    <xf numFmtId="4" fontId="19" fillId="0" borderId="30" xfId="0" applyFont="1" applyBorder="1" applyNumberFormat="1">
      <alignment horizontal="right" vertical="center" wrapText="1"/>
    </xf>
    <xf numFmtId="0" fontId="24" fillId="0" borderId="0" xfId="0" applyFont="1" applyNumberFormat="1">
      <alignment horizontal="center" vertical="center" wrapText="1"/>
    </xf>
    <xf numFmtId="0" fontId="19" fillId="0" borderId="14" xfId="0" applyFont="1" applyBorder="1" applyNumberFormat="1">
      <alignment horizontal="center" vertical="center" wrapText="1"/>
    </xf>
    <xf numFmtId="3" fontId="19" fillId="38" borderId="14" xfId="0" applyFont="1" applyFill="1" applyBorder="1" applyNumberFormat="1">
      <alignment vertical="center" wrapText="1"/>
      <protection locked="0"/>
    </xf>
    <xf numFmtId="49" fontId="19" fillId="35" borderId="14" xfId="0" applyFont="1" applyFill="1" applyBorder="1" applyNumberFormat="1">
      <alignment horizontal="left" vertical="center" wrapText="1"/>
      <protection locked="0"/>
    </xf>
    <xf numFmtId="4" fontId="19" fillId="33" borderId="14" xfId="0" applyFont="1" applyFill="1" applyBorder="1" applyNumberFormat="1">
      <alignment horizontal="right" vertical="center" wrapText="1"/>
    </xf>
    <xf numFmtId="0" fontId="19"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19"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19" fillId="36" borderId="19" xfId="0" applyFont="1" applyFill="1" applyBorder="1" applyNumberFormat="1">
      <alignment vertical="center" wrapText="1"/>
    </xf>
    <xf numFmtId="0" fontId="19" fillId="0" borderId="15" xfId="0" applyFont="1" applyBorder="1" applyNumberFormat="1">
      <alignment horizontal="center" vertical="center" wrapText="1"/>
    </xf>
    <xf numFmtId="0" fontId="19" fillId="36" borderId="27" xfId="0" applyFont="1" applyFill="1" applyBorder="1" applyNumberFormat="1">
      <alignment vertical="center" wrapText="1"/>
    </xf>
    <xf numFmtId="49" fontId="19" fillId="38" borderId="14" xfId="0" applyFont="1" applyFill="1" applyBorder="1" applyNumberFormat="1">
      <alignment horizontal="left" vertical="center" wrapText="1"/>
      <protection locked="0"/>
    </xf>
    <xf numFmtId="49" fontId="0" fillId="35" borderId="12" xfId="0" applyFont="1" applyFill="1" applyBorder="1" applyNumberFormat="1">
      <alignment horizontal="left" vertical="center" wrapText="1"/>
      <protection locked="0"/>
    </xf>
    <xf numFmtId="0" fontId="35" fillId="0" borderId="0" xfId="0" applyFont="1" applyNumberFormat="1">
      <alignment horizontal="left" vertical="center" wrapText="1" indent="1"/>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19" fillId="0" borderId="12" xfId="0" applyFont="1" applyBorder="1" applyNumberFormat="1">
      <alignment horizontal="center" vertical="center" wrapText="1"/>
    </xf>
    <xf numFmtId="49" fontId="36" fillId="0" borderId="0" xfId="0" applyFont="1" applyNumberFormat="1">
      <alignment horizontal="center" vertical="center" wrapText="1"/>
    </xf>
    <xf numFmtId="0" fontId="19" fillId="0" borderId="12" xfId="0" applyFont="1" applyBorder="1" applyNumberFormat="1">
      <alignment horizontal="center" vertical="center" wrapText="1"/>
    </xf>
    <xf numFmtId="0" fontId="36" fillId="0" borderId="0" xfId="0" applyFont="1" applyNumberFormat="1">
      <alignment horizontal="center" vertical="top"/>
    </xf>
    <xf numFmtId="0" fontId="19" fillId="0" borderId="12" xfId="0" applyFont="1" applyBorder="1" applyNumberFormat="1">
      <alignment horizontal="left" vertical="center" wrapText="1"/>
    </xf>
    <xf numFmtId="0" fontId="37" fillId="0" borderId="0" xfId="0" applyFont="1" applyNumberFormat="1">
      <alignment horizontal="center" vertical="center" wrapText="1"/>
    </xf>
    <xf numFmtId="0" fontId="19" fillId="0" borderId="12" xfId="0" applyFont="1" applyBorder="1" applyNumberFormat="1">
      <alignment horizontal="left" vertical="center" wrapText="1"/>
    </xf>
    <xf numFmtId="49" fontId="19" fillId="39" borderId="12" xfId="0" applyFont="1" applyFill="1" applyBorder="1" applyNumberFormat="1">
      <alignment horizontal="left" vertical="center" wrapText="1" indent="1"/>
    </xf>
    <xf numFmtId="0" fontId="19" fillId="0" borderId="14" xfId="0" applyFont="1" applyBorder="1" applyNumberFormat="1">
      <alignment vertical="center" wrapText="1"/>
    </xf>
    <xf numFmtId="0" fontId="19" fillId="0" borderId="0" xfId="0" applyFont="1" applyNumberFormat="1">
      <alignment horizontal="right" vertical="center"/>
    </xf>
    <xf numFmtId="49" fontId="43" fillId="36" borderId="13" xfId="0" applyFont="1" applyFill="1" applyBorder="1" applyNumberFormat="1">
      <alignment horizontal="left" vertical="center" wrapText="1"/>
    </xf>
    <xf numFmtId="0" fontId="79" fillId="0" borderId="0" xfId="0" applyFont="1" applyNumberFormat="1">
      <alignment vertical="center"/>
    </xf>
    <xf numFmtId="0" fontId="80" fillId="0" borderId="0" xfId="0" applyFont="1" applyNumberFormat="1">
      <alignment vertical="center"/>
    </xf>
    <xf numFmtId="49" fontId="37" fillId="0" borderId="22" xfId="0" applyFont="1" applyBorder="1" applyNumberFormat="1">
      <alignment vertical="top"/>
    </xf>
    <xf numFmtId="49" fontId="37" fillId="0" borderId="22" xfId="0" applyFont="1" applyBorder="1" applyNumberFormat="1">
      <alignment vertical="top"/>
    </xf>
    <xf numFmtId="0" fontId="37" fillId="0" borderId="22" xfId="0" applyFont="1" applyBorder="1" applyNumberFormat="1">
      <alignment vertical="center" wrapText="1"/>
    </xf>
    <xf numFmtId="0" fontId="19" fillId="0" borderId="13" xfId="0" applyFont="1" applyBorder="1" applyNumberFormat="1">
      <alignment horizontal="left" vertical="center" wrapText="1" indent="1"/>
    </xf>
    <xf numFmtId="0" fontId="62" fillId="0" borderId="22" xfId="0" applyFont="1" applyBorder="1" applyNumberFormat="1">
      <alignment vertical="center" wrapText="1"/>
    </xf>
    <xf numFmtId="4" fontId="19" fillId="0" borderId="31" xfId="0" applyFont="1" applyBorder="1" applyNumberFormat="1">
      <alignment horizontal="center" vertical="center" wrapText="1"/>
    </xf>
    <xf numFmtId="0" fontId="19" fillId="0" borderId="33" xfId="0" applyFont="1" applyBorder="1" applyNumberFormat="1">
      <alignment horizontal="left" vertical="center" wrapText="1"/>
    </xf>
    <xf numFmtId="0" fontId="19" fillId="0" borderId="33" xfId="0" applyFont="1" applyBorder="1" applyNumberFormat="1">
      <alignment horizontal="left" vertical="center" wrapText="1" indent="1"/>
    </xf>
    <xf numFmtId="4" fontId="19" fillId="38" borderId="33" xfId="0" applyFont="1" applyFill="1" applyBorder="1" applyNumberFormat="1">
      <alignment horizontal="right" vertical="center" wrapText="1"/>
      <protection locked="0"/>
    </xf>
    <xf numFmtId="4" fontId="19" fillId="0" borderId="33" xfId="0" applyFont="1" applyBorder="1" applyNumberFormat="1">
      <alignment horizontal="center" vertical="center" wrapText="1"/>
    </xf>
    <xf numFmtId="49" fontId="19" fillId="0" borderId="34" xfId="0" applyFont="1" applyBorder="1" applyNumberFormat="1">
      <alignment horizontal="center" vertical="center" wrapText="1"/>
    </xf>
    <xf numFmtId="4" fontId="19" fillId="38" borderId="14" xfId="0" applyFont="1" applyFill="1" applyBorder="1" applyNumberFormat="1">
      <alignment horizontal="right" vertical="center" wrapText="1"/>
      <protection locked="0"/>
    </xf>
    <xf numFmtId="4" fontId="19" fillId="38" borderId="34" xfId="0" applyFont="1" applyFill="1" applyBorder="1" applyNumberFormat="1">
      <alignment horizontal="right" vertical="center" wrapText="1"/>
      <protection locked="0"/>
    </xf>
    <xf numFmtId="0" fontId="36" fillId="0" borderId="0" xfId="0" applyFont="1" applyNumberFormat="1">
      <alignment horizontal="left" vertical="center" wrapText="1"/>
    </xf>
    <xf numFmtId="0" fontId="37" fillId="0" borderId="0" xfId="0" applyFont="1" applyNumberFormat="1">
      <alignment horizontal="left" vertical="center" wrapText="1"/>
    </xf>
    <xf numFmtId="0" fontId="44" fillId="0" borderId="0" xfId="0" applyFont="1" applyNumberFormat="1">
      <alignment horizontal="left" vertical="center" wrapText="1"/>
    </xf>
    <xf numFmtId="0" fontId="20" fillId="0" borderId="0" xfId="0" applyFont="1" applyNumberFormat="1">
      <alignment horizontal="left" vertical="center" wrapText="1"/>
    </xf>
    <xf numFmtId="49" fontId="19" fillId="0" borderId="0" xfId="0" applyFont="1" applyNumberFormat="1">
      <alignment horizontal="center" vertical="center" wrapText="1"/>
    </xf>
    <xf numFmtId="0" fontId="74" fillId="0" borderId="0" xfId="0" applyFont="1" applyNumberFormat="1">
      <alignment vertical="center" wrapText="1"/>
    </xf>
    <xf numFmtId="0" fontId="37" fillId="0" borderId="0" xfId="0" applyFont="1" applyNumberFormat="1">
      <alignment vertical="center" wrapText="1"/>
    </xf>
    <xf numFmtId="0" fontId="44" fillId="0" borderId="0" xfId="0" applyFont="1" applyNumberFormat="1">
      <alignment vertical="center" wrapText="1"/>
    </xf>
    <xf numFmtId="0" fontId="20" fillId="0" borderId="0" xfId="0" applyFont="1" applyNumberFormat="1">
      <alignment vertical="center" wrapText="1"/>
    </xf>
    <xf numFmtId="49" fontId="39" fillId="0" borderId="0" xfId="0" applyFont="1" applyNumberFormat="1">
      <alignment horizontal="center" vertical="center"/>
    </xf>
    <xf numFmtId="0" fontId="19" fillId="0" borderId="0" xfId="0" applyFont="1" applyNumberFormat="1">
      <alignment vertical="center" wrapText="1"/>
    </xf>
    <xf numFmtId="4" fontId="19" fillId="0" borderId="35" xfId="0" applyFont="1" applyBorder="1" applyNumberFormat="1">
      <alignment horizontal="center" vertical="center" wrapText="1"/>
    </xf>
    <xf numFmtId="4" fontId="19" fillId="38" borderId="35" xfId="0" applyFont="1" applyFill="1" applyBorder="1" applyNumberFormat="1">
      <alignment horizontal="right" vertical="center" wrapText="1"/>
      <protection locked="0"/>
    </xf>
    <xf numFmtId="4" fontId="19" fillId="38" borderId="23" xfId="0" applyFont="1" applyFill="1" applyBorder="1" applyNumberFormat="1">
      <alignment horizontal="right" vertical="center" wrapText="1"/>
      <protection locked="0"/>
    </xf>
    <xf numFmtId="49" fontId="19" fillId="0" borderId="33" xfId="0" applyFont="1" applyBorder="1" applyNumberFormat="1">
      <alignment horizontal="center" vertical="center" wrapText="1"/>
    </xf>
    <xf numFmtId="0" fontId="19" fillId="0" borderId="35" xfId="0" applyFont="1" applyBorder="1" applyNumberFormat="1">
      <alignment horizontal="left" vertical="center" wrapText="1"/>
    </xf>
    <xf numFmtId="0" fontId="19" fillId="0" borderId="20" xfId="0" applyFont="1" applyBorder="1" applyNumberFormat="1">
      <alignment vertical="center" wrapText="1"/>
    </xf>
    <xf numFmtId="0" fontId="25" fillId="0" borderId="0" xfId="0" applyFont="1" applyNumberFormat="1">
      <alignment horizontal="center" vertical="center" wrapText="1"/>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173" fontId="19" fillId="33" borderId="12" xfId="0" applyFont="1" applyFill="1" applyBorder="1" applyNumberFormat="1">
      <alignment horizontal="right" vertical="center" wrapText="1"/>
    </xf>
    <xf numFmtId="0" fontId="0" fillId="0" borderId="0" xfId="0" applyFont="1" applyNumberFormat="1">
      <alignment vertical="center"/>
    </xf>
    <xf numFmtId="4" fontId="19" fillId="35" borderId="12" xfId="0" applyFont="1" applyFill="1" applyBorder="1" applyNumberFormat="1">
      <alignment horizontal="right" vertical="center" wrapText="1"/>
      <protection locked="0"/>
    </xf>
    <xf numFmtId="0" fontId="60" fillId="34" borderId="0" xfId="0" applyFont="1" applyFill="1" applyNumberFormat="1">
      <alignment horizontal="right" vertical="center"/>
    </xf>
    <xf numFmtId="49" fontId="0" fillId="0" borderId="12" xfId="0" applyFont="1" applyBorder="1" applyNumberFormat="1">
      <alignment vertical="top"/>
    </xf>
    <xf numFmtId="0" fontId="19"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2" borderId="17" xfId="0" applyFont="1" applyFill="1" applyBorder="1" applyNumberFormat="1">
      <alignment vertical="top"/>
    </xf>
    <xf numFmtId="0" fontId="19" fillId="0" borderId="0" xfId="0" applyFont="1" applyNumberFormat="1">
      <alignment vertical="center" wrapText="1"/>
    </xf>
    <xf numFmtId="0" fontId="20" fillId="0" borderId="0" xfId="0" applyFont="1" applyNumberFormat="1">
      <alignment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49" fontId="19" fillId="0" borderId="0" xfId="0" applyFont="1" applyNumberFormat="1">
      <alignment vertical="center" wrapText="1"/>
    </xf>
    <xf numFmtId="0" fontId="19"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3"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19" fillId="0" borderId="0" xfId="0" applyFont="1" applyNumberFormat="1">
      <alignment horizontal="center" vertical="center" wrapText="1"/>
    </xf>
    <xf numFmtId="0" fontId="39" fillId="34" borderId="0" xfId="0" applyFont="1" applyFill="1" applyNumberFormat="1">
      <alignment vertical="center" wrapText="1"/>
    </xf>
    <xf numFmtId="0" fontId="43" fillId="0" borderId="0" xfId="0" applyFont="1" applyNumberFormat="1">
      <alignment horizontal="left" vertical="center" indent="1"/>
    </xf>
    <xf numFmtId="0" fontId="0" fillId="34" borderId="0" xfId="0" applyFont="1" applyFill="1" applyNumberFormat="1">
      <alignment horizontal="right" vertical="center" wrapText="1" indent="1"/>
    </xf>
    <xf numFmtId="0" fontId="0" fillId="34" borderId="0" xfId="0" applyFont="1" applyFill="1" applyNumberFormat="1">
      <alignment horizontal="left" vertical="center" wrapText="1" indent="1"/>
    </xf>
    <xf numFmtId="14" fontId="19" fillId="34" borderId="0" xfId="0" applyFont="1" applyFill="1" applyNumberFormat="1">
      <alignment horizontal="center" vertical="center" wrapText="1"/>
    </xf>
    <xf numFmtId="171" fontId="19" fillId="0" borderId="14" xfId="0" applyFont="1" applyBorder="1" applyNumberFormat="1">
      <alignment horizontal="center" vertical="center" wrapText="1"/>
    </xf>
    <xf numFmtId="49" fontId="24" fillId="0" borderId="15" xfId="0" applyFont="1" applyBorder="1" applyNumberFormat="1">
      <alignment horizontal="center" vertical="center" wrapText="1"/>
    </xf>
    <xf numFmtId="49" fontId="19" fillId="0" borderId="0" xfId="0" applyFont="1" applyNumberFormat="1">
      <alignment horizontal="center" vertical="center" wrapText="1"/>
    </xf>
    <xf numFmtId="0" fontId="19" fillId="0" borderId="23" xfId="0" applyFont="1" applyBorder="1" applyNumberFormat="1">
      <alignment horizontal="center" vertical="center" wrapText="1"/>
    </xf>
    <xf numFmtId="49" fontId="0" fillId="44" borderId="12" xfId="0" applyFont="1" applyFill="1" applyBorder="1" applyNumberFormat="1">
      <alignment vertical="top"/>
    </xf>
    <xf numFmtId="0" fontId="25" fillId="0" borderId="0" xfId="0" applyFont="1" applyNumberFormat="1">
      <alignment horizontal="center" vertical="center" wrapText="1"/>
    </xf>
    <xf numFmtId="0" fontId="81" fillId="0" borderId="0" xfId="0" applyFont="1" applyNumberFormat="1">
      <alignment horizontal="left" vertical="center" wrapText="1"/>
    </xf>
    <xf numFmtId="0" fontId="81" fillId="0" borderId="0" xfId="0" applyFont="1" applyNumberFormat="1">
      <alignment horizontal="left" vertical="center" wrapText="1"/>
    </xf>
    <xf numFmtId="14" fontId="81" fillId="34" borderId="0" xfId="0" applyFont="1" applyFill="1" applyNumberFormat="1">
      <alignment horizontal="left" vertical="center" wrapText="1"/>
    </xf>
    <xf numFmtId="14" fontId="82" fillId="0" borderId="0" xfId="0" applyFont="1" applyNumberFormat="1">
      <alignment horizontal="center" vertical="center" wrapText="1"/>
    </xf>
    <xf numFmtId="0" fontId="81" fillId="0" borderId="0" xfId="0" applyFont="1" applyNumberFormat="1">
      <alignment horizontal="left" vertical="center" wrapText="1"/>
    </xf>
    <xf numFmtId="14" fontId="83" fillId="0" borderId="12" xfId="0" applyFont="1" applyBorder="1" applyNumberFormat="1">
      <alignment horizontal="left" vertical="center" wrapText="1"/>
    </xf>
    <xf numFmtId="0" fontId="37" fillId="0" borderId="0" xfId="0" applyFont="1" applyNumberFormat="1">
      <alignment vertical="center"/>
    </xf>
    <xf numFmtId="49" fontId="19" fillId="36" borderId="19" xfId="0" applyFont="1" applyFill="1" applyBorder="1" applyNumberFormat="1">
      <alignment horizontal="center" vertical="center" wrapText="1"/>
    </xf>
    <xf numFmtId="49" fontId="19" fillId="33" borderId="23" xfId="0" applyFont="1" applyFill="1" applyBorder="1" applyNumberFormat="1">
      <alignment horizontal="center" vertical="center" wrapText="1"/>
    </xf>
    <xf numFmtId="49" fontId="36" fillId="0" borderId="12" xfId="0" applyFont="1" applyBorder="1" applyNumberFormat="1">
      <alignment horizontal="left" vertical="center" wrapText="1"/>
    </xf>
    <xf numFmtId="14" fontId="19" fillId="39" borderId="23" xfId="0" applyFont="1" applyFill="1" applyBorder="1" applyNumberFormat="1">
      <alignment horizontal="left" vertical="center" wrapText="1" indent="1"/>
    </xf>
    <xf numFmtId="49" fontId="19" fillId="36" borderId="14" xfId="0" applyFont="1" applyFill="1" applyBorder="1" applyNumberFormat="1">
      <alignment horizontal="right" vertical="center" wrapText="1"/>
    </xf>
    <xf numFmtId="0" fontId="37" fillId="0" borderId="23" xfId="0" applyFont="1" applyBorder="1" applyNumberFormat="1">
      <alignment horizontal="center" vertical="center" wrapText="1"/>
    </xf>
    <xf numFmtId="49" fontId="19" fillId="0" borderId="13" xfId="0" applyFont="1" applyBorder="1" applyNumberFormat="1">
      <alignment horizontal="center" vertical="top"/>
    </xf>
    <xf numFmtId="49" fontId="19" fillId="0" borderId="12" xfId="0" applyFont="1" applyBorder="1" applyNumberFormat="1">
      <alignment horizontal="center" vertical="top"/>
    </xf>
    <xf numFmtId="0" fontId="19" fillId="0" borderId="23" xfId="0" applyFont="1" applyBorder="1" applyNumberFormat="1">
      <alignment horizontal="center" vertical="center" wrapText="1"/>
    </xf>
    <xf numFmtId="49" fontId="19" fillId="0" borderId="14" xfId="0" applyFont="1" applyBorder="1" applyNumberFormat="1">
      <alignment horizontal="center" vertical="top"/>
    </xf>
    <xf numFmtId="0" fontId="24" fillId="0" borderId="24" xfId="0" applyFont="1" applyBorder="1" applyNumberFormat="1">
      <alignment vertical="top" wrapText="1"/>
    </xf>
    <xf numFmtId="0" fontId="24" fillId="0" borderId="0" xfId="0" applyFont="1" applyNumberFormat="1">
      <alignment vertical="top" wrapText="1"/>
    </xf>
    <xf numFmtId="0" fontId="37" fillId="0" borderId="12" xfId="0" applyFont="1" applyBorder="1" applyNumberFormat="1">
      <alignment horizontal="center" vertical="center" wrapText="1"/>
    </xf>
    <xf numFmtId="0" fontId="36" fillId="0" borderId="23" xfId="0" applyFont="1" applyBorder="1" applyNumberFormat="1">
      <alignment horizontal="center" vertical="center" wrapText="1"/>
    </xf>
    <xf numFmtId="0" fontId="37" fillId="0" borderId="12" xfId="0" applyFont="1" applyBorder="1" applyNumberFormat="1">
      <alignment horizontal="center" vertical="center"/>
    </xf>
    <xf numFmtId="0" fontId="19" fillId="0" borderId="12" xfId="0" applyFont="1" applyBorder="1" applyNumberFormat="1">
      <alignment horizontal="center"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0" fontId="36" fillId="0" borderId="22" xfId="0" applyFont="1" applyBorder="1" applyNumberFormat="1">
      <alignment vertical="center"/>
    </xf>
    <xf numFmtId="0" fontId="19" fillId="0" borderId="13" xfId="0" applyFont="1" applyBorder="1" applyNumberFormat="1">
      <alignment horizontal="center" vertical="center" wrapText="1"/>
    </xf>
    <xf numFmtId="49"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indent="1"/>
    </xf>
    <xf numFmtId="3" fontId="19" fillId="35" borderId="14" xfId="0" applyFont="1" applyFill="1" applyBorder="1" applyNumberFormat="1">
      <alignment horizontal="right" vertical="center" wrapText="1"/>
      <protection locked="0"/>
    </xf>
    <xf numFmtId="49" fontId="43" fillId="35" borderId="12" xfId="0" applyFont="1" applyFill="1" applyBorder="1" applyNumberFormat="1">
      <alignment horizontal="left" vertical="center" wrapText="1"/>
      <protection locked="0"/>
    </xf>
    <xf numFmtId="0" fontId="43" fillId="0" borderId="0" xfId="0" applyFont="1" applyNumberFormat="1">
      <alignment vertical="center" wrapText="1"/>
    </xf>
    <xf numFmtId="0" fontId="19" fillId="0" borderId="13" xfId="0" applyFont="1" applyBorder="1" applyNumberFormat="1">
      <alignment horizontal="center" vertical="center" wrapText="1"/>
    </xf>
    <xf numFmtId="0" fontId="19" fillId="0" borderId="12" xfId="0" applyFont="1" applyBorder="1" applyNumberFormat="1">
      <alignment horizontal="center" vertical="center" wrapText="1"/>
    </xf>
    <xf numFmtId="0" fontId="25" fillId="34" borderId="0" xfId="0" applyFont="1" applyFill="1" applyNumberFormat="1">
      <alignment horizontal="center" vertical="center" wrapText="1"/>
    </xf>
    <xf numFmtId="0" fontId="19" fillId="34"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24" fillId="34" borderId="15" xfId="0" applyFont="1" applyFill="1" applyBorder="1" applyNumberFormat="1">
      <alignment horizontal="center" vertical="center" wrapText="1"/>
    </xf>
    <xf numFmtId="0" fontId="19" fillId="0" borderId="0" xfId="0" applyFont="1" applyNumberFormat="1">
      <alignment horizontal="left" vertical="center" wrapText="1" indent="1"/>
    </xf>
    <xf numFmtId="0" fontId="71" fillId="0" borderId="17" xfId="0" applyFont="1" applyBorder="1" applyNumberFormat="1">
      <alignment horizontal="center" vertical="center" wrapText="1"/>
    </xf>
    <xf numFmtId="49" fontId="36" fillId="0" borderId="0" xfId="0" applyFont="1" applyNumberFormat="1">
      <alignment vertical="top"/>
    </xf>
    <xf numFmtId="0" fontId="84"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19" fillId="0" borderId="0" xfId="0" applyFont="1" applyNumberFormat="1">
      <alignment vertical="top"/>
    </xf>
    <xf numFmtId="0" fontId="19" fillId="0" borderId="12" xfId="0" applyFont="1" applyBorder="1" applyNumberFormat="1">
      <alignment horizontal="left" vertical="top" wrapText="1"/>
    </xf>
    <xf numFmtId="49" fontId="85" fillId="0" borderId="0" xfId="0" applyFont="1" applyNumberFormat="1">
      <alignment horizontal="center" vertical="top" wrapText="1"/>
    </xf>
    <xf numFmtId="49" fontId="85" fillId="0" borderId="0" xfId="0" applyFont="1" applyNumberFormat="1">
      <alignment vertical="top" wrapText="1"/>
    </xf>
    <xf numFmtId="49" fontId="81" fillId="40" borderId="12" xfId="0" applyFont="1" applyFill="1" applyBorder="1" applyNumberFormat="1">
      <alignment horizontal="center" vertical="top" wrapText="1"/>
    </xf>
    <xf numFmtId="49" fontId="85" fillId="0" borderId="0" xfId="0" applyFont="1" applyNumberFormat="1">
      <alignment horizontal="left" vertical="top" wrapText="1"/>
    </xf>
    <xf numFmtId="49" fontId="85" fillId="0" borderId="12" xfId="0" applyFont="1" applyBorder="1" applyNumberFormat="1">
      <alignment horizontal="left" vertical="top" wrapText="1"/>
    </xf>
    <xf numFmtId="0" fontId="85" fillId="0" borderId="12" xfId="0" applyFont="1" applyBorder="1" applyNumberFormat="1">
      <alignment horizontal="left" vertical="top" wrapText="1"/>
    </xf>
    <xf numFmtId="0" fontId="85" fillId="40" borderId="12" xfId="0" applyFont="1" applyFill="1" applyBorder="1" applyNumberFormat="1">
      <alignment horizontal="right" vertical="center" wrapText="1"/>
    </xf>
    <xf numFmtId="49" fontId="85" fillId="0" borderId="12" xfId="0" applyFont="1" applyBorder="1" applyNumberFormat="1">
      <alignment vertical="top" wrapText="1"/>
    </xf>
    <xf numFmtId="0" fontId="85" fillId="0" borderId="17" xfId="0" applyFont="1" applyBorder="1" applyNumberFormat="1">
      <alignment horizontal="left" vertical="top" wrapText="1"/>
    </xf>
    <xf numFmtId="0" fontId="85" fillId="0" borderId="13" xfId="0" applyFont="1" applyBorder="1" applyNumberFormat="1">
      <alignment horizontal="left" vertical="top" wrapText="1"/>
    </xf>
    <xf numFmtId="0" fontId="85" fillId="0" borderId="12" xfId="0" applyFont="1" applyBorder="1" applyNumberFormat="1">
      <alignment vertical="top" wrapText="1"/>
    </xf>
    <xf numFmtId="0" fontId="81" fillId="40" borderId="12" xfId="0" applyFont="1" applyFill="1" applyBorder="1" applyNumberFormat="1">
      <alignment horizontal="center" vertical="top" wrapText="1"/>
    </xf>
    <xf numFmtId="0" fontId="85" fillId="0" borderId="0" xfId="0" applyFont="1" applyNumberFormat="1">
      <alignment vertical="top" wrapText="1"/>
    </xf>
    <xf numFmtId="0" fontId="80" fillId="0" borderId="0" xfId="0" applyFont="1" applyNumberFormat="1">
      <alignment vertical="center" wrapText="1"/>
    </xf>
    <xf numFmtId="0" fontId="35" fillId="0" borderId="0" xfId="0" applyFont="1" applyNumberFormat="1">
      <alignment horizontal="left" vertical="center" wrapText="1" indent="3"/>
    </xf>
    <xf numFmtId="3" fontId="0" fillId="0" borderId="13" xfId="0" applyFont="1" applyBorder="1" applyNumberFormat="1">
      <alignment horizontal="right" vertical="center" wrapText="1"/>
    </xf>
    <xf numFmtId="0" fontId="19" fillId="39" borderId="14" xfId="0" applyFont="1" applyFill="1" applyBorder="1" applyNumberFormat="1">
      <alignment horizontal="left" vertical="center" wrapText="1"/>
    </xf>
    <xf numFmtId="49" fontId="24" fillId="34" borderId="12" xfId="0" applyFont="1" applyFill="1" applyBorder="1" applyNumberFormat="1">
      <alignment horizontal="center" vertical="center" wrapText="1"/>
    </xf>
    <xf numFmtId="49" fontId="60" fillId="36" borderId="13" xfId="0" applyFont="1" applyFill="1" applyBorder="1" applyNumberFormat="1">
      <alignment vertical="center"/>
    </xf>
    <xf numFmtId="49" fontId="19" fillId="34" borderId="0" xfId="0" applyFont="1" applyFill="1" applyNumberFormat="1">
      <alignment horizontal="center" vertical="center" wrapText="1"/>
    </xf>
    <xf numFmtId="0" fontId="19" fillId="34" borderId="0" xfId="0" applyFont="1" applyFill="1" applyNumberFormat="1">
      <alignment horizontal="center" vertical="top" wrapText="1"/>
    </xf>
    <xf numFmtId="49" fontId="0" fillId="38"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49" fontId="19" fillId="38" borderId="12" xfId="0" applyFont="1" applyFill="1" applyBorder="1" applyNumberFormat="1" quotePrefix="1">
      <alignment horizontal="left" vertical="center" wrapText="1"/>
      <protection locked="0"/>
    </xf>
    <xf numFmtId="14" fontId="19" fillId="39" borderId="23" xfId="0" applyFont="1" applyFill="1" applyBorder="1" applyNumberFormat="1">
      <alignment horizontal="left" vertical="center" wrapText="1"/>
    </xf>
    <xf numFmtId="0" fontId="37" fillId="34" borderId="23" xfId="0" applyFont="1" applyFill="1" applyBorder="1" applyNumberFormat="1">
      <alignment horizontal="center" vertical="center" wrapText="1"/>
    </xf>
    <xf numFmtId="0" fontId="25" fillId="34" borderId="24" xfId="0" applyFont="1" applyFill="1" applyBorder="1" applyNumberFormat="1">
      <alignment vertical="top" wrapText="1"/>
    </xf>
    <xf numFmtId="0" fontId="25" fillId="34" borderId="0" xfId="0" applyFont="1" applyFill="1" applyNumberFormat="1">
      <alignment vertical="top" wrapText="1"/>
    </xf>
    <xf numFmtId="14" fontId="19" fillId="39" borderId="29" xfId="0" applyFont="1" applyFill="1" applyBorder="1" applyNumberFormat="1">
      <alignment horizontal="left" vertical="center" wrapText="1"/>
    </xf>
    <xf numFmtId="0" fontId="37" fillId="34" borderId="12" xfId="0" applyFont="1" applyFill="1" applyBorder="1" applyNumberFormat="1">
      <alignment horizontal="center" vertical="center" wrapText="1"/>
    </xf>
    <xf numFmtId="0" fontId="29" fillId="36" borderId="15" xfId="0" applyFont="1" applyFill="1" applyBorder="1" applyNumberFormat="1">
      <alignment vertical="center"/>
    </xf>
    <xf numFmtId="0" fontId="38" fillId="0" borderId="0" xfId="0" applyFont="1" applyNumberFormat="1">
      <alignment vertical="center"/>
    </xf>
    <xf numFmtId="0" fontId="37" fillId="0" borderId="0" xfId="0" applyFont="1" applyNumberFormat="1">
      <alignment vertical="center" wrapText="1"/>
    </xf>
    <xf numFmtId="49" fontId="36" fillId="0" borderId="0" xfId="0" applyFont="1" applyNumberFormat="1">
      <alignment vertical="center" wrapText="1"/>
    </xf>
    <xf numFmtId="49" fontId="36" fillId="0" borderId="0" xfId="0" applyFont="1" applyNumberFormat="1">
      <alignment vertical="top"/>
    </xf>
    <xf numFmtId="0" fontId="78" fillId="0" borderId="0" xfId="0" applyFont="1" applyNumberFormat="1">
      <alignment vertical="center" wrapText="1"/>
    </xf>
    <xf numFmtId="0" fontId="86" fillId="0" borderId="0" xfId="0" applyFont="1" applyNumberFormat="1">
      <alignment vertical="center" wrapText="1"/>
    </xf>
    <xf numFmtId="0" fontId="36" fillId="0" borderId="0" xfId="0" applyFont="1" applyNumberFormat="1">
      <alignment vertical="center" wrapText="1"/>
    </xf>
    <xf numFmtId="0" fontId="78" fillId="0" borderId="0" xfId="0" applyFont="1" applyNumberFormat="1">
      <alignment horizontal="center" vertical="center" wrapText="1"/>
    </xf>
    <xf numFmtId="0" fontId="36" fillId="0" borderId="0" xfId="0" applyFont="1" applyNumberFormat="1">
      <alignment vertical="center" wrapText="1"/>
    </xf>
    <xf numFmtId="14" fontId="19" fillId="34"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19" fillId="0" borderId="0" xfId="0" applyFont="1" applyNumberFormat="1">
      <alignment vertical="center" wrapText="1"/>
    </xf>
    <xf numFmtId="0" fontId="0" fillId="0" borderId="12" xfId="0" applyFont="1" applyBorder="1" applyNumberFormat="1">
      <alignment horizontal="left" vertical="center" wrapText="1" indent="1"/>
    </xf>
    <xf numFmtId="49" fontId="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87" fillId="34" borderId="0" xfId="0" applyFont="1" applyFill="1" applyNumberFormat="1">
      <alignment horizontal="right" vertical="center"/>
    </xf>
    <xf numFmtId="49" fontId="85" fillId="0" borderId="13" xfId="0" applyFont="1" applyBorder="1" applyNumberFormat="1">
      <alignment horizontal="left" vertical="top" wrapText="1"/>
    </xf>
    <xf numFmtId="49" fontId="85" fillId="0" borderId="14" xfId="0" applyFont="1" applyBorder="1" applyNumberFormat="1">
      <alignment horizontal="left" vertical="top" wrapText="1"/>
    </xf>
    <xf numFmtId="0" fontId="85" fillId="0" borderId="17" xfId="0" applyFont="1" applyBorder="1" applyNumberFormat="1">
      <alignment vertical="top" wrapText="1"/>
    </xf>
    <xf numFmtId="0" fontId="85" fillId="0" borderId="36" xfId="0" applyFont="1" applyBorder="1" applyNumberFormat="1">
      <alignment horizontal="left" vertical="top" wrapText="1"/>
    </xf>
    <xf numFmtId="49" fontId="85" fillId="0" borderId="30" xfId="0" applyFont="1" applyBorder="1" applyNumberFormat="1">
      <alignment horizontal="left" vertical="top"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19" fillId="0" borderId="12" xfId="0" applyFont="1" applyBorder="1" applyNumberFormat="1">
      <alignment horizontal="left" vertical="center" wrapText="1"/>
    </xf>
    <xf numFmtId="49" fontId="85" fillId="0" borderId="12" xfId="0" applyFont="1" applyBorder="1" applyNumberFormat="1">
      <alignment horizontal="center" vertical="top" wrapText="1"/>
    </xf>
    <xf numFmtId="0" fontId="85" fillId="40" borderId="12" xfId="0" applyFont="1" applyFill="1" applyBorder="1" applyNumberFormat="1">
      <alignment horizontal="center" vertical="center" wrapText="1"/>
    </xf>
    <xf numFmtId="49" fontId="85" fillId="0" borderId="37" xfId="0" applyFont="1" applyBorder="1" applyNumberFormat="1">
      <alignment horizontal="center" vertical="top" wrapText="1"/>
    </xf>
    <xf numFmtId="49" fontId="85" fillId="0" borderId="17" xfId="0" applyFont="1" applyBorder="1" applyNumberFormat="1">
      <alignment horizontal="center" vertical="top" wrapText="1"/>
    </xf>
    <xf numFmtId="49" fontId="29" fillId="36" borderId="14" xfId="0" applyFont="1" applyFill="1" applyBorder="1" applyNumberFormat="1">
      <alignment horizontal="left" vertical="center" indent="1"/>
    </xf>
    <xf numFmtId="0" fontId="0" fillId="34" borderId="17"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49" fontId="88" fillId="0" borderId="0" xfId="0" applyFont="1" applyNumberFormat="1">
      <alignment horizontal="center" vertical="center" wrapText="1"/>
    </xf>
    <xf numFmtId="0" fontId="19" fillId="0" borderId="0" xfId="0" applyFont="1" applyNumberFormat="1">
      <alignment vertical="center" wrapText="1"/>
    </xf>
    <xf numFmtId="49" fontId="19" fillId="0" borderId="0" xfId="0" applyFont="1" applyNumberFormat="1">
      <alignment vertical="top"/>
    </xf>
    <xf numFmtId="0" fontId="19" fillId="34" borderId="0" xfId="0" applyFont="1" applyFill="1" applyNumberFormat="1">
      <alignment vertical="center" wrapText="1"/>
    </xf>
    <xf numFmtId="0" fontId="19" fillId="0" borderId="38" xfId="0" applyFont="1" applyBorder="1" applyNumberFormat="1">
      <alignment vertical="center" wrapText="1"/>
    </xf>
    <xf numFmtId="0" fontId="36" fillId="0" borderId="0" xfId="0" applyFont="1" applyNumberFormat="1">
      <alignment vertical="center" wrapText="1"/>
    </xf>
    <xf numFmtId="49" fontId="19" fillId="0" borderId="0" xfId="0" applyFont="1" applyNumberFormat="1">
      <alignment vertical="top"/>
    </xf>
    <xf numFmtId="0" fontId="19" fillId="34" borderId="0" xfId="0" applyFont="1" applyFill="1" applyNumberFormat="1">
      <alignment vertical="center" wrapText="1"/>
    </xf>
    <xf numFmtId="49" fontId="19" fillId="0" borderId="0" xfId="0" applyFont="1" applyNumberFormat="1">
      <alignment vertical="top"/>
    </xf>
    <xf numFmtId="0" fontId="19" fillId="0" borderId="0" xfId="0" applyFont="1" applyNumberFormat="1">
      <alignment vertical="center"/>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19" fillId="36" borderId="29" xfId="0" applyFont="1" applyFill="1" applyBorder="1" applyNumberFormat="1">
      <alignment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39" fillId="34" borderId="39" xfId="0" applyFont="1" applyFill="1" applyBorder="1" applyNumberFormat="1">
      <alignment horizontal="center" wrapText="1"/>
    </xf>
    <xf numFmtId="49" fontId="60" fillId="0" borderId="39" xfId="0" applyFont="1" applyBorder="1" applyNumberFormat="1">
      <alignment vertical="top"/>
    </xf>
    <xf numFmtId="49" fontId="34" fillId="0" borderId="0" xfId="0" applyFont="1" applyNumberFormat="1">
      <alignment vertical="center"/>
    </xf>
    <xf numFmtId="49" fontId="89"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wrapText="1"/>
    </xf>
    <xf numFmtId="49" fontId="89" fillId="0" borderId="0" xfId="0" applyFont="1" applyNumberFormat="1">
      <alignment vertical="center" wrapText="1"/>
    </xf>
    <xf numFmtId="49" fontId="34" fillId="0" borderId="0" xfId="0" applyFont="1" applyNumberFormat="1">
      <alignment vertical="center" wrapText="1"/>
    </xf>
    <xf numFmtId="49" fontId="34" fillId="0" borderId="0" xfId="0" applyFont="1" applyNumberFormat="1">
      <alignment vertical="top"/>
    </xf>
    <xf numFmtId="49" fontId="34" fillId="0" borderId="0" xfId="0" applyFont="1" applyNumberFormat="1">
      <alignment vertical="center" wrapText="1"/>
    </xf>
    <xf numFmtId="49" fontId="34" fillId="0" borderId="0" xfId="0" applyFont="1" applyNumberFormat="1">
      <alignment horizontal="center" vertical="center" wrapText="1"/>
    </xf>
    <xf numFmtId="49" fontId="89" fillId="0" borderId="0" xfId="0" applyFont="1" applyNumberFormat="1">
      <alignment horizontal="center" vertical="center" wrapText="1"/>
    </xf>
    <xf numFmtId="49" fontId="34" fillId="0" borderId="0" xfId="0" applyFont="1" applyNumberFormat="1">
      <alignment horizontal="center" vertical="center" wrapText="1"/>
    </xf>
    <xf numFmtId="49" fontId="89" fillId="0" borderId="0" xfId="0" applyFont="1" applyNumberFormat="1">
      <alignment horizontal="center" vertical="center" wrapText="1"/>
    </xf>
    <xf numFmtId="0" fontId="34" fillId="0" borderId="0" xfId="0" applyFont="1" applyNumberFormat="1">
      <alignment horizontal="center" vertical="center" wrapText="1"/>
    </xf>
    <xf numFmtId="49" fontId="89" fillId="0" borderId="0" xfId="0" applyFont="1" applyNumberFormat="1">
      <alignment vertical="center" wrapText="1"/>
    </xf>
    <xf numFmtId="49" fontId="34" fillId="34" borderId="0" xfId="0" applyFont="1" applyFill="1" applyNumberFormat="1">
      <alignment vertical="center" wrapText="1"/>
    </xf>
    <xf numFmtId="49" fontId="34" fillId="0" borderId="0" xfId="0" applyFont="1" applyNumberFormat="1">
      <alignment vertical="top"/>
    </xf>
    <xf numFmtId="49" fontId="34" fillId="34" borderId="0" xfId="0" applyFont="1" applyFill="1" applyNumberFormat="1">
      <alignment vertical="center"/>
    </xf>
    <xf numFmtId="49" fontId="89" fillId="0" borderId="0" xfId="0" applyFont="1" applyNumberFormat="1">
      <alignment vertical="center"/>
    </xf>
    <xf numFmtId="49" fontId="34" fillId="0" borderId="0" xfId="0" applyFont="1" applyNumberFormat="1">
      <alignment vertical="top"/>
    </xf>
    <xf numFmtId="4" fontId="34" fillId="34" borderId="0" xfId="0" applyFont="1" applyFill="1" applyNumberFormat="1">
      <alignment vertical="center"/>
    </xf>
    <xf numFmtId="3" fontId="34" fillId="35" borderId="12" xfId="0" applyFont="1" applyFill="1" applyBorder="1" applyNumberFormat="1">
      <alignment horizontal="right" vertical="center"/>
      <protection locked="0"/>
    </xf>
    <xf numFmtId="49" fontId="20" fillId="0" borderId="0" xfId="0" applyFont="1" applyNumberFormat="1">
      <alignment horizontal="center" vertical="center" wrapText="1"/>
    </xf>
    <xf numFmtId="49" fontId="19" fillId="0" borderId="0" xfId="0" applyFont="1" applyNumberFormat="1">
      <alignment horizontal="center" vertical="center" wrapText="1"/>
    </xf>
    <xf numFmtId="49" fontId="19" fillId="34" borderId="0" xfId="0" applyFont="1" applyFill="1" applyNumberFormat="1">
      <alignment horizontal="center" vertical="center" wrapText="1"/>
    </xf>
    <xf numFmtId="49" fontId="37" fillId="0" borderId="13" xfId="0" applyFont="1" applyBorder="1" applyNumberFormat="1">
      <alignment horizontal="left" vertical="center" indent="1"/>
    </xf>
    <xf numFmtId="0" fontId="19" fillId="0" borderId="24" xfId="0" applyFont="1" applyBorder="1" applyNumberFormat="1">
      <alignment vertical="top" wrapText="1"/>
    </xf>
    <xf numFmtId="0" fontId="19" fillId="0" borderId="14"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19" fillId="0" borderId="12" xfId="0" applyFont="1" applyBorder="1" applyNumberFormat="1">
      <alignment horizontal="center" vertical="center" wrapText="1"/>
    </xf>
    <xf numFmtId="0" fontId="19" fillId="0" borderId="12" xfId="0" applyFont="1" applyBorder="1" applyNumberFormat="1">
      <alignment horizontal="left" vertical="center" wrapText="1" indent="1"/>
    </xf>
    <xf numFmtId="49" fontId="19" fillId="38" borderId="12" xfId="0" applyFont="1" applyFill="1" applyBorder="1" applyNumberFormat="1">
      <alignment horizontal="left" vertical="center" wrapText="1"/>
      <protection locked="0"/>
    </xf>
    <xf numFmtId="0" fontId="25" fillId="0" borderId="0" xfId="0" applyFont="1" applyNumberFormat="1">
      <alignment horizontal="center" vertical="center" wrapText="1"/>
    </xf>
    <xf numFmtId="49" fontId="81" fillId="0" borderId="12" xfId="0" applyFont="1" applyBorder="1" applyNumberFormat="1">
      <alignment horizontal="center" vertical="center" wrapText="1"/>
    </xf>
    <xf numFmtId="0" fontId="81" fillId="0" borderId="12" xfId="0" applyFont="1" applyBorder="1" applyNumberFormat="1">
      <alignment horizontal="center" vertical="center" wrapText="1"/>
    </xf>
    <xf numFmtId="49" fontId="81" fillId="0" borderId="17" xfId="0" applyFont="1" applyBorder="1" applyNumberFormat="1">
      <alignment horizontal="center" vertical="center" wrapText="1"/>
    </xf>
    <xf numFmtId="49" fontId="81" fillId="0" borderId="23" xfId="0" applyFont="1" applyBorder="1" applyNumberFormat="1">
      <alignment horizontal="center" vertical="center" wrapText="1"/>
    </xf>
    <xf numFmtId="0" fontId="81" fillId="0" borderId="17" xfId="0" applyFont="1" applyBorder="1" applyNumberFormat="1">
      <alignment horizontal="center" vertical="center" wrapText="1"/>
    </xf>
    <xf numFmtId="49" fontId="85" fillId="0" borderId="22" xfId="0" applyFont="1" applyBorder="1" applyNumberFormat="1">
      <alignment horizontal="center" vertical="top" wrapText="1"/>
    </xf>
    <xf numFmtId="49" fontId="85" fillId="0" borderId="36" xfId="0" applyFont="1" applyBorder="1" applyNumberFormat="1">
      <alignment horizontal="left" vertical="top" wrapText="1"/>
    </xf>
    <xf numFmtId="0" fontId="81" fillId="0" borderId="12" xfId="0" applyFont="1" applyBorder="1" applyNumberFormat="1">
      <alignment vertical="center" wrapText="1"/>
    </xf>
    <xf numFmtId="0" fontId="81" fillId="0" borderId="17" xfId="0" applyFont="1" applyBorder="1" applyNumberFormat="1">
      <alignment vertical="center" wrapText="1"/>
    </xf>
    <xf numFmtId="0" fontId="81" fillId="0" borderId="23" xfId="0" applyFont="1" applyBorder="1" applyNumberFormat="1">
      <alignment vertical="center" wrapText="1"/>
    </xf>
    <xf numFmtId="49" fontId="81" fillId="0" borderId="12" xfId="0" applyFont="1" applyBorder="1" applyNumberFormat="1">
      <alignment horizontal="left" vertical="top" wrapText="1"/>
    </xf>
    <xf numFmtId="173" fontId="19" fillId="38" borderId="17" xfId="0" applyFont="1" applyFill="1" applyBorder="1" applyNumberFormat="1">
      <alignment horizontal="right" vertical="center" wrapText="1"/>
      <protection locked="0"/>
    </xf>
    <xf numFmtId="0" fontId="19" fillId="0" borderId="13" xfId="0" applyFont="1" applyBorder="1" applyNumberFormat="1">
      <alignment horizontal="center" vertical="center" wrapText="1"/>
    </xf>
    <xf numFmtId="0" fontId="19" fillId="0" borderId="20" xfId="0" applyFont="1" applyBorder="1" applyNumberFormat="1">
      <alignment horizontal="center"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63" fillId="0" borderId="0" xfId="0" applyFont="1" applyNumberFormat="1">
      <alignment horizontal="center" vertical="center" wrapText="1"/>
    </xf>
    <xf numFmtId="4" fontId="19" fillId="38" borderId="13" xfId="0" applyFont="1" applyFill="1" applyBorder="1" applyNumberFormat="1">
      <alignment horizontal="right" vertical="center" wrapText="1"/>
      <protection locked="0"/>
    </xf>
    <xf numFmtId="173" fontId="19" fillId="38" borderId="13" xfId="0" applyFont="1" applyFill="1" applyBorder="1" applyNumberFormat="1">
      <alignment horizontal="right" vertical="center" wrapText="1"/>
      <protection locked="0"/>
    </xf>
    <xf numFmtId="173" fontId="19" fillId="33" borderId="13" xfId="0" applyFont="1" applyFill="1" applyBorder="1" applyNumberFormat="1">
      <alignment horizontal="right" vertical="center" wrapText="1"/>
    </xf>
    <xf numFmtId="4" fontId="19" fillId="38" borderId="29" xfId="0" applyFont="1" applyFill="1" applyBorder="1" applyNumberFormat="1">
      <alignment horizontal="right" vertical="center" wrapText="1"/>
      <protection locked="0"/>
    </xf>
    <xf numFmtId="49" fontId="81" fillId="40" borderId="12" xfId="0" applyFont="1" applyFill="1" applyBorder="1" applyNumberFormat="1">
      <alignment horizontal="center" vertical="top"/>
    </xf>
    <xf numFmtId="49" fontId="85" fillId="0" borderId="0" xfId="0" applyFont="1" applyNumberFormat="1">
      <alignment vertical="top"/>
    </xf>
    <xf numFmtId="49" fontId="81" fillId="0" borderId="12" xfId="0" applyFont="1" applyBorder="1" applyNumberFormat="1">
      <alignment horizontal="center" vertical="top" wrapText="1"/>
    </xf>
    <xf numFmtId="49" fontId="81" fillId="0" borderId="12" xfId="0" applyFont="1" applyBorder="1" applyNumberFormat="1">
      <alignment vertical="top" wrapText="1"/>
    </xf>
    <xf numFmtId="0" fontId="81" fillId="0" borderId="12" xfId="0" applyFont="1" applyBorder="1" applyNumberFormat="1">
      <alignment vertical="top" wrapText="1"/>
    </xf>
    <xf numFmtId="49" fontId="81" fillId="0" borderId="12" xfId="0" applyFont="1" applyBorder="1" applyNumberFormat="1">
      <alignment vertical="top"/>
    </xf>
    <xf numFmtId="49" fontId="85" fillId="0" borderId="12" xfId="0" applyFont="1" applyBorder="1" applyNumberFormat="1">
      <alignment vertical="top"/>
    </xf>
    <xf numFmtId="49" fontId="81" fillId="0" borderId="0" xfId="0" applyFont="1" applyNumberFormat="1">
      <alignment horizontal="center" vertical="center" wrapText="1"/>
    </xf>
    <xf numFmtId="49" fontId="81" fillId="0" borderId="0" xfId="0" applyFont="1" applyNumberFormat="1">
      <alignment horizontal="left" vertical="center" wrapText="1"/>
    </xf>
    <xf numFmtId="49" fontId="81" fillId="45" borderId="0" xfId="0" applyFont="1" applyFill="1" applyNumberFormat="1">
      <alignment horizontal="center" vertical="center" wrapText="1"/>
    </xf>
    <xf numFmtId="0" fontId="81" fillId="0" borderId="0" xfId="0" applyFont="1" applyNumberFormat="1">
      <alignment vertical="center" wrapText="1"/>
    </xf>
    <xf numFmtId="0" fontId="37" fillId="0" borderId="12" xfId="0" applyFont="1" applyBorder="1" applyNumberFormat="1">
      <alignment horizontal="left" vertical="center" wrapText="1" indent="3"/>
    </xf>
    <xf numFmtId="49" fontId="37" fillId="0" borderId="12" xfId="0" applyFont="1" applyBorder="1" applyNumberFormat="1">
      <alignment vertical="center" wrapText="1"/>
    </xf>
    <xf numFmtId="0" fontId="37" fillId="0" borderId="17" xfId="0" applyFont="1" applyBorder="1" applyNumberFormat="1">
      <alignment vertical="top" wrapText="1"/>
    </xf>
    <xf numFmtId="0" fontId="37" fillId="0" borderId="36" xfId="0" applyFont="1" applyBorder="1" applyNumberFormat="1">
      <alignment horizontal="left" vertical="center" wrapText="1" indent="1"/>
    </xf>
    <xf numFmtId="0" fontId="37" fillId="0" borderId="36" xfId="0" applyFont="1" applyBorder="1" applyNumberFormat="1">
      <alignment horizontal="center" vertical="center" wrapText="1"/>
    </xf>
    <xf numFmtId="0" fontId="37" fillId="0" borderId="17" xfId="0" applyFont="1" applyBorder="1" applyNumberFormat="1">
      <alignment vertical="center" wrapText="1"/>
    </xf>
    <xf numFmtId="0" fontId="37" fillId="0" borderId="23" xfId="0" applyFont="1" applyBorder="1" applyNumberFormat="1">
      <alignment horizontal="left" vertical="center" wrapText="1" indent="1"/>
    </xf>
    <xf numFmtId="0" fontId="37" fillId="0" borderId="17" xfId="0" applyFont="1" applyBorder="1" applyNumberFormat="1">
      <alignment horizontal="left" vertical="center" wrapText="1" indent="1"/>
    </xf>
    <xf numFmtId="49" fontId="85" fillId="40" borderId="12" xfId="0" applyFont="1" applyFill="1" applyBorder="1" applyNumberFormat="1">
      <alignment horizontal="center" vertical="top" wrapText="1"/>
    </xf>
    <xf numFmtId="49" fontId="85" fillId="40" borderId="12" xfId="0" applyFont="1" applyFill="1" applyBorder="1" applyNumberFormat="1">
      <alignment horizontal="left" vertical="top" wrapText="1"/>
    </xf>
    <xf numFmtId="49" fontId="85" fillId="40" borderId="0" xfId="0" applyFont="1" applyFill="1" applyNumberFormat="1">
      <alignment horizontal="left" vertical="top" wrapText="1"/>
    </xf>
    <xf numFmtId="0" fontId="81" fillId="0" borderId="14" xfId="0" applyFont="1" applyBorder="1" applyNumberFormat="1">
      <alignment horizontal="center" vertical="center" wrapText="1"/>
    </xf>
    <xf numFmtId="0" fontId="19" fillId="0" borderId="23" xfId="0" applyFont="1" applyBorder="1" applyNumberFormat="1">
      <alignment vertical="top" wrapText="1"/>
    </xf>
    <xf numFmtId="0" fontId="19" fillId="0" borderId="23" xfId="0" applyFont="1" applyBorder="1" applyNumberFormat="1">
      <alignment vertical="top" wrapText="1"/>
    </xf>
    <xf numFmtId="0" fontId="81" fillId="0" borderId="14" xfId="0" applyFont="1" applyBorder="1" applyNumberFormat="1">
      <alignment horizontal="center" vertical="center"/>
    </xf>
    <xf numFmtId="49" fontId="37" fillId="34" borderId="12" xfId="0" applyFont="1" applyFill="1" applyBorder="1" applyNumberFormat="1">
      <alignment horizontal="center" vertical="center"/>
    </xf>
    <xf numFmtId="0" fontId="37" fillId="34" borderId="12" xfId="0" applyFont="1" applyFill="1" applyBorder="1" applyNumberFormat="1">
      <alignment horizontal="left" vertical="center" wrapText="1" indent="1"/>
    </xf>
    <xf numFmtId="0" fontId="37" fillId="34" borderId="12" xfId="0" applyFont="1" applyFill="1" applyBorder="1" applyNumberFormat="1">
      <alignment vertical="center" wrapText="1"/>
    </xf>
    <xf numFmtId="49" fontId="37" fillId="0" borderId="12" xfId="0" applyFont="1" applyBorder="1" applyNumberFormat="1">
      <alignment horizontal="center" vertical="center"/>
    </xf>
    <xf numFmtId="0" fontId="37" fillId="0" borderId="12" xfId="0" applyFont="1" applyBorder="1" applyNumberFormat="1">
      <alignment horizontal="left" vertical="center" wrapText="1" inden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0" fontId="37" fillId="0" borderId="12" xfId="0" applyFont="1" applyBorder="1" applyNumberFormat="1">
      <alignment horizontal="center" vertical="center" wrapText="1"/>
    </xf>
    <xf numFmtId="0" fontId="37" fillId="34" borderId="12" xfId="0" applyFont="1" applyFill="1" applyBorder="1" applyNumberFormat="1">
      <alignment horizontal="left" vertical="center" wrapText="1" indent="2"/>
    </xf>
    <xf numFmtId="49" fontId="37" fillId="0" borderId="12" xfId="0" applyFont="1" applyBorder="1" applyNumberFormat="1">
      <alignment horizontal="left" vertical="center" wrapText="1"/>
    </xf>
    <xf numFmtId="49" fontId="37" fillId="0" borderId="12" xfId="0" applyFont="1" applyBorder="1" applyNumberFormat="1">
      <alignment horizontal="left" vertical="center" wrapText="1"/>
    </xf>
    <xf numFmtId="2" fontId="19" fillId="0" borderId="23" xfId="0" applyFont="1" applyBorder="1" applyNumberFormat="1">
      <alignment horizontal="center" vertical="center" wrapText="1"/>
    </xf>
    <xf numFmtId="0" fontId="90" fillId="0" borderId="0" xfId="0" applyFont="1" applyNumberFormat="1">
      <alignment horizontal="center" vertical="center" wrapText="1"/>
    </xf>
    <xf numFmtId="0" fontId="91" fillId="34" borderId="0" xfId="0" applyFont="1" applyFill="1" applyNumberFormat="1">
      <alignment horizontal="right" vertical="center"/>
    </xf>
    <xf numFmtId="0" fontId="19" fillId="0" borderId="23" xfId="0" applyFont="1" applyBorder="1" applyNumberFormat="1">
      <alignment horizontal="left" vertical="center" wrapText="1"/>
    </xf>
    <xf numFmtId="49" fontId="36" fillId="0" borderId="0" xfId="0" applyFont="1" applyNumberFormat="1">
      <alignment horizontal="center" vertical="center" wrapText="1"/>
    </xf>
    <xf numFmtId="0" fontId="37" fillId="0" borderId="27" xfId="0" applyFont="1" applyBorder="1" applyNumberFormat="1">
      <alignment vertical="center" wrapText="1"/>
    </xf>
    <xf numFmtId="49" fontId="43" fillId="0" borderId="14" xfId="0" applyFont="1" applyBorder="1" applyNumberFormat="1">
      <alignment horizontal="left" vertical="center" wrapText="1"/>
    </xf>
    <xf numFmtId="49" fontId="43" fillId="0" borderId="15" xfId="0" applyFont="1" applyBorder="1" applyNumberFormat="1">
      <alignment horizontal="left" vertical="center" wrapText="1"/>
    </xf>
    <xf numFmtId="49" fontId="37" fillId="0" borderId="0" xfId="0" applyFont="1" applyNumberFormat="1">
      <alignment horizontal="center" vertical="center" wrapText="1"/>
    </xf>
    <xf numFmtId="0" fontId="37" fillId="0" borderId="0" xfId="0" applyFont="1" applyNumberFormat="1">
      <alignment horizontal="center" vertical="center" wrapText="1"/>
    </xf>
    <xf numFmtId="4" fontId="19" fillId="0" borderId="17" xfId="0" applyFont="1" applyBorder="1" applyNumberFormat="1">
      <alignment horizontal="center" vertical="center" wrapText="1"/>
    </xf>
    <xf numFmtId="4" fontId="19" fillId="0" borderId="32" xfId="0" applyFont="1" applyBorder="1" applyNumberFormat="1">
      <alignment horizontal="center" vertical="center" wrapText="1"/>
    </xf>
    <xf numFmtId="49" fontId="43" fillId="0" borderId="37" xfId="0" applyFont="1" applyBorder="1" applyNumberFormat="1">
      <alignment horizontal="left" vertical="center" wrapText="1"/>
    </xf>
    <xf numFmtId="49" fontId="43" fillId="0" borderId="30" xfId="0" applyFont="1" applyBorder="1" applyNumberFormat="1">
      <alignment horizontal="left" vertical="center" wrapText="1"/>
    </xf>
    <xf numFmtId="0" fontId="19" fillId="0" borderId="36" xfId="0" applyFont="1" applyBorder="1" applyNumberFormat="1">
      <alignment vertical="center" wrapText="1"/>
    </xf>
    <xf numFmtId="0" fontId="19" fillId="0" borderId="32" xfId="0" applyFont="1" applyBorder="1" applyNumberFormat="1">
      <alignment horizontal="left" vertical="center" wrapText="1"/>
    </xf>
    <xf numFmtId="49" fontId="36" fillId="0" borderId="0" xfId="0" applyFont="1" applyNumberFormat="1">
      <alignment horizontal="center" vertical="center" wrapText="1"/>
    </xf>
    <xf numFmtId="0" fontId="19" fillId="0" borderId="0" xfId="0" applyFont="1" applyNumberFormat="1">
      <alignment vertical="top" wrapText="1"/>
    </xf>
    <xf numFmtId="0" fontId="19" fillId="0" borderId="0" xfId="0" applyFont="1" applyNumberFormat="1">
      <alignment vertical="top"/>
    </xf>
    <xf numFmtId="4" fontId="19" fillId="0" borderId="40" xfId="0" applyFont="1" applyBorder="1" applyNumberFormat="1">
      <alignment horizontal="center" vertical="center" wrapText="1"/>
    </xf>
    <xf numFmtId="0" fontId="37" fillId="0" borderId="0" xfId="0" applyFont="1" applyNumberFormat="1">
      <alignment horizontal="center" vertical="top"/>
    </xf>
    <xf numFmtId="49" fontId="37" fillId="0" borderId="0" xfId="0" applyFont="1" applyNumberFormat="1">
      <alignment vertical="top"/>
    </xf>
    <xf numFmtId="0" fontId="37" fillId="0" borderId="23" xfId="0" applyFont="1" applyBorder="1" applyNumberFormat="1">
      <alignment vertical="center" wrapText="1"/>
    </xf>
    <xf numFmtId="4" fontId="37" fillId="0" borderId="12" xfId="0" applyFont="1" applyBorder="1" applyNumberFormat="1">
      <alignment horizontal="right" vertical="center" wrapText="1"/>
    </xf>
    <xf numFmtId="2" fontId="37" fillId="0" borderId="23" xfId="0" applyFont="1" applyBorder="1" applyNumberFormat="1">
      <alignment horizontal="center" vertical="center" wrapText="1"/>
    </xf>
    <xf numFmtId="0" fontId="37" fillId="0" borderId="12" xfId="0" applyFont="1" applyBorder="1" applyNumberFormat="1">
      <alignment horizontal="left" vertical="center" wrapText="1"/>
    </xf>
    <xf numFmtId="49" fontId="37" fillId="0" borderId="14" xfId="0" applyFont="1" applyBorder="1" applyNumberFormat="1">
      <alignment horizontal="left" vertical="center"/>
    </xf>
    <xf numFmtId="49" fontId="37" fillId="0" borderId="15" xfId="0" applyFont="1" applyBorder="1" applyNumberFormat="1">
      <alignment horizontal="left" vertical="center" indent="1"/>
    </xf>
    <xf numFmtId="49" fontId="37" fillId="0" borderId="15" xfId="0" applyFont="1" applyBorder="1" applyNumberFormat="1">
      <alignment horizontal="left" vertical="center"/>
    </xf>
    <xf numFmtId="0" fontId="37" fillId="0" borderId="12" xfId="0" applyFont="1" applyBorder="1" applyNumberFormat="1">
      <alignment horizontal="left" vertical="center" indent="1"/>
    </xf>
    <xf numFmtId="49" fontId="29" fillId="0" borderId="19" xfId="0" applyFont="1" applyBorder="1" applyNumberFormat="1">
      <alignment horizontal="right" vertical="center"/>
    </xf>
    <xf numFmtId="0" fontId="19" fillId="39" borderId="12" xfId="0" applyFont="1" applyFill="1" applyBorder="1" applyNumberFormat="1">
      <alignment horizontal="left" vertical="center" wrapText="1" inden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51" fillId="34" borderId="0" xfId="0" applyFont="1" applyFill="1" applyNumberFormat="1">
      <alignment horizontal="left" vertical="center" wrapText="1" indent="1"/>
    </xf>
    <xf numFmtId="0" fontId="19" fillId="0" borderId="0" xfId="0" applyFont="1" applyNumberFormat="1">
      <alignment horizontal="left" vertical="center" wrapText="1" indent="1"/>
    </xf>
    <xf numFmtId="49" fontId="43" fillId="35" borderId="13" xfId="0" applyFont="1" applyFill="1" applyBorder="1" applyNumberFormat="1">
      <alignment horizontal="left" vertical="center" wrapText="1"/>
      <protection locked="0"/>
    </xf>
    <xf numFmtId="49" fontId="19" fillId="0" borderId="0" xfId="0" applyFont="1" applyNumberFormat="1">
      <alignment horizontal="center" vertical="center" wrapText="1"/>
    </xf>
    <xf numFmtId="0" fontId="19" fillId="0" borderId="19" xfId="0" applyFont="1" applyBorder="1" applyNumberFormat="1">
      <alignment vertical="center" wrapText="1"/>
    </xf>
    <xf numFmtId="0" fontId="19" fillId="0" borderId="27" xfId="0" applyFont="1" applyBorder="1" applyNumberFormat="1">
      <alignment vertical="center" wrapText="1"/>
    </xf>
    <xf numFmtId="49" fontId="19" fillId="36" borderId="41" xfId="0" applyFont="1" applyFill="1" applyBorder="1" applyNumberFormat="1">
      <alignment horizontal="center" vertical="center" wrapText="1"/>
    </xf>
    <xf numFmtId="49" fontId="39" fillId="36" borderId="42" xfId="0" applyFont="1" applyFill="1" applyBorder="1" applyNumberFormat="1">
      <alignment horizontal="right" vertical="center" wrapText="1"/>
    </xf>
    <xf numFmtId="49" fontId="39" fillId="36" borderId="43" xfId="0" applyFont="1" applyFill="1" applyBorder="1" applyNumberFormat="1">
      <alignment horizontal="right" vertical="center" wrapText="1"/>
    </xf>
    <xf numFmtId="49" fontId="34" fillId="0" borderId="0" xfId="0" applyFont="1" applyNumberFormat="1">
      <alignment vertical="top"/>
    </xf>
    <xf numFmtId="49" fontId="34" fillId="0" borderId="0" xfId="0" applyFont="1" applyNumberFormat="1">
      <alignment vertical="center" wrapText="1"/>
    </xf>
    <xf numFmtId="0" fontId="34" fillId="0" borderId="0" xfId="0" applyFont="1" applyNumberFormat="1">
      <alignment vertical="center" wrapText="1"/>
    </xf>
    <xf numFmtId="49" fontId="84" fillId="0" borderId="0" xfId="0" applyFont="1" applyNumberFormat="1">
      <alignment vertical="center" wrapText="1"/>
    </xf>
    <xf numFmtId="49" fontId="0" fillId="0" borderId="0" xfId="0" applyFont="1" applyNumberFormat="1">
      <alignment vertical="center" wrapText="1"/>
    </xf>
    <xf numFmtId="49" fontId="20" fillId="46" borderId="0" xfId="0" applyFont="1" applyFill="1" applyNumberFormat="1">
      <alignment horizontal="center" vertical="center"/>
    </xf>
    <xf numFmtId="0" fontId="0" fillId="47" borderId="0" xfId="0" applyFont="1" applyFill="1" applyNumberFormat="1">
      <alignment horizontal="left" vertical="center"/>
    </xf>
    <xf numFmtId="0" fontId="0" fillId="48" borderId="12" xfId="0" applyFont="1" applyFill="1" applyBorder="1" applyNumberFormat="1">
      <alignment horizontal="center" vertical="center"/>
    </xf>
    <xf numFmtId="49" fontId="0" fillId="0" borderId="0" xfId="0" applyFont="1" applyNumberFormat="1">
      <alignment vertical="center"/>
    </xf>
    <xf numFmtId="49" fontId="36" fillId="46" borderId="12" xfId="0" applyFont="1" applyFill="1" applyBorder="1" applyNumberFormat="1">
      <alignment horizontal="center" vertical="center"/>
    </xf>
    <xf numFmtId="49" fontId="36"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19" fillId="0" borderId="0" xfId="0" applyFont="1" applyNumberFormat="1">
      <alignment vertical="top"/>
    </xf>
    <xf numFmtId="0" fontId="19"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19" fillId="0" borderId="44" xfId="0" applyFont="1" applyBorder="1" applyNumberFormat="1">
      <alignment vertical="center"/>
    </xf>
    <xf numFmtId="49" fontId="19"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19" fillId="0" borderId="13" xfId="0" applyFont="1" applyBorder="1" applyNumberFormat="1">
      <alignment vertical="center"/>
    </xf>
    <xf numFmtId="49" fontId="19" fillId="0" borderId="12" xfId="0" applyFont="1" applyBorder="1" applyNumberFormat="1">
      <alignment vertical="center"/>
    </xf>
    <xf numFmtId="0" fontId="0" fillId="0" borderId="0" xfId="0" applyFont="1" applyNumberFormat="1">
      <alignment vertical="top"/>
    </xf>
    <xf numFmtId="0" fontId="19" fillId="0" borderId="12" xfId="0" applyFont="1" applyBorder="1" applyNumberFormat="1">
      <alignment vertical="top"/>
    </xf>
    <xf numFmtId="49" fontId="19" fillId="0" borderId="12" xfId="0" applyFont="1" applyBorder="1" applyNumberFormat="1">
      <alignment vertical="top"/>
    </xf>
    <xf numFmtId="49" fontId="0" fillId="0" borderId="0" xfId="0" applyFont="1" applyNumberFormat="1">
      <alignment vertical="top"/>
    </xf>
    <xf numFmtId="0" fontId="19" fillId="0" borderId="0" xfId="0" applyFont="1" applyNumberFormat="1">
      <alignment vertical="center"/>
    </xf>
    <xf numFmtId="49" fontId="19" fillId="0" borderId="14" xfId="0" applyFont="1" applyBorder="1" applyNumberFormat="1">
      <alignment vertical="top"/>
    </xf>
    <xf numFmtId="0" fontId="0" fillId="0" borderId="0" xfId="0" applyFont="1" applyNumberFormat="1">
      <alignment vertical="center"/>
    </xf>
    <xf numFmtId="0" fontId="19" fillId="0" borderId="0" xfId="0" applyFont="1" applyNumberFormat="1">
      <alignment vertical="top"/>
    </xf>
    <xf numFmtId="49" fontId="19"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19" fillId="0" borderId="17" xfId="0" applyFont="1" applyBorder="1" applyNumberFormat="1">
      <alignment vertical="center"/>
    </xf>
    <xf numFmtId="49" fontId="19" fillId="0" borderId="31" xfId="0" applyFont="1" applyBorder="1" applyNumberFormat="1">
      <alignment horizontal="center" vertical="center"/>
    </xf>
    <xf numFmtId="49" fontId="19" fillId="0" borderId="0" xfId="0" applyFont="1" applyNumberFormat="1">
      <alignment vertical="top"/>
    </xf>
    <xf numFmtId="49" fontId="19"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2" fillId="0" borderId="46" xfId="0" applyFont="1" applyBorder="1" applyNumberFormat="1">
      <alignment horizontal="center" vertical="center"/>
    </xf>
    <xf numFmtId="0" fontId="0" fillId="0" borderId="46" xfId="0" applyFont="1" applyBorder="1" applyNumberFormat="1">
      <alignment horizontal="center" vertical="center"/>
    </xf>
    <xf numFmtId="49" fontId="20" fillId="46" borderId="12" xfId="0" applyFont="1" applyFill="1" applyBorder="1" applyNumberFormat="1">
      <alignment horizontal="right" vertical="center"/>
    </xf>
    <xf numFmtId="49" fontId="19" fillId="35" borderId="37" xfId="0" applyFont="1" applyFill="1" applyBorder="1" applyNumberFormat="1">
      <alignment vertical="top"/>
      <protection locked="0"/>
    </xf>
    <xf numFmtId="0" fontId="19" fillId="0" borderId="12" xfId="0" applyFont="1" applyBorder="1" applyNumberFormat="1">
      <alignment vertical="top"/>
    </xf>
    <xf numFmtId="49" fontId="19" fillId="40" borderId="23" xfId="0" applyFont="1" applyFill="1" applyBorder="1" applyNumberFormat="1">
      <alignment vertical="top"/>
    </xf>
    <xf numFmtId="49" fontId="19" fillId="40" borderId="12" xfId="0" applyFont="1" applyFill="1" applyBorder="1" applyNumberFormat="1">
      <alignment vertical="top"/>
    </xf>
    <xf numFmtId="0" fontId="0" fillId="0" borderId="32" xfId="0" applyFont="1" applyBorder="1" applyNumberFormat="1">
      <alignment horizontal="center" vertical="center"/>
    </xf>
    <xf numFmtId="0" fontId="0" fillId="0" borderId="31" xfId="0" applyFont="1" applyBorder="1" applyNumberFormat="1">
      <alignment horizontal="center" vertical="center"/>
    </xf>
    <xf numFmtId="49" fontId="0" fillId="0" borderId="0" xfId="0" applyFont="1" applyNumberFormat="1">
      <alignment vertical="center"/>
    </xf>
    <xf numFmtId="49" fontId="20" fillId="46" borderId="14" xfId="0" applyFont="1" applyFill="1" applyBorder="1" applyNumberFormat="1">
      <alignment horizontal="right" vertical="center"/>
    </xf>
    <xf numFmtId="49" fontId="19" fillId="0" borderId="0" xfId="0" applyFont="1" applyNumberFormat="1">
      <alignment vertical="center"/>
    </xf>
    <xf numFmtId="0" fontId="0" fillId="47" borderId="0" xfId="0" applyFont="1" applyFill="1" applyNumberFormat="1">
      <alignment horizontal="right" vertical="center"/>
    </xf>
    <xf numFmtId="0" fontId="93" fillId="0" borderId="47" xfId="0" applyFont="1" applyBorder="1" applyNumberFormat="1">
      <alignment horizontal="left" vertical="center" indent="1"/>
    </xf>
    <xf numFmtId="0" fontId="93" fillId="0" borderId="48" xfId="0" applyFont="1" applyBorder="1" applyNumberFormat="1">
      <alignment horizontal="left" vertical="center" indent="1"/>
    </xf>
    <xf numFmtId="0" fontId="93" fillId="0" borderId="49" xfId="0" applyFont="1" applyBorder="1" applyNumberFormat="1">
      <alignment horizontal="left" vertical="center" indent="1"/>
    </xf>
    <xf numFmtId="0" fontId="19" fillId="34" borderId="0" xfId="0" applyFont="1" applyFill="1" applyNumberFormat="1">
      <alignment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49" fontId="88" fillId="0" borderId="0" xfId="0" applyFont="1" applyNumberFormat="1">
      <alignment horizontal="center"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39" fillId="34" borderId="39" xfId="0" applyFont="1" applyFill="1" applyBorder="1" applyNumberFormat="1">
      <alignment horizontal="center" wrapText="1"/>
    </xf>
    <xf numFmtId="49" fontId="60" fillId="0" borderId="39" xfId="0" applyFont="1" applyBorder="1" applyNumberFormat="1">
      <alignment vertical="top"/>
    </xf>
    <xf numFmtId="0" fontId="0" fillId="0" borderId="12" xfId="0" applyFont="1" applyBorder="1" applyNumberFormat="1">
      <alignment horizontal="center" vertical="center" wrapText="1"/>
    </xf>
    <xf numFmtId="0" fontId="19" fillId="0" borderId="0" xfId="0" applyFont="1" applyNumberFormat="1">
      <alignment horizontal="left" vertical="center" wrapText="1" indent="3"/>
    </xf>
    <xf numFmtId="0" fontId="19" fillId="0" borderId="0" xfId="0" applyFont="1" applyNumberFormat="1">
      <alignment horizontal="left" vertical="center" wrapText="1" indent="3"/>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19" fillId="38" borderId="12" xfId="0" applyFont="1" applyFill="1" applyBorder="1" applyNumberFormat="1">
      <alignment horizontal="left" vertical="center" wrapText="1" indent="1"/>
      <protection locked="0"/>
    </xf>
    <xf numFmtId="49" fontId="36" fillId="46" borderId="0" xfId="0" applyFont="1" applyFill="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49" fontId="94" fillId="0" borderId="16" xfId="0" applyFont="1" applyBorder="1" applyNumberFormat="1">
      <alignment vertical="top"/>
    </xf>
    <xf numFmtId="0" fontId="0" fillId="0" borderId="0" xfId="0" applyFont="1" applyNumberFormat="1">
      <alignment vertical="top"/>
    </xf>
    <xf numFmtId="0" fontId="36" fillId="0" borderId="0" xfId="0" applyFont="1" applyNumberFormat="1">
      <alignment vertical="center" wrapText="1"/>
    </xf>
    <xf numFmtId="49" fontId="43" fillId="38" borderId="12" xfId="0" applyFont="1" applyFill="1" applyBorder="1" applyNumberFormat="1">
      <alignment horizontal="left" vertical="center" wrapText="1"/>
      <protection locked="0"/>
    </xf>
    <xf numFmtId="0" fontId="19" fillId="0" borderId="14" xfId="0" applyFont="1" applyBorder="1" applyNumberFormat="1">
      <alignment horizontal="left" vertical="center"/>
    </xf>
    <xf numFmtId="0" fontId="0" fillId="0" borderId="14" xfId="0" applyFont="1" applyBorder="1" applyNumberFormat="1">
      <alignment horizontal="left" vertical="center"/>
    </xf>
    <xf numFmtId="49" fontId="43" fillId="38" borderId="12" xfId="0" applyFont="1" applyFill="1" applyBorder="1" applyNumberFormat="1">
      <alignment horizontal="left" vertical="center" wrapText="1"/>
      <protection locked="0"/>
    </xf>
    <xf numFmtId="0" fontId="19" fillId="34" borderId="26" xfId="0" applyFont="1" applyFill="1" applyBorder="1" applyNumberFormat="1">
      <alignment horizontal="right" vertical="center" wrapText="1" inden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29" fillId="36" borderId="15" xfId="0" applyFont="1" applyFill="1" applyBorder="1" applyNumberFormat="1">
      <alignment horizontal="left" vertical="center" indent="1"/>
    </xf>
    <xf numFmtId="4" fontId="19" fillId="38" borderId="31" xfId="0" applyFont="1" applyFill="1" applyBorder="1" applyNumberFormat="1">
      <alignment horizontal="right" vertical="center" wrapText="1"/>
      <protection locked="0"/>
    </xf>
    <xf numFmtId="0" fontId="19" fillId="34" borderId="0" xfId="0" applyFont="1" applyFill="1" applyNumberFormat="1">
      <alignment vertical="center" wrapText="1"/>
    </xf>
    <xf numFmtId="0" fontId="19" fillId="0" borderId="38" xfId="0" applyFont="1" applyBorder="1" applyNumberFormat="1">
      <alignment vertical="center" wrapText="1"/>
    </xf>
    <xf numFmtId="0" fontId="19" fillId="0" borderId="0" xfId="0" applyFont="1" applyNumberFormat="1">
      <alignment vertical="center"/>
    </xf>
    <xf numFmtId="0" fontId="19" fillId="0" borderId="0" xfId="0" applyFont="1" applyNumberFormat="1">
      <alignment vertical="center" wrapText="1"/>
    </xf>
    <xf numFmtId="0" fontId="19" fillId="36" borderId="50" xfId="0" applyFont="1" applyFill="1" applyBorder="1" applyNumberFormat="1">
      <alignment vertical="center" wrapText="1"/>
    </xf>
    <xf numFmtId="0" fontId="19" fillId="36" borderId="51" xfId="0" applyFont="1" applyFill="1" applyBorder="1" applyNumberFormat="1">
      <alignment vertical="center" wrapText="1"/>
    </xf>
    <xf numFmtId="49" fontId="95" fillId="36" borderId="14" xfId="0" applyFont="1" applyFill="1" applyBorder="1" applyNumberFormat="1">
      <alignment horizontal="left" vertical="center" indent="1"/>
    </xf>
    <xf numFmtId="49" fontId="95" fillId="36" borderId="15" xfId="0" applyFont="1" applyFill="1" applyBorder="1" applyNumberFormat="1">
      <alignment horizontal="left" vertical="center" indent="1"/>
    </xf>
    <xf numFmtId="49" fontId="84" fillId="36" borderId="43" xfId="0" applyFont="1" applyFill="1" applyBorder="1" applyNumberFormat="1">
      <alignment horizontal="center" vertical="center"/>
    </xf>
    <xf numFmtId="49" fontId="95" fillId="36" borderId="43" xfId="0" applyFont="1" applyFill="1" applyBorder="1" applyNumberFormat="1">
      <alignment horizontal="left" vertical="center" indent="1"/>
    </xf>
    <xf numFmtId="0" fontId="34" fillId="39" borderId="12" xfId="0" applyFont="1" applyFill="1" applyBorder="1" applyNumberFormat="1">
      <alignment horizontal="left" vertical="center" wrapText="1" indent="1"/>
    </xf>
    <xf numFmtId="49" fontId="34" fillId="36" borderId="15" xfId="0" applyFont="1" applyFill="1" applyBorder="1" applyNumberFormat="1">
      <alignment vertical="top" wrapText="1"/>
    </xf>
    <xf numFmtId="49" fontId="34" fillId="36" borderId="13" xfId="0" applyFont="1" applyFill="1" applyBorder="1" applyNumberFormat="1">
      <alignment vertical="top" wrapText="1"/>
    </xf>
    <xf numFmtId="49" fontId="34" fillId="36" borderId="52" xfId="0" applyFont="1" applyFill="1" applyBorder="1" applyNumberFormat="1">
      <alignment vertical="top" wrapText="1"/>
    </xf>
    <xf numFmtId="49" fontId="95" fillId="36" borderId="52" xfId="0" applyFont="1" applyFill="1" applyBorder="1" applyNumberFormat="1">
      <alignment horizontal="left" vertical="center" indent="1"/>
    </xf>
    <xf numFmtId="0" fontId="19" fillId="36" borderId="53" xfId="0" applyFont="1" applyFill="1" applyBorder="1" applyNumberFormat="1">
      <alignment vertical="center" wrapText="1"/>
    </xf>
    <xf numFmtId="0" fontId="19" fillId="34" borderId="39" xfId="0" applyFont="1" applyFill="1" applyBorder="1" applyNumberFormat="1">
      <alignment vertical="center" wrapText="1"/>
    </xf>
    <xf numFmtId="0" fontId="0" fillId="0" borderId="49" xfId="0" applyFont="1" applyBorder="1" applyNumberFormat="1">
      <alignment horizontal="left" vertical="center" wrapText="1"/>
    </xf>
    <xf numFmtId="0" fontId="19" fillId="0" borderId="49" xfId="0" applyFont="1" applyBorder="1" applyNumberFormat="1">
      <alignment vertical="center" wrapText="1"/>
    </xf>
    <xf numFmtId="0" fontId="19" fillId="0" borderId="54" xfId="0" applyFont="1" applyBorder="1" applyNumberFormat="1">
      <alignment vertical="center" wrapText="1"/>
    </xf>
    <xf numFmtId="0" fontId="19" fillId="0" borderId="55" xfId="0" applyFont="1" applyBorder="1" applyNumberFormat="1">
      <alignment vertical="center" wrapText="1"/>
    </xf>
    <xf numFmtId="0" fontId="19" fillId="39" borderId="12" xfId="0" applyFont="1" applyFill="1" applyBorder="1" applyNumberFormat="1">
      <alignment horizontal="left" vertical="center" wrapText="1" indent="1"/>
    </xf>
    <xf numFmtId="0" fontId="0" fillId="36" borderId="50" xfId="0" applyFont="1" applyFill="1" applyBorder="1" applyNumberFormat="1">
      <alignment horizontal="left" vertical="center"/>
    </xf>
    <xf numFmtId="0" fontId="19" fillId="34" borderId="12" xfId="0" applyFont="1" applyFill="1" applyBorder="1" applyNumberFormat="1">
      <alignment horizontal="center" vertical="center" wrapText="1"/>
    </xf>
    <xf numFmtId="49" fontId="24" fillId="0" borderId="12" xfId="0" applyFont="1" applyBorder="1" applyNumberFormat="1">
      <alignment horizontal="center" vertical="center"/>
    </xf>
    <xf numFmtId="49" fontId="24" fillId="40" borderId="12" xfId="0" applyFont="1" applyFill="1" applyBorder="1" applyNumberFormat="1">
      <alignment horizontal="center" vertical="center"/>
    </xf>
    <xf numFmtId="0" fontId="24" fillId="0" borderId="12" xfId="0" applyFont="1" applyBorder="1" applyNumberFormat="1">
      <alignment horizontal="center" vertical="center"/>
    </xf>
    <xf numFmtId="49" fontId="24" fillId="0" borderId="23" xfId="0" applyFont="1" applyBorder="1" applyNumberFormat="1">
      <alignment horizontal="center" vertical="center"/>
    </xf>
    <xf numFmtId="49" fontId="19" fillId="0" borderId="0" xfId="0" applyFont="1" applyNumberFormat="1">
      <alignment vertical="center"/>
    </xf>
    <xf numFmtId="49" fontId="36" fillId="0" borderId="17" xfId="0" applyFont="1" applyBorder="1" applyNumberFormat="1">
      <alignment horizontal="center" vertical="center"/>
    </xf>
    <xf numFmtId="49" fontId="19" fillId="0" borderId="17" xfId="0" applyFont="1" applyBorder="1" applyNumberFormat="1">
      <alignment horizontal="center" vertical="center"/>
    </xf>
    <xf numFmtId="0" fontId="19" fillId="0" borderId="17" xfId="0" applyFont="1" applyBorder="1" applyNumberFormat="1">
      <alignment horizontal="right" vertical="center"/>
    </xf>
    <xf numFmtId="0" fontId="19" fillId="0" borderId="17" xfId="0" applyFont="1" applyBorder="1" applyNumberFormat="1">
      <alignment horizontal="center" vertical="center"/>
    </xf>
    <xf numFmtId="0" fontId="19" fillId="0" borderId="12" xfId="0" applyFont="1" applyBorder="1" applyNumberFormat="1">
      <alignment horizontal="right" vertical="center"/>
    </xf>
    <xf numFmtId="49" fontId="19" fillId="0" borderId="0" xfId="0" applyFont="1" applyNumberFormat="1">
      <alignment vertical="center"/>
    </xf>
    <xf numFmtId="49" fontId="19" fillId="0" borderId="56" xfId="0" applyFont="1" applyBorder="1" applyNumberFormat="1">
      <alignment horizontal="center" vertical="center"/>
    </xf>
    <xf numFmtId="0" fontId="19" fillId="0" borderId="56" xfId="0" applyFont="1" applyBorder="1" applyNumberFormat="1">
      <alignment horizontal="right" vertical="center"/>
    </xf>
    <xf numFmtId="0" fontId="19" fillId="0" borderId="56" xfId="0" applyFont="1" applyBorder="1" applyNumberFormat="1">
      <alignment horizontal="center" vertical="center"/>
    </xf>
    <xf numFmtId="0" fontId="19" fillId="0" borderId="15" xfId="0" applyFont="1" applyBorder="1" applyNumberFormat="1">
      <alignment horizontal="right" vertical="center"/>
    </xf>
    <xf numFmtId="0" fontId="19" fillId="0" borderId="13" xfId="0" applyFont="1" applyBorder="1" applyNumberFormat="1">
      <alignment horizontal="right" vertical="center"/>
    </xf>
    <xf numFmtId="0" fontId="19" fillId="34" borderId="12" xfId="0" applyFont="1" applyFill="1" applyBorder="1" applyNumberFormat="1">
      <alignment horizontal="center" vertical="center"/>
    </xf>
    <xf numFmtId="0" fontId="19" fillId="39" borderId="12" xfId="0" applyFont="1" applyFill="1" applyBorder="1" applyNumberFormat="1">
      <alignment horizontal="left" vertical="center" wrapText="1" indent="1"/>
    </xf>
    <xf numFmtId="0" fontId="19" fillId="38" borderId="12" xfId="0" applyFont="1" applyFill="1" applyBorder="1" applyNumberFormat="1">
      <alignment horizontal="left" vertical="center" wrapText="1" indent="1"/>
      <protection locked="0"/>
    </xf>
    <xf numFmtId="0" fontId="19" fillId="40" borderId="12" xfId="0" applyFont="1" applyFill="1" applyBorder="1" applyNumberFormat="1">
      <alignment horizontal="right" vertical="center"/>
    </xf>
    <xf numFmtId="3" fontId="19" fillId="35" borderId="12" xfId="0" applyFont="1" applyFill="1" applyBorder="1" applyNumberFormat="1">
      <alignment horizontal="right" vertical="center"/>
      <protection locked="0"/>
    </xf>
    <xf numFmtId="4" fontId="19" fillId="35" borderId="12" xfId="0" applyFont="1" applyFill="1" applyBorder="1" applyNumberFormat="1">
      <alignment horizontal="right" vertical="center"/>
      <protection locked="0"/>
    </xf>
    <xf numFmtId="49" fontId="29" fillId="36" borderId="57"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51" borderId="13" xfId="0" applyFont="1" applyFill="1" applyBorder="1" applyNumberFormat="1">
      <alignment horizontal="left" vertical="center" indent="1"/>
    </xf>
    <xf numFmtId="49" fontId="19" fillId="0" borderId="0" xfId="0" applyFont="1" applyNumberFormat="1">
      <alignment vertical="top"/>
    </xf>
    <xf numFmtId="0" fontId="19" fillId="35" borderId="12" xfId="0" applyFont="1" applyFill="1" applyBorder="1" applyNumberFormat="1">
      <alignment horizontal="left" vertical="center" indent="1"/>
      <protection locked="0"/>
    </xf>
    <xf numFmtId="0" fontId="19" fillId="47" borderId="0" xfId="0" applyFont="1" applyFill="1" applyNumberFormat="1">
      <alignment horizontal="left" vertical="center"/>
    </xf>
    <xf numFmtId="49" fontId="19" fillId="39" borderId="12" xfId="0" applyFont="1" applyFill="1" applyBorder="1" applyNumberFormat="1">
      <alignment horizontal="center" vertical="center" wrapText="1"/>
    </xf>
    <xf numFmtId="49" fontId="19" fillId="0" borderId="0" xfId="0" applyFont="1" applyNumberFormat="1">
      <alignment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right" vertical="center" wrapText="1"/>
    </xf>
    <xf numFmtId="0" fontId="24" fillId="34" borderId="0" xfId="0" applyFont="1" applyFill="1" applyNumberFormat="1">
      <alignment horizontal="center" vertical="center" wrapText="1"/>
    </xf>
    <xf numFmtId="0" fontId="37"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25" fillId="34" borderId="0" xfId="0" applyFont="1" applyFill="1" applyNumberFormat="1">
      <alignment horizontal="center"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19" fillId="34" borderId="19" xfId="0" applyFont="1" applyFill="1" applyBorder="1" applyNumberFormat="1">
      <alignment vertical="center" wrapText="1"/>
    </xf>
    <xf numFmtId="49" fontId="37" fillId="0" borderId="0" xfId="0" applyFont="1" applyNumberFormat="1">
      <alignment vertical="top"/>
    </xf>
    <xf numFmtId="0" fontId="37"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3" borderId="12" xfId="0" applyFont="1" applyFill="1" applyBorder="1" applyNumberFormat="1">
      <alignment horizontal="center" vertical="center"/>
    </xf>
    <xf numFmtId="49" fontId="19" fillId="0" borderId="22" xfId="0" applyFont="1" applyBorder="1" applyNumberFormat="1">
      <alignment vertical="top"/>
    </xf>
    <xf numFmtId="0" fontId="19" fillId="0" borderId="22" xfId="0" applyFont="1" applyBorder="1" applyNumberFormat="1">
      <alignment vertical="center" wrapText="1"/>
    </xf>
    <xf numFmtId="4" fontId="0" fillId="35" borderId="12" xfId="0" applyFont="1" applyFill="1" applyBorder="1" applyNumberFormat="1">
      <alignment horizontal="right" vertical="center" wrapText="1"/>
      <protection locked="0"/>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19" fillId="0" borderId="38" xfId="0" applyFont="1" applyBorder="1" applyNumberFormat="1">
      <alignment vertical="center"/>
    </xf>
    <xf numFmtId="49" fontId="29" fillId="36" borderId="15" xfId="0" applyFont="1" applyFill="1" applyBorder="1" applyNumberFormat="1">
      <alignment horizontal="left" vertical="center" indent="1"/>
    </xf>
    <xf numFmtId="49" fontId="19" fillId="38" borderId="17" xfId="0" applyFont="1" applyFill="1" applyBorder="1" applyNumberFormat="1">
      <alignment horizontal="left" vertical="center" wrapText="1" indent="1"/>
      <protection locked="0"/>
    </xf>
    <xf numFmtId="0" fontId="35" fillId="0" borderId="0" xfId="0" applyFont="1" applyNumberFormat="1">
      <alignment vertical="center" wrapText="1"/>
    </xf>
    <xf numFmtId="0" fontId="19" fillId="34" borderId="27" xfId="0" applyFont="1" applyFill="1" applyBorder="1" applyNumberFormat="1">
      <alignment vertical="center" wrapText="1"/>
    </xf>
    <xf numFmtId="0" fontId="37" fillId="34" borderId="19" xfId="0" applyFont="1" applyFill="1" applyBorder="1" applyNumberFormat="1">
      <alignment horizontal="center" vertical="center" wrapText="1"/>
    </xf>
    <xf numFmtId="49" fontId="63" fillId="0" borderId="0" xfId="0" applyFont="1" applyNumberFormat="1">
      <alignment vertical="center" wrapText="1"/>
    </xf>
    <xf numFmtId="0" fontId="96" fillId="34" borderId="0" xfId="0" applyFont="1" applyFill="1" applyNumberFormat="1">
      <alignment vertical="center" wrapText="1"/>
    </xf>
    <xf numFmtId="0" fontId="62" fillId="0" borderId="0" xfId="0" applyFont="1" applyNumberFormat="1">
      <alignment horizontal="left" vertical="center" wrapText="1"/>
    </xf>
    <xf numFmtId="0" fontId="19" fillId="0" borderId="0" xfId="0" applyFont="1" applyNumberFormat="1">
      <alignment vertical="center"/>
    </xf>
    <xf numFmtId="49" fontId="37" fillId="34" borderId="0" xfId="0" applyFont="1" applyFill="1" applyNumberFormat="1">
      <alignment horizontal="center" vertical="center" wrapText="1"/>
    </xf>
    <xf numFmtId="0" fontId="19" fillId="0" borderId="0" xfId="0" applyFont="1" applyNumberFormat="1">
      <alignment horizontal="left" vertical="center" wrapText="1"/>
    </xf>
    <xf numFmtId="0" fontId="37" fillId="0" borderId="0" xfId="0" applyFont="1" applyNumberFormat="1">
      <alignment vertical="center"/>
    </xf>
    <xf numFmtId="0" fontId="19" fillId="0" borderId="0" xfId="0" applyFont="1" applyNumberFormat="1">
      <alignment horizontal="left" vertical="center" wrapText="1" indent="1"/>
    </xf>
    <xf numFmtId="0" fontId="72" fillId="0" borderId="0" xfId="0" applyFont="1" applyNumberFormat="1">
      <alignment vertical="center" wrapText="1"/>
    </xf>
    <xf numFmtId="0" fontId="19" fillId="0" borderId="0" xfId="0" applyFont="1" applyNumberFormat="1">
      <alignment horizontal="right" vertical="top" wrapText="1"/>
    </xf>
    <xf numFmtId="49" fontId="0" fillId="34" borderId="12" xfId="0" applyFont="1" applyFill="1" applyBorder="1" applyNumberFormat="1">
      <alignment horizontal="center" vertical="center" wrapText="1"/>
    </xf>
    <xf numFmtId="4" fontId="0" fillId="34" borderId="14" xfId="0" applyFont="1" applyFill="1" applyBorder="1" applyNumberFormat="1">
      <alignment horizontal="right" vertical="center"/>
    </xf>
    <xf numFmtId="0" fontId="19" fillId="0" borderId="14" xfId="0" applyFont="1" applyBorder="1" applyNumberFormat="1">
      <alignment horizontal="left" vertical="center" wrapText="1" indent="6"/>
    </xf>
    <xf numFmtId="49" fontId="19" fillId="36" borderId="29" xfId="0" applyFont="1" applyFill="1" applyBorder="1" applyNumberFormat="1">
      <alignment horizontal="center" vertical="center" wrapText="1"/>
    </xf>
    <xf numFmtId="0" fontId="37" fillId="0" borderId="0" xfId="0" applyFont="1" applyNumberFormat="1">
      <alignment vertical="top" wrapText="1"/>
    </xf>
    <xf numFmtId="49" fontId="0" fillId="0" borderId="0" xfId="0" applyFont="1" applyNumberFormat="1">
      <alignment vertical="center" wrapText="1"/>
    </xf>
    <xf numFmtId="0" fontId="97" fillId="34" borderId="0" xfId="0" applyFont="1" applyFill="1" applyNumberFormat="1">
      <alignment vertical="center" wrapText="1"/>
    </xf>
    <xf numFmtId="49"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horizontal="left" vertical="center"/>
    </xf>
    <xf numFmtId="49" fontId="19" fillId="0" borderId="0" xfId="0" applyFont="1" applyNumberFormat="1">
      <alignment horizontal="left" vertical="top"/>
    </xf>
    <xf numFmtId="172" fontId="19" fillId="35" borderId="12" xfId="0" applyFont="1" applyFill="1" applyBorder="1" applyNumberFormat="1">
      <alignment horizontal="right" vertical="center" wrapText="1"/>
      <protection locked="0"/>
    </xf>
    <xf numFmtId="0" fontId="34" fillId="0" borderId="12" xfId="0" applyFont="1" applyBorder="1" applyNumberFormat="1">
      <alignment vertical="top" wrapText="1"/>
    </xf>
    <xf numFmtId="0" fontId="19" fillId="39" borderId="12" xfId="0" applyFont="1" applyFill="1" applyBorder="1" applyNumberFormat="1">
      <alignment horizontal="left" vertical="center" wrapText="1" indent="6"/>
      <protection locked="0"/>
    </xf>
    <xf numFmtId="0" fontId="19" fillId="0" borderId="0" xfId="0" applyFont="1" applyNumberFormat="1">
      <alignment vertical="center"/>
    </xf>
    <xf numFmtId="0" fontId="98" fillId="0" borderId="0" xfId="0" applyFont="1" applyNumberFormat="1">
      <alignment vertical="center"/>
    </xf>
    <xf numFmtId="0" fontId="98" fillId="0" borderId="0" xfId="0" applyFont="1" applyNumberFormat="1">
      <alignment vertical="center"/>
    </xf>
    <xf numFmtId="0" fontId="19" fillId="0" borderId="0" xfId="0" applyFont="1" applyNumberFormat="1">
      <alignment vertical="center"/>
    </xf>
    <xf numFmtId="0" fontId="19" fillId="0" borderId="0" xfId="0" applyFont="1" applyNumberFormat="1">
      <alignment vertical="center"/>
    </xf>
    <xf numFmtId="0" fontId="98" fillId="0" borderId="0" xfId="0" applyFont="1" applyNumberFormat="1">
      <alignment vertical="center"/>
    </xf>
    <xf numFmtId="0" fontId="19" fillId="0" borderId="0" xfId="0" applyFont="1" applyNumberFormat="1">
      <alignment vertical="center"/>
    </xf>
    <xf numFmtId="0" fontId="19" fillId="0" borderId="0" xfId="0" applyFont="1" applyNumberFormat="1">
      <alignment vertical="center"/>
    </xf>
    <xf numFmtId="0" fontId="19" fillId="0" borderId="0" xfId="0" applyFont="1" applyNumberFormat="1">
      <alignment horizontal="left" vertical="center" indent="1"/>
    </xf>
    <xf numFmtId="49" fontId="19" fillId="0" borderId="0" xfId="0" applyFont="1" applyNumberFormat="1">
      <alignment horizontal="left" vertical="center"/>
    </xf>
    <xf numFmtId="49" fontId="99" fillId="36" borderId="15" xfId="0" applyFont="1" applyFill="1" applyBorder="1" applyNumberFormat="1">
      <alignment horizontal="left" vertical="center" indent="3"/>
    </xf>
    <xf numFmtId="49" fontId="63"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99" fillId="36" borderId="15" xfId="0" applyFont="1" applyFill="1" applyBorder="1" applyNumberFormat="1">
      <alignment horizontal="left" vertical="center" indent="2"/>
    </xf>
    <xf numFmtId="49" fontId="99" fillId="36" borderId="15" xfId="0" applyFont="1" applyFill="1" applyBorder="1" applyNumberFormat="1">
      <alignment horizontal="left" vertical="center" indent="1"/>
    </xf>
    <xf numFmtId="49" fontId="99" fillId="36" borderId="15" xfId="0" applyFont="1" applyFill="1" applyBorder="1" applyNumberFormat="1">
      <alignment horizontal="left" vertical="center"/>
    </xf>
    <xf numFmtId="0" fontId="19" fillId="34" borderId="0" xfId="0" applyFont="1" applyFill="1" applyNumberFormat="1">
      <alignment horizontal="left" vertical="center" wrapText="1"/>
    </xf>
    <xf numFmtId="0" fontId="0" fillId="0" borderId="0" xfId="0" applyFont="1" applyNumberFormat="1">
      <alignment horizontal="left" vertical="center"/>
    </xf>
    <xf numFmtId="49" fontId="70" fillId="34" borderId="19" xfId="0" applyFont="1" applyFill="1" applyBorder="1" applyNumberFormat="1">
      <alignment horizontal="left" vertical="center" wrapText="1"/>
    </xf>
    <xf numFmtId="49" fontId="60" fillId="36" borderId="14" xfId="0" applyFont="1" applyFill="1" applyBorder="1" applyNumberFormat="1">
      <alignment horizontal="left" vertical="center"/>
    </xf>
    <xf numFmtId="49" fontId="91" fillId="36" borderId="14" xfId="0" applyFont="1" applyFill="1" applyBorder="1" applyNumberFormat="1">
      <alignment horizontal="left" vertical="center"/>
    </xf>
    <xf numFmtId="49" fontId="57" fillId="36" borderId="14" xfId="0" applyFont="1" applyFill="1" applyBorder="1" applyNumberFormat="1">
      <alignment horizontal="left" vertical="top"/>
    </xf>
    <xf numFmtId="0" fontId="0" fillId="47" borderId="0" xfId="0" applyFont="1" applyFill="1" applyNumberFormat="1">
      <alignment horizontal="right" vertical="center"/>
    </xf>
    <xf numFmtId="0" fontId="37" fillId="0" borderId="12" xfId="0" applyFont="1" applyBorder="1" applyNumberFormat="1">
      <alignment horizontal="center" vertical="center"/>
    </xf>
    <xf numFmtId="0" fontId="0" fillId="0" borderId="0" xfId="0" applyFont="1" applyNumberFormat="1">
      <alignment vertical="center"/>
    </xf>
    <xf numFmtId="0" fontId="19" fillId="0" borderId="12" xfId="0" applyFont="1" applyBorder="1" applyNumberFormat="1">
      <alignment horizontal="center" vertical="center" wrapText="1"/>
    </xf>
    <xf numFmtId="0" fontId="0" fillId="0" borderId="0" xfId="0" applyFont="1" applyNumberFormat="1">
      <alignment horizontal="left" vertical="top" wrapText="1"/>
    </xf>
    <xf numFmtId="49" fontId="19" fillId="0" borderId="0" xfId="0" applyFont="1" applyNumberFormat="1">
      <alignment vertical="center" wrapText="1"/>
    </xf>
    <xf numFmtId="0" fontId="19" fillId="0" borderId="0" xfId="0" applyFont="1" applyNumberFormat="1">
      <alignment horizontal="right" vertical="center" wrapText="1"/>
    </xf>
    <xf numFmtId="0" fontId="19" fillId="0" borderId="0" xfId="0" applyFont="1" applyNumberFormat="1">
      <alignment horizontal="left" vertical="top" wrapText="1"/>
    </xf>
    <xf numFmtId="0" fontId="70" fillId="34" borderId="19" xfId="0" applyFont="1" applyFill="1" applyBorder="1" applyNumberFormat="1">
      <alignment horizontal="center"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horizontal="left" vertical="center" wrapText="1"/>
    </xf>
    <xf numFmtId="49" fontId="19" fillId="0" borderId="12" xfId="0" applyFont="1" applyBorder="1" applyNumberFormat="1">
      <alignment horizontal="left" vertical="center" wrapText="1"/>
    </xf>
    <xf numFmtId="0" fontId="44" fillId="47" borderId="0" xfId="0" applyFont="1" applyFill="1" applyNumberFormat="1">
      <alignment horizontal="left" vertical="center"/>
    </xf>
    <xf numFmtId="49" fontId="19" fillId="0" borderId="20" xfId="0" applyFont="1" applyBorder="1" applyNumberFormat="1">
      <alignment horizontal="left" vertical="center" wrapText="1"/>
    </xf>
    <xf numFmtId="0" fontId="29" fillId="0" borderId="0" xfId="0" applyFont="1" applyNumberFormat="1">
      <alignment horizontal="left" vertical="center"/>
    </xf>
    <xf numFmtId="0" fontId="29" fillId="0" borderId="24" xfId="0" applyFont="1" applyBorder="1" applyNumberFormat="1">
      <alignment horizontal="left" vertical="center"/>
    </xf>
    <xf numFmtId="0" fontId="29" fillId="0" borderId="30" xfId="0" applyFont="1" applyBorder="1" applyNumberFormat="1">
      <alignment horizontal="left" vertical="center"/>
    </xf>
    <xf numFmtId="0" fontId="29" fillId="0" borderId="27" xfId="0" applyFont="1" applyBorder="1" applyNumberFormat="1">
      <alignment horizontal="left" vertical="center"/>
    </xf>
    <xf numFmtId="0" fontId="0" fillId="0" borderId="27" xfId="0" applyFont="1" applyBorder="1" applyNumberFormat="1">
      <alignment vertical="center"/>
    </xf>
    <xf numFmtId="0" fontId="29" fillId="0" borderId="29" xfId="0" applyFont="1" applyBorder="1" applyNumberFormat="1">
      <alignment horizontal="left" vertical="center"/>
    </xf>
    <xf numFmtId="49" fontId="19" fillId="0" borderId="0" xfId="0" applyFont="1" applyNumberFormat="1">
      <alignmen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4" fillId="0" borderId="17" xfId="0" applyFont="1" applyBorder="1" applyNumberFormat="1">
      <alignment vertical="top" wrapText="1"/>
    </xf>
    <xf numFmtId="0" fontId="0" fillId="0" borderId="0" xfId="0" applyFont="1" applyNumberFormat="1">
      <alignment vertical="center"/>
    </xf>
    <xf numFmtId="0" fontId="19" fillId="34" borderId="12" xfId="0" applyFont="1" applyFill="1" applyBorder="1" applyNumberFormat="1">
      <alignment horizontal="left" vertical="center" wrapText="1"/>
    </xf>
    <xf numFmtId="0" fontId="19" fillId="0" borderId="0" xfId="0" applyFont="1" applyNumberFormat="1">
      <alignment horizontal="center" vertical="center"/>
    </xf>
    <xf numFmtId="49" fontId="19" fillId="0" borderId="0" xfId="0" applyFont="1" applyNumberFormat="1">
      <alignment vertical="center" wrapText="1"/>
    </xf>
    <xf numFmtId="0" fontId="70" fillId="34"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37" fillId="0" borderId="0" xfId="0" applyFont="1" applyNumberFormat="1">
      <alignment horizontal="left" vertical="center" indent="1"/>
    </xf>
    <xf numFmtId="0" fontId="37" fillId="0" borderId="0" xfId="0" applyFont="1" applyNumberFormat="1">
      <alignment horizontal="left" vertical="center" wrapText="1"/>
    </xf>
    <xf numFmtId="49" fontId="37" fillId="0" borderId="0" xfId="0" applyFont="1" applyNumberFormat="1">
      <alignment vertical="top"/>
    </xf>
    <xf numFmtId="49" fontId="97" fillId="0" borderId="0" xfId="0" applyFont="1" applyNumberFormat="1">
      <alignment vertical="top"/>
    </xf>
    <xf numFmtId="49" fontId="87" fillId="0" borderId="19" xfId="0" applyFont="1" applyBorder="1" applyNumberFormat="1">
      <alignment horizontal="left" vertical="center"/>
    </xf>
    <xf numFmtId="49" fontId="37" fillId="0" borderId="19" xfId="0" applyFont="1" applyBorder="1" applyNumberFormat="1">
      <alignment horizontal="left" vertical="center" indent="3"/>
    </xf>
    <xf numFmtId="49" fontId="37" fillId="0" borderId="19" xfId="0" applyFont="1" applyBorder="1" applyNumberFormat="1">
      <alignment horizontal="center" vertical="center" wrapText="1"/>
    </xf>
    <xf numFmtId="49" fontId="37" fillId="0" borderId="0" xfId="0" applyFont="1" applyNumberFormat="1">
      <alignment horizontal="left" vertical="center"/>
    </xf>
    <xf numFmtId="49" fontId="87" fillId="0" borderId="0" xfId="0" applyFont="1" applyNumberFormat="1">
      <alignment horizontal="left" vertical="center"/>
    </xf>
    <xf numFmtId="49" fontId="37" fillId="0" borderId="0" xfId="0" applyFont="1" applyNumberFormat="1">
      <alignment horizontal="left" vertical="center" indent="2"/>
    </xf>
    <xf numFmtId="49" fontId="37" fillId="0" borderId="0" xfId="0" applyFont="1" applyNumberFormat="1">
      <alignment horizontal="center" vertical="center" wrapText="1"/>
    </xf>
    <xf numFmtId="49" fontId="37" fillId="0" borderId="0" xfId="0" applyFont="1" applyNumberFormat="1">
      <alignment horizontal="left" vertical="center" indent="1"/>
    </xf>
    <xf numFmtId="0" fontId="0" fillId="0" borderId="0" xfId="0" applyFont="1" applyNumberFormat="1">
      <alignment vertical="center"/>
    </xf>
    <xf numFmtId="0" fontId="19" fillId="0" borderId="0" xfId="0" applyFont="1" applyNumberFormat="1">
      <alignment horizontal="center" vertical="center" wrapText="1"/>
    </xf>
    <xf numFmtId="49" fontId="19" fillId="0" borderId="0" xfId="0" applyFont="1" applyNumberFormat="1">
      <alignment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left" vertical="top" wrapText="1"/>
    </xf>
    <xf numFmtId="0" fontId="0" fillId="0" borderId="13"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49" fontId="19"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37" fillId="0" borderId="0" xfId="0" applyFont="1" applyNumberFormat="1">
      <alignment horizontal="center" vertical="center"/>
    </xf>
    <xf numFmtId="0" fontId="19" fillId="0" borderId="0" xfId="0" applyFont="1" applyNumberFormat="1">
      <alignment horizontal="right" vertical="center" wrapText="1"/>
    </xf>
    <xf numFmtId="0" fontId="70" fillId="34" borderId="0" xfId="0" applyFont="1" applyFill="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left" vertical="center" indent="1"/>
    </xf>
    <xf numFmtId="49" fontId="97" fillId="0" borderId="0" xfId="0" applyFont="1" applyNumberFormat="1">
      <alignment vertical="top"/>
    </xf>
    <xf numFmtId="49" fontId="19" fillId="0" borderId="12" xfId="0" applyFont="1" applyBorder="1" applyNumberFormat="1">
      <alignment vertical="center" wrapText="1"/>
    </xf>
    <xf numFmtId="0" fontId="37" fillId="0" borderId="0" xfId="0" applyFont="1" applyNumberFormat="1">
      <alignment horizontal="center" vertical="center"/>
    </xf>
    <xf numFmtId="0" fontId="19" fillId="39" borderId="12" xfId="0" applyFont="1" applyFill="1" applyBorder="1" applyNumberFormat="1">
      <alignment horizontal="left" vertical="center" wrapText="1" indent="6"/>
    </xf>
    <xf numFmtId="4" fontId="19" fillId="0" borderId="17" xfId="0" applyFont="1" applyBorder="1" applyNumberFormat="1">
      <alignment horizontal="right" vertical="center" wrapText="1"/>
    </xf>
    <xf numFmtId="4" fontId="19" fillId="0" borderId="23" xfId="0" applyFont="1" applyBorder="1" applyNumberFormat="1">
      <alignment horizontal="right" vertical="center" wrapText="1"/>
    </xf>
    <xf numFmtId="0" fontId="0" fillId="0" borderId="0" xfId="0" applyFont="1" applyNumberFormat="1">
      <alignment vertical="center"/>
    </xf>
    <xf numFmtId="49" fontId="19" fillId="0" borderId="0" xfId="0" applyFont="1" applyNumberFormat="1">
      <alignment vertical="center" wrapText="1"/>
    </xf>
    <xf numFmtId="0" fontId="19" fillId="0" borderId="17"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right" vertical="center" wrapText="1"/>
    </xf>
    <xf numFmtId="0" fontId="19" fillId="0" borderId="0" xfId="0" applyFont="1" applyNumberFormat="1">
      <alignment horizontal="center"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horizontal="left" vertical="center" wrapText="1"/>
    </xf>
    <xf numFmtId="49" fontId="19" fillId="0" borderId="12" xfId="0" applyFont="1" applyBorder="1" applyNumberFormat="1">
      <alignment horizontal="left" vertical="center" wrapText="1"/>
    </xf>
    <xf numFmtId="4" fontId="36" fillId="0" borderId="12" xfId="0" applyFont="1" applyBorder="1" applyNumberFormat="1">
      <alignment horizontal="right" vertical="center" wrapText="1"/>
    </xf>
    <xf numFmtId="172" fontId="36" fillId="0" borderId="12" xfId="0" applyFont="1" applyBorder="1" applyNumberFormat="1">
      <alignment horizontal="right" vertical="center" wrapText="1"/>
    </xf>
    <xf numFmtId="49" fontId="36" fillId="0" borderId="0" xfId="0" applyFont="1" applyNumberFormat="1">
      <alignment vertical="center" wrapText="1"/>
    </xf>
    <xf numFmtId="0" fontId="36" fillId="0" borderId="0" xfId="0" applyFont="1" applyNumberFormat="1">
      <alignment horizontal="left" vertical="center" indent="1"/>
    </xf>
    <xf numFmtId="0" fontId="36" fillId="0" borderId="0" xfId="0" applyFont="1" applyNumberFormat="1">
      <alignment horizontal="center" vertical="center"/>
    </xf>
    <xf numFmtId="0" fontId="36" fillId="0" borderId="0" xfId="0" applyFont="1" applyNumberFormat="1">
      <alignment horizontal="left" vertical="center" wrapText="1"/>
    </xf>
    <xf numFmtId="0" fontId="36" fillId="0" borderId="0" xfId="0" applyFont="1" applyNumberFormat="1">
      <alignment vertical="center" wrapText="1"/>
    </xf>
    <xf numFmtId="49" fontId="36" fillId="0" borderId="12" xfId="0" applyFont="1" applyBorder="1" applyNumberFormat="1">
      <alignment vertical="center" wrapText="1"/>
    </xf>
    <xf numFmtId="0" fontId="36" fillId="0" borderId="0" xfId="0" applyFont="1" applyNumberFormat="1">
      <alignment vertical="center"/>
    </xf>
    <xf numFmtId="0" fontId="36" fillId="0" borderId="0" xfId="0" applyFont="1" applyNumberFormat="1">
      <alignment horizontal="center" vertical="center"/>
    </xf>
    <xf numFmtId="0" fontId="36" fillId="0" borderId="0" xfId="0" applyFont="1" applyNumberFormat="1">
      <alignment vertical="center"/>
    </xf>
    <xf numFmtId="0" fontId="59" fillId="0" borderId="0" xfId="0" applyFont="1" applyNumberFormat="1">
      <alignment vertical="center" wrapText="1"/>
    </xf>
    <xf numFmtId="0" fontId="0" fillId="0" borderId="15" xfId="0" applyFont="1" applyBorder="1" applyNumberFormat="1">
      <alignment vertical="center"/>
    </xf>
    <xf numFmtId="0" fontId="37" fillId="0" borderId="12" xfId="0" applyFont="1" applyBorder="1" applyNumberFormat="1">
      <alignment horizontal="center" vertical="center" wrapText="1"/>
    </xf>
    <xf numFmtId="0" fontId="63" fillId="0" borderId="0" xfId="0" applyFont="1" applyNumberFormat="1">
      <alignment horizontal="left" vertical="center" indent="1"/>
    </xf>
    <xf numFmtId="0" fontId="63" fillId="0" borderId="0" xfId="0" applyFont="1" applyNumberFormat="1">
      <alignment horizontal="left" vertical="center" indent="1"/>
    </xf>
    <xf numFmtId="0" fontId="37" fillId="0" borderId="12" xfId="0" applyFont="1" applyBorder="1" applyNumberFormat="1">
      <alignment vertical="center" wrapText="1"/>
    </xf>
    <xf numFmtId="0" fontId="63" fillId="0" borderId="0" xfId="0" applyFont="1" applyNumberFormat="1">
      <alignment horizontal="center" vertical="center"/>
    </xf>
    <xf numFmtId="0" fontId="63" fillId="0" borderId="0" xfId="0" applyFont="1" applyNumberFormat="1">
      <alignment horizontal="left" vertical="center" wrapText="1"/>
    </xf>
    <xf numFmtId="49" fontId="63" fillId="0" borderId="0" xfId="0" applyFont="1" applyNumberFormat="1">
      <alignment horizontal="left" vertical="center"/>
    </xf>
    <xf numFmtId="0" fontId="19" fillId="0" borderId="0" xfId="0" applyFont="1" applyNumberFormat="1">
      <alignment horizontal="center" vertical="center"/>
    </xf>
    <xf numFmtId="0" fontId="63" fillId="0" borderId="0" xfId="0" applyFont="1" applyNumberFormat="1">
      <alignment horizontal="center" vertical="center"/>
    </xf>
    <xf numFmtId="4" fontId="19" fillId="0" borderId="13" xfId="0" applyFont="1" applyBorder="1" applyNumberFormat="1">
      <alignment horizontal="right" vertical="center" wrapText="1"/>
    </xf>
    <xf numFmtId="0" fontId="37" fillId="0" borderId="12" xfId="0" applyFont="1" applyBorder="1" applyNumberFormat="1">
      <alignment horizontal="left" vertical="center" wrapText="1" indent="4"/>
    </xf>
    <xf numFmtId="0" fontId="37" fillId="0" borderId="12" xfId="0" applyFont="1" applyBorder="1" applyNumberFormat="1">
      <alignment horizontal="left" vertical="center" wrapText="1" indent="6"/>
    </xf>
    <xf numFmtId="0" fontId="37" fillId="0" borderId="12" xfId="0" applyFont="1" applyBorder="1" applyNumberFormat="1">
      <alignment vertical="top" wrapText="1"/>
    </xf>
    <xf numFmtId="49" fontId="87" fillId="0" borderId="14" xfId="0" applyFont="1" applyBorder="1" applyNumberFormat="1">
      <alignment horizontal="left" vertical="center"/>
    </xf>
    <xf numFmtId="49" fontId="37" fillId="0" borderId="15" xfId="0" applyFont="1" applyBorder="1" applyNumberFormat="1">
      <alignment horizontal="left" vertical="center" indent="4"/>
    </xf>
    <xf numFmtId="49" fontId="37" fillId="0" borderId="15" xfId="0" applyFont="1" applyBorder="1" applyNumberFormat="1">
      <alignment horizontal="center" vertical="center" wrapText="1"/>
    </xf>
    <xf numFmtId="49" fontId="37" fillId="0" borderId="13" xfId="0" applyFont="1" applyBorder="1" applyNumberFormat="1">
      <alignment horizontal="center" vertical="center" wrapText="1"/>
    </xf>
    <xf numFmtId="4" fontId="19" fillId="0" borderId="36" xfId="0" applyFont="1" applyBorder="1" applyNumberFormat="1">
      <alignment horizontal="right" vertical="center" wrapText="1"/>
    </xf>
    <xf numFmtId="0" fontId="19" fillId="35" borderId="12" xfId="0" applyFont="1" applyFill="1" applyBorder="1" applyNumberFormat="1">
      <alignment horizontal="left" vertical="center" wrapText="1" indent="7"/>
      <protection locked="0"/>
    </xf>
    <xf numFmtId="0" fontId="19" fillId="36" borderId="15" xfId="0" applyFont="1" applyFill="1" applyBorder="1" applyNumberFormat="1">
      <alignment horizontal="left" vertical="center" wrapText="1" indent="6"/>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 fontId="37" fillId="36" borderId="13" xfId="0" applyFont="1" applyFill="1" applyBorder="1" applyNumberFormat="1">
      <alignment horizontal="center" vertical="center" wrapText="1"/>
    </xf>
    <xf numFmtId="172" fontId="19" fillId="36" borderId="13" xfId="0" applyFont="1" applyFill="1" applyBorder="1" applyNumberFormat="1">
      <alignment horizontal="right" vertical="center" wrapText="1"/>
    </xf>
    <xf numFmtId="0" fontId="19" fillId="39" borderId="12" xfId="0" applyFont="1" applyFill="1" applyBorder="1" applyNumberFormat="1">
      <alignment horizontal="left" vertical="center" wrapText="1" indent="1"/>
    </xf>
    <xf numFmtId="0" fontId="37" fillId="0" borderId="12" xfId="0" applyFont="1" applyBorder="1" applyNumberFormat="1">
      <alignment horizontal="left" vertical="center" wrapText="1" indent="5"/>
    </xf>
    <xf numFmtId="49" fontId="63" fillId="0" borderId="24" xfId="0" applyFont="1" applyBorder="1" applyNumberFormat="1">
      <alignment vertical="top"/>
    </xf>
    <xf numFmtId="49" fontId="37" fillId="0" borderId="24" xfId="0" applyFont="1" applyBorder="1" applyNumberFormat="1">
      <alignment vertical="top"/>
    </xf>
    <xf numFmtId="0" fontId="19" fillId="0" borderId="12" xfId="0" applyFont="1" applyBorder="1" applyNumberFormat="1">
      <alignment horizontal="left" vertical="center" wrapText="1" indent="1"/>
    </xf>
    <xf numFmtId="4" fontId="37" fillId="0" borderId="12" xfId="0" applyFont="1" applyBorder="1" applyNumberFormat="1">
      <alignment horizontal="right" vertical="center" wrapText="1"/>
    </xf>
    <xf numFmtId="172" fontId="37" fillId="0" borderId="12" xfId="0" applyFont="1" applyBorder="1" applyNumberFormat="1">
      <alignment horizontal="right" vertical="center" wrapText="1"/>
    </xf>
    <xf numFmtId="172" fontId="19" fillId="35" borderId="14" xfId="0" applyFont="1" applyFill="1" applyBorder="1" applyNumberFormat="1">
      <alignment horizontal="right" vertical="center" wrapText="1"/>
      <protection locked="0"/>
    </xf>
    <xf numFmtId="4" fontId="37" fillId="0" borderId="14" xfId="0" applyFont="1" applyBorder="1" applyNumberFormat="1">
      <alignment horizontal="center" vertical="center" wrapText="1"/>
    </xf>
    <xf numFmtId="4" fontId="19" fillId="35" borderId="13" xfId="0" applyFont="1" applyFill="1" applyBorder="1" applyNumberFormat="1">
      <alignment horizontal="right" vertical="center" wrapText="1"/>
      <protection locked="0"/>
    </xf>
    <xf numFmtId="49" fontId="19" fillId="36" borderId="27" xfId="0" applyFont="1" applyFill="1" applyBorder="1" applyNumberFormat="1">
      <alignment horizontal="center" vertical="center" wrapText="1"/>
    </xf>
    <xf numFmtId="49" fontId="36" fillId="0" borderId="0" xfId="0" applyFont="1" applyNumberFormat="1">
      <alignment vertical="center" wrapText="1"/>
    </xf>
    <xf numFmtId="0" fontId="36"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7" fillId="0" borderId="0" xfId="0" applyFont="1" applyNumberFormat="1">
      <alignment vertical="center"/>
    </xf>
    <xf numFmtId="0" fontId="38" fillId="0" borderId="0" xfId="0" applyFont="1" applyNumberFormat="1">
      <alignment vertical="center"/>
    </xf>
    <xf numFmtId="0" fontId="37"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center"/>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49" fontId="19" fillId="0" borderId="0" xfId="0" applyFont="1" applyNumberFormat="1">
      <alignment horizontal="center" vertical="top"/>
    </xf>
    <xf numFmtId="49" fontId="20" fillId="0" borderId="0" xfId="0" applyFont="1" applyNumberFormat="1">
      <alignment horizontal="center" vertical="center"/>
    </xf>
    <xf numFmtId="0" fontId="0" fillId="0" borderId="0" xfId="0" applyFont="1" applyNumberFormat="1">
      <alignment horizontal="left" vertical="center"/>
    </xf>
    <xf numFmtId="0" fontId="4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29" fillId="36" borderId="29" xfId="0" applyFont="1" applyFill="1" applyBorder="1" applyNumberFormat="1">
      <alignment horizontal="left" vertical="center"/>
    </xf>
    <xf numFmtId="49" fontId="37" fillId="0" borderId="14" xfId="0" applyFont="1" applyBorder="1" applyNumberFormat="1">
      <alignment horizontal="left" vertical="center" wrapText="1"/>
    </xf>
    <xf numFmtId="0" fontId="37" fillId="0" borderId="14" xfId="0" applyFont="1" applyBorder="1" applyNumberFormat="1">
      <alignment horizontal="left" vertical="center"/>
    </xf>
    <xf numFmtId="0" fontId="37" fillId="0" borderId="15" xfId="0" applyFont="1" applyBorder="1" applyNumberFormat="1">
      <alignment horizontal="left" vertical="center"/>
    </xf>
    <xf numFmtId="49" fontId="19" fillId="35" borderId="12" xfId="0" applyFont="1" applyFill="1" applyBorder="1" applyNumberFormat="1">
      <alignment horizontal="left" vertical="center" wrapText="1" indent="6"/>
      <protection locked="0"/>
    </xf>
    <xf numFmtId="4" fontId="19" fillId="0" borderId="37" xfId="0" applyFont="1" applyBorder="1" applyNumberFormat="1">
      <alignment horizontal="right" vertical="center" wrapText="1"/>
    </xf>
    <xf numFmtId="4" fontId="19"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0" fontId="0" fillId="0" borderId="0" xfId="0" applyFont="1" applyNumberFormat="1">
      <alignment vertical="center"/>
    </xf>
    <xf numFmtId="0" fontId="100" fillId="0" borderId="0" xfId="0" applyFont="1" applyNumberFormat="1">
      <alignment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0" fontId="37" fillId="0" borderId="0" xfId="0" applyFont="1" applyNumberFormat="1">
      <alignment horizontal="center" vertical="center" wrapText="1"/>
    </xf>
    <xf numFmtId="0" fontId="70" fillId="34" borderId="19" xfId="0" applyFont="1" applyFill="1" applyBorder="1" applyNumberFormat="1">
      <alignment horizontal="center" vertical="center" wrapText="1"/>
    </xf>
    <xf numFmtId="0" fontId="19" fillId="0" borderId="17" xfId="0" applyFont="1" applyBorder="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49" fontId="19" fillId="39" borderId="12" xfId="0" applyFont="1" applyFill="1" applyBorder="1" applyNumberFormat="1">
      <alignment horizontal="center" vertical="center" wrapText="1"/>
    </xf>
    <xf numFmtId="49" fontId="37" fillId="0" borderId="12" xfId="0" applyFont="1" applyBorder="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49" fontId="19" fillId="34" borderId="12" xfId="0" applyFont="1" applyFill="1" applyBorder="1" applyNumberFormat="1">
      <alignment horizontal="center" vertical="center" wrapText="1"/>
    </xf>
    <xf numFmtId="0" fontId="37" fillId="0" borderId="0" xfId="0" applyFont="1" applyNumberFormat="1">
      <alignment horizontal="center" vertical="center"/>
    </xf>
    <xf numFmtId="0" fontId="19" fillId="34" borderId="12" xfId="0" applyFont="1" applyFill="1" applyBorder="1" applyNumberFormat="1">
      <alignment horizontal="left" vertical="center" wrapText="1"/>
    </xf>
    <xf numFmtId="49" fontId="19" fillId="38" borderId="12" xfId="0" applyFont="1" applyFill="1" applyBorder="1" applyNumberFormat="1">
      <alignment horizontal="left" vertical="center" wrapText="1" indent="1"/>
      <protection locked="0"/>
    </xf>
    <xf numFmtId="0" fontId="0" fillId="0" borderId="0" xfId="0" applyFont="1" applyNumberFormat="1">
      <alignment vertical="center"/>
    </xf>
    <xf numFmtId="0" fontId="19" fillId="0" borderId="0" xfId="0" applyFont="1" applyNumberFormat="1">
      <alignment horizontal="center" vertical="center" wrapText="1"/>
    </xf>
    <xf numFmtId="49" fontId="19" fillId="39" borderId="12" xfId="0" applyFont="1" applyFill="1" applyBorder="1" applyNumberFormat="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49" fontId="19" fillId="34" borderId="12" xfId="0" applyFont="1" applyFill="1" applyBorder="1" applyNumberFormat="1">
      <alignment horizontal="center" vertical="center" wrapText="1"/>
    </xf>
    <xf numFmtId="0" fontId="37" fillId="34" borderId="0" xfId="0" applyFont="1" applyFill="1" applyNumberFormat="1">
      <alignment horizontal="center" vertical="center" wrapText="1"/>
    </xf>
    <xf numFmtId="0" fontId="0" fillId="34" borderId="1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0" fontId="37" fillId="0" borderId="0" xfId="0" applyFont="1" applyNumberFormat="1">
      <alignment horizontal="center" vertical="center" wrapText="1"/>
    </xf>
    <xf numFmtId="0" fontId="70" fillId="34" borderId="19" xfId="0" applyFont="1" applyFill="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49" fontId="19" fillId="34" borderId="12" xfId="0" applyFont="1" applyFill="1" applyBorder="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19" fillId="39" borderId="12" xfId="0" applyFont="1" applyFill="1" applyBorder="1" applyNumberFormat="1">
      <alignment horizontal="left" vertical="center" wrapText="1"/>
    </xf>
    <xf numFmtId="49" fontId="19" fillId="38" borderId="12" xfId="0" applyFont="1" applyFill="1" applyBorder="1" applyNumberFormat="1">
      <alignment horizontal="left" vertical="center" wrapText="1" indent="1"/>
      <protection locked="0"/>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0" fontId="25" fillId="0" borderId="0" xfId="0" applyFont="1" applyNumberFormat="1">
      <alignment horizontal="center" vertical="center" wrapText="1"/>
    </xf>
    <xf numFmtId="172" fontId="19" fillId="36" borderId="15" xfId="0" applyFont="1" applyFill="1" applyBorder="1" applyNumberFormat="1">
      <alignment horizontal="right" vertical="center" wrapText="1"/>
    </xf>
    <xf numFmtId="0" fontId="101" fillId="0" borderId="0" xfId="0" applyFont="1" applyNumberFormat="1">
      <alignment vertical="center" wrapText="1"/>
    </xf>
    <xf numFmtId="0" fontId="101" fillId="34" borderId="0" xfId="0" applyFont="1" applyFill="1" applyNumberFormat="1">
      <alignment horizontal="center" vertical="center" wrapText="1"/>
    </xf>
    <xf numFmtId="0" fontId="37" fillId="34" borderId="12" xfId="0" applyFont="1" applyFill="1" applyBorder="1" applyNumberFormat="1">
      <alignment horizontal="left" vertical="center" wrapText="1" indent="3"/>
    </xf>
    <xf numFmtId="49" fontId="29" fillId="36" borderId="27" xfId="0" applyFont="1" applyFill="1" applyBorder="1" applyNumberFormat="1">
      <alignment horizontal="left" vertical="center"/>
    </xf>
    <xf numFmtId="0" fontId="101" fillId="0" borderId="0" xfId="0" applyFont="1" applyNumberFormat="1">
      <alignment horizontal="center" vertical="center" wrapText="1"/>
    </xf>
    <xf numFmtId="49" fontId="37" fillId="0" borderId="0" xfId="0" applyFont="1" applyNumberFormat="1">
      <alignment horizontal="left" vertical="center" wrapText="1" indent="1"/>
    </xf>
    <xf numFmtId="0" fontId="37" fillId="0" borderId="0" xfId="0" applyFont="1" applyNumberFormat="1">
      <alignment horizontal="left" vertical="center" wrapText="1" indent="4"/>
    </xf>
    <xf numFmtId="0" fontId="37" fillId="0" borderId="0" xfId="0" applyFont="1" applyNumberFormat="1">
      <alignment horizontal="left" vertical="center" wrapText="1" indent="1"/>
    </xf>
    <xf numFmtId="49" fontId="19" fillId="36" borderId="14" xfId="0" applyFont="1" applyFill="1" applyBorder="1" applyNumberFormat="1">
      <alignment horizontal="center" vertical="center" wrapText="1"/>
    </xf>
    <xf numFmtId="0" fontId="37" fillId="0" borderId="24" xfId="0" applyFont="1" applyBorder="1" applyNumberFormat="1">
      <alignment horizontal="left" vertical="center" wrapText="1" indent="1"/>
    </xf>
    <xf numFmtId="0" fontId="36" fillId="0" borderId="0" xfId="0" applyFont="1" applyNumberFormat="1">
      <alignment horizontal="left" vertical="center"/>
    </xf>
    <xf numFmtId="49" fontId="36" fillId="0" borderId="0" xfId="0" applyFont="1" applyNumberFormat="1">
      <alignment horizontal="left" vertical="center"/>
    </xf>
    <xf numFmtId="0" fontId="36" fillId="0" borderId="0" xfId="0" applyFont="1" applyNumberFormat="1">
      <alignment horizontal="left" vertical="center"/>
    </xf>
    <xf numFmtId="0" fontId="59" fillId="0" borderId="0" xfId="0" applyFont="1" applyNumberFormat="1">
      <alignment horizontal="left" vertical="center"/>
    </xf>
    <xf numFmtId="0" fontId="37" fillId="0" borderId="0" xfId="0" applyFont="1" applyNumberFormat="1">
      <alignment horizontal="left" vertical="center"/>
    </xf>
    <xf numFmtId="49" fontId="19" fillId="0" borderId="0" xfId="0" applyFont="1" applyNumberFormat="1">
      <alignment horizontal="center" vertical="center" wrapText="1"/>
    </xf>
    <xf numFmtId="49" fontId="19" fillId="0" borderId="19" xfId="0" applyFont="1" applyBorder="1" applyNumberFormat="1">
      <alignment horizontal="center" vertical="center" wrapText="1"/>
    </xf>
    <xf numFmtId="49" fontId="19" fillId="0" borderId="19" xfId="0" applyFont="1" applyBorder="1" applyNumberFormat="1">
      <alignment horizontal="left" vertical="center" wrapText="1"/>
    </xf>
    <xf numFmtId="0" fontId="25" fillId="0" borderId="0" xfId="0" applyFont="1" applyNumberFormat="1">
      <alignment horizontal="center" vertical="center" wrapText="1"/>
    </xf>
    <xf numFmtId="0" fontId="25" fillId="34" borderId="0" xfId="0" applyFont="1" applyFill="1" applyNumberFormat="1">
      <alignment horizontal="center" vertical="center" wrapText="1"/>
    </xf>
    <xf numFmtId="49" fontId="36" fillId="0" borderId="0" xfId="0" applyFont="1" applyNumberFormat="1">
      <alignment horizontal="left" vertical="center"/>
    </xf>
    <xf numFmtId="49" fontId="36" fillId="0" borderId="0" xfId="0" applyFont="1" applyNumberFormat="1">
      <alignment horizontal="left" vertical="center"/>
    </xf>
    <xf numFmtId="49" fontId="36" fillId="0" borderId="0" xfId="0" applyFont="1" applyNumberFormat="1">
      <alignment horizontal="left" vertical="top"/>
    </xf>
    <xf numFmtId="49" fontId="19" fillId="34" borderId="12" xfId="0" applyFont="1" applyFill="1" applyBorder="1" applyNumberFormat="1">
      <alignment horizontal="center" vertical="center"/>
    </xf>
    <xf numFmtId="0" fontId="19" fillId="0" borderId="12" xfId="0" applyFont="1" applyBorder="1" applyNumberFormat="1">
      <alignment horizontal="center" vertical="center" wrapText="1"/>
    </xf>
    <xf numFmtId="0" fontId="19" fillId="34" borderId="12" xfId="0" applyFont="1" applyFill="1" applyBorder="1" applyNumberFormat="1">
      <alignment horizontal="left" vertical="center" wrapText="1" indent="1"/>
    </xf>
    <xf numFmtId="49" fontId="19" fillId="0" borderId="12" xfId="0" applyFont="1" applyBorder="1" applyNumberFormat="1">
      <alignment horizontal="center" vertical="center"/>
    </xf>
    <xf numFmtId="0" fontId="19" fillId="0" borderId="12" xfId="0" applyFont="1" applyBorder="1" applyNumberFormat="1">
      <alignment horizontal="left" vertical="center" wrapText="1" indent="1"/>
    </xf>
    <xf numFmtId="0" fontId="19" fillId="0" borderId="12" xfId="0" applyFont="1" applyBorder="1" applyNumberFormat="1">
      <alignment vertical="center" wrapText="1"/>
    </xf>
    <xf numFmtId="49" fontId="19" fillId="38" borderId="12" xfId="0" applyFont="1" applyFill="1" applyBorder="1" applyNumberFormat="1">
      <alignment horizontal="left" vertical="center" wrapText="1"/>
      <protection locked="0"/>
    </xf>
    <xf numFmtId="0" fontId="19" fillId="34" borderId="12" xfId="0" applyFont="1" applyFill="1" applyBorder="1" applyNumberFormat="1">
      <alignment horizontal="left" vertical="center" wrapText="1"/>
    </xf>
    <xf numFmtId="0" fontId="37" fillId="34" borderId="12" xfId="0" applyFont="1" applyFill="1" applyBorder="1" applyNumberFormat="1">
      <alignment horizontal="center" vertical="center"/>
    </xf>
    <xf numFmtId="0" fontId="63" fillId="34" borderId="0" xfId="0" applyFont="1" applyFill="1" applyNumberFormat="1">
      <alignment vertical="center" wrapText="1"/>
    </xf>
    <xf numFmtId="0" fontId="57" fillId="34" borderId="0" xfId="0" applyFont="1" applyFill="1" applyNumberFormat="1"/>
    <xf numFmtId="49" fontId="19" fillId="35" borderId="12" xfId="0" applyFont="1" applyFill="1" applyBorder="1" applyNumberFormat="1">
      <alignment horizontal="left" vertical="center" wrapText="1"/>
      <protection locked="0"/>
    </xf>
    <xf numFmtId="0" fontId="74" fillId="34" borderId="0" xfId="0" applyFont="1" applyFill="1" applyNumberFormat="1"/>
    <xf numFmtId="0" fontId="58" fillId="34" borderId="0" xfId="0" applyFont="1" applyFill="1" applyNumberFormat="1"/>
    <xf numFmtId="14" fontId="19" fillId="38" borderId="23" xfId="0" applyFont="1" applyFill="1" applyBorder="1" applyNumberFormat="1">
      <alignment horizontal="left" vertical="center" wrapText="1" indent="1"/>
      <protection locked="0"/>
    </xf>
    <xf numFmtId="0" fontId="102" fillId="0" borderId="0" xfId="0" applyFont="1" applyNumberFormat="1">
      <alignment vertical="center"/>
    </xf>
    <xf numFmtId="0" fontId="102" fillId="0" borderId="0" xfId="0" applyFont="1" applyNumberFormat="1">
      <alignment vertical="center" wrapText="1"/>
    </xf>
    <xf numFmtId="171" fontId="19" fillId="0" borderId="23" xfId="0" applyFont="1" applyBorder="1" applyNumberFormat="1">
      <alignment horizontal="center" vertical="center" wrapText="1"/>
    </xf>
    <xf numFmtId="14" fontId="19" fillId="38" borderId="12" xfId="0" applyFont="1" applyFill="1" applyBorder="1" applyNumberFormat="1">
      <alignment horizontal="left" vertical="center" wrapText="1" indent="1"/>
      <protection locked="0"/>
    </xf>
    <xf numFmtId="0" fontId="19" fillId="33" borderId="23" xfId="0" applyFont="1" applyFill="1" applyBorder="1" applyNumberFormat="1">
      <alignment horizontal="left" vertical="center" wrapText="1" indent="1"/>
    </xf>
    <xf numFmtId="171" fontId="19" fillId="0" borderId="17" xfId="0" applyFont="1" applyBorder="1" applyNumberFormat="1">
      <alignment horizontal="center" vertical="center" wrapText="1"/>
    </xf>
    <xf numFmtId="49" fontId="39"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0" fillId="36" borderId="12" xfId="0" applyFont="1" applyFill="1" applyBorder="1" applyNumberFormat="1">
      <alignment horizontal="right" vertical="center" wrapText="1"/>
    </xf>
    <xf numFmtId="49" fontId="39" fillId="36" borderId="27" xfId="0" applyFont="1" applyFill="1" applyBorder="1" applyNumberFormat="1">
      <alignment horizontal="right" vertical="center" wrapText="1"/>
    </xf>
    <xf numFmtId="49" fontId="43" fillId="38" borderId="23" xfId="0" applyFont="1" applyFill="1" applyBorder="1" applyNumberFormat="1">
      <alignment horizontal="left" vertical="center" wrapText="1"/>
      <protection locked="0"/>
    </xf>
    <xf numFmtId="49" fontId="43" fillId="38" borderId="30" xfId="0" applyFont="1" applyFill="1" applyBorder="1" applyNumberFormat="1">
      <alignment horizontal="left" vertical="center" wrapText="1"/>
      <protection locked="0"/>
    </xf>
    <xf numFmtId="49" fontId="43" fillId="36" borderId="27" xfId="0" applyFont="1" applyFill="1" applyBorder="1" applyNumberFormat="1">
      <alignment horizontal="left" vertical="center" wrapText="1"/>
    </xf>
    <xf numFmtId="49" fontId="43" fillId="36" borderId="23" xfId="0" applyFont="1" applyFill="1" applyBorder="1" applyNumberFormat="1">
      <alignment horizontal="left" vertical="center" wrapText="1"/>
    </xf>
    <xf numFmtId="0" fontId="37" fillId="0" borderId="27" xfId="0" applyFont="1" applyBorder="1" applyNumberFormat="1">
      <alignment horizontal="center" vertical="center" wrapText="1"/>
    </xf>
    <xf numFmtId="0" fontId="37" fillId="0" borderId="0" xfId="0" applyFont="1" applyNumberFormat="1">
      <alignment horizontal="center" vertical="center"/>
    </xf>
    <xf numFmtId="0" fontId="37" fillId="0" borderId="0" xfId="0" applyFont="1" applyNumberFormat="1">
      <alignment horizontal="center" vertical="center"/>
    </xf>
    <xf numFmtId="0" fontId="45" fillId="0" borderId="0" xfId="0" applyFont="1" applyNumberFormat="1">
      <alignment horizontal="center" vertical="center"/>
    </xf>
    <xf numFmtId="0" fontId="31" fillId="0" borderId="0" xfId="0" applyFont="1" applyNumberFormat="1">
      <alignment horizontal="center" vertical="center" wrapText="1"/>
    </xf>
    <xf numFmtId="14" fontId="19" fillId="39" borderId="12" xfId="0" applyFont="1" applyFill="1" applyBorder="1" applyNumberFormat="1">
      <alignment horizontal="left" vertical="center" wrapText="1"/>
    </xf>
    <xf numFmtId="171" fontId="19" fillId="0" borderId="37" xfId="0" applyFont="1" applyBorder="1" applyNumberFormat="1">
      <alignment horizontal="center" vertical="center" wrapText="1"/>
    </xf>
    <xf numFmtId="0" fontId="19" fillId="38" borderId="12" xfId="0" applyFont="1" applyFill="1" applyBorder="1" applyNumberFormat="1">
      <alignment horizontal="center" vertical="center" wrapText="1"/>
      <protection locked="0"/>
    </xf>
    <xf numFmtId="0" fontId="36" fillId="34" borderId="0" xfId="0" applyFont="1" applyFill="1" applyNumberFormat="1"/>
    <xf numFmtId="171" fontId="34" fillId="0" borderId="58" xfId="0" applyFont="1" applyBorder="1" applyNumberFormat="1">
      <alignment horizontal="center" vertical="center" wrapText="1"/>
    </xf>
    <xf numFmtId="171" fontId="34" fillId="0" borderId="58" xfId="0" applyFont="1" applyBorder="1" applyNumberFormat="1">
      <alignment horizontal="center" vertical="center" wrapText="1"/>
    </xf>
    <xf numFmtId="49" fontId="43" fillId="38" borderId="27" xfId="0" applyFont="1" applyFill="1" applyBorder="1" applyNumberFormat="1">
      <alignment horizontal="left" vertical="center" wrapText="1"/>
      <protection locked="0"/>
    </xf>
    <xf numFmtId="0" fontId="19" fillId="0" borderId="15" xfId="0" applyFont="1" applyBorder="1" applyNumberFormat="1">
      <alignment horizontal="right" vertical="center" wrapText="1" indent="1"/>
    </xf>
    <xf numFmtId="0" fontId="19" fillId="33" borderId="14" xfId="0" applyFont="1" applyFill="1" applyBorder="1" applyNumberFormat="1">
      <alignment horizontal="left" vertical="top" wrapText="1"/>
    </xf>
    <xf numFmtId="49" fontId="37" fillId="0" borderId="0" xfId="0" applyFont="1" applyNumberFormat="1">
      <alignment horizontal="center" vertical="center"/>
    </xf>
    <xf numFmtId="49" fontId="57" fillId="0" borderId="0" xfId="0" applyFont="1" applyNumberFormat="1">
      <alignment vertical="top"/>
    </xf>
    <xf numFmtId="0" fontId="31" fillId="0" borderId="0" xfId="0" applyFont="1" applyNumberFormat="1">
      <alignment vertical="center"/>
    </xf>
    <xf numFmtId="0" fontId="19" fillId="0" borderId="36"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22" xfId="0" applyFont="1" applyBorder="1" applyNumberFormat="1">
      <alignment horizontal="center" vertical="center" wrapText="1"/>
    </xf>
    <xf numFmtId="49" fontId="19" fillId="0" borderId="36" xfId="0" applyFont="1" applyBorder="1" applyNumberFormat="1">
      <alignment horizontal="left" vertical="center" wrapText="1"/>
    </xf>
    <xf numFmtId="49" fontId="19" fillId="0" borderId="36" xfId="0" applyFont="1" applyBorder="1" applyNumberFormat="1">
      <alignment horizontal="center" vertical="center" wrapText="1"/>
    </xf>
    <xf numFmtId="49" fontId="19" fillId="0" borderId="17" xfId="0" applyFont="1" applyBorder="1" applyNumberFormat="1">
      <alignment horizontal="center" vertical="center" wrapText="1"/>
    </xf>
    <xf numFmtId="0" fontId="19" fillId="0" borderId="36" xfId="0" applyFont="1" applyBorder="1" applyNumberFormat="1">
      <alignment horizontal="left" vertical="center" wrapText="1"/>
    </xf>
    <xf numFmtId="49" fontId="19" fillId="0" borderId="36" xfId="0" applyFont="1" applyBorder="1" applyNumberFormat="1">
      <alignment vertical="center" wrapText="1"/>
    </xf>
    <xf numFmtId="0" fontId="19" fillId="0" borderId="23" xfId="0" applyFont="1" applyBorder="1" applyNumberFormat="1">
      <alignment horizontal="left" vertical="center" wrapText="1"/>
    </xf>
    <xf numFmtId="0" fontId="29" fillId="0" borderId="23" xfId="0" applyFont="1" applyBorder="1" applyNumberFormat="1">
      <alignment horizontal="left" vertical="center"/>
    </xf>
    <xf numFmtId="0" fontId="29" fillId="36" borderId="14" xfId="0" applyFont="1" applyFill="1" applyBorder="1" applyNumberFormat="1">
      <alignment horizontal="left" vertical="center"/>
    </xf>
    <xf numFmtId="0" fontId="29" fillId="0" borderId="36" xfId="0" applyFont="1" applyBorder="1" applyNumberFormat="1">
      <alignment horizontal="left" vertical="center"/>
    </xf>
    <xf numFmtId="0" fontId="29" fillId="36" borderId="37" xfId="0" applyFont="1" applyFill="1" applyBorder="1" applyNumberFormat="1">
      <alignment horizontal="left" vertical="center"/>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19" fillId="39" borderId="17" xfId="0" applyFont="1" applyFill="1" applyBorder="1" applyNumberFormat="1">
      <alignment vertical="center" wrapText="1"/>
    </xf>
    <xf numFmtId="0" fontId="19" fillId="0" borderId="37" xfId="0" applyFont="1" applyBorder="1" applyNumberFormat="1">
      <alignment horizontal="center" vertical="center" wrapText="1"/>
    </xf>
    <xf numFmtId="49" fontId="0" fillId="0" borderId="0" xfId="0" applyFont="1" applyNumberFormat="1">
      <alignment vertical="top"/>
    </xf>
    <xf numFmtId="49" fontId="36" fillId="0" borderId="0" xfId="0" applyFont="1" applyNumberFormat="1">
      <alignment horizontal="center" vertical="center"/>
    </xf>
    <xf numFmtId="0" fontId="103" fillId="0" borderId="0" xfId="0" applyFont="1" applyNumberFormat="1">
      <alignment vertical="center" wrapText="1"/>
    </xf>
    <xf numFmtId="0" fontId="104" fillId="0" borderId="0" xfId="0" applyFont="1" applyNumberFormat="1">
      <alignment vertical="center" wrapText="1"/>
    </xf>
    <xf numFmtId="0" fontId="19" fillId="0" borderId="17" xfId="0" applyFont="1" applyBorder="1" applyNumberFormat="1">
      <alignment horizontal="center"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center" vertical="center" wrapText="1"/>
    </xf>
    <xf numFmtId="0" fontId="19" fillId="0" borderId="17" xfId="0" applyFont="1" applyBorder="1" applyNumberFormat="1">
      <alignment horizontal="left" vertical="center" wrapText="1"/>
    </xf>
    <xf numFmtId="0" fontId="19" fillId="0" borderId="0" xfId="0" applyFont="1" applyNumberFormat="1">
      <alignment horizontal="left" vertical="center" wrapText="1"/>
    </xf>
    <xf numFmtId="49" fontId="19" fillId="0" borderId="19" xfId="0" applyFont="1" applyBorder="1" applyNumberFormat="1">
      <alignmen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19" xfId="0" applyFont="1" applyBorder="1" applyNumberFormat="1">
      <alignment horizontal="center" vertical="center" wrapText="1"/>
    </xf>
    <xf numFmtId="0" fontId="19" fillId="0" borderId="19" xfId="0" applyFont="1" applyBorder="1" applyNumberFormat="1">
      <alignment horizontal="left" vertical="center" wrapText="1"/>
    </xf>
    <xf numFmtId="49" fontId="19" fillId="0" borderId="19" xfId="0" applyFont="1" applyBorder="1" applyNumberFormat="1">
      <alignment vertical="center" wrapText="1"/>
    </xf>
    <xf numFmtId="49" fontId="19" fillId="0" borderId="0" xfId="0" applyFont="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49" fontId="19" fillId="0" borderId="0" xfId="0" applyFont="1" applyNumberFormat="1">
      <alignment horizontal="center" vertical="center" wrapText="1"/>
    </xf>
    <xf numFmtId="0" fontId="19" fillId="0" borderId="0" xfId="0" applyFont="1" applyNumberFormat="1">
      <alignment horizontal="left" vertical="center" wrapText="1"/>
    </xf>
    <xf numFmtId="0" fontId="29" fillId="0" borderId="0" xfId="0" applyFont="1" applyNumberFormat="1">
      <alignment horizontal="left" vertical="center"/>
    </xf>
    <xf numFmtId="49" fontId="25" fillId="0" borderId="0" xfId="0" applyFont="1" applyNumberFormat="1">
      <alignment horizontal="center" vertical="center" wrapText="1"/>
    </xf>
    <xf numFmtId="0" fontId="29" fillId="0" borderId="0" xfId="0" applyFont="1" applyNumberFormat="1">
      <alignment vertical="center"/>
    </xf>
    <xf numFmtId="49" fontId="57" fillId="0" borderId="30" xfId="0" applyFont="1" applyBorder="1" applyNumberFormat="1">
      <alignment vertical="top"/>
    </xf>
    <xf numFmtId="49" fontId="19" fillId="0" borderId="37" xfId="0" applyFont="1" applyBorder="1" applyNumberFormat="1">
      <alignment vertical="center" wrapText="1"/>
    </xf>
    <xf numFmtId="49" fontId="19" fillId="0" borderId="22" xfId="0" applyFont="1" applyBorder="1" applyNumberFormat="1">
      <alignment vertical="center" wrapText="1"/>
    </xf>
    <xf numFmtId="0" fontId="29" fillId="0" borderId="22" xfId="0" applyFont="1" applyBorder="1" applyNumberFormat="1">
      <alignment horizontal="left" vertical="center"/>
    </xf>
    <xf numFmtId="49" fontId="57" fillId="0" borderId="27" xfId="0" applyFont="1" applyBorder="1" applyNumberFormat="1">
      <alignment vertical="top"/>
    </xf>
    <xf numFmtId="49" fontId="19" fillId="0" borderId="36" xfId="0" applyFont="1" applyBorder="1" applyNumberFormat="1">
      <alignment horizontal="center" vertical="center" wrapText="1"/>
    </xf>
    <xf numFmtId="0" fontId="29" fillId="36"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19" fillId="0" borderId="0" xfId="0" applyFont="1" applyNumberFormat="1">
      <alignment vertical="center" wrapText="1"/>
    </xf>
    <xf numFmtId="0" fontId="20" fillId="0" borderId="0" xfId="0" applyFont="1" applyNumberFormat="1">
      <alignment vertical="center" wrapText="1"/>
    </xf>
    <xf numFmtId="0" fontId="31" fillId="0" borderId="0" xfId="0" applyFont="1" applyNumberFormat="1">
      <alignment vertical="center" wrapText="1"/>
    </xf>
    <xf numFmtId="0" fontId="19" fillId="0" borderId="0" xfId="0" applyFont="1" applyNumberFormat="1">
      <alignment horizontal="left" vertical="center" wrapText="1"/>
    </xf>
    <xf numFmtId="0" fontId="48" fillId="0" borderId="0" xfId="0" applyFont="1" applyNumberFormat="1">
      <alignment vertical="center" wrapText="1"/>
    </xf>
    <xf numFmtId="0" fontId="50" fillId="0" borderId="0" xfId="0" applyFont="1" applyNumberFormat="1">
      <alignment vertical="center" wrapText="1"/>
    </xf>
    <xf numFmtId="0" fontId="78" fillId="0" borderId="0" xfId="0" applyFont="1" applyNumberFormat="1">
      <alignment vertical="center" wrapText="1"/>
    </xf>
    <xf numFmtId="0" fontId="37" fillId="0" borderId="0" xfId="0" applyFont="1" applyNumberFormat="1">
      <alignment vertical="center" wrapText="1"/>
    </xf>
    <xf numFmtId="0" fontId="54" fillId="0" borderId="0" xfId="0" applyFont="1" applyNumberFormat="1">
      <alignment vertical="center" wrapText="1"/>
    </xf>
    <xf numFmtId="49" fontId="19" fillId="0" borderId="12" xfId="0" applyFont="1" applyBorder="1" applyNumberFormat="1">
      <alignment horizontal="center" vertical="center" wrapText="1"/>
    </xf>
    <xf numFmtId="0" fontId="25" fillId="34" borderId="12" xfId="0" applyFont="1" applyFill="1" applyBorder="1" applyNumberFormat="1">
      <alignment horizontal="center" vertical="center" wrapText="1"/>
    </xf>
    <xf numFmtId="0" fontId="19" fillId="0" borderId="0" xfId="0" applyFont="1" applyNumberFormat="1">
      <alignment vertical="center" wrapText="1"/>
    </xf>
    <xf numFmtId="0" fontId="25" fillId="34" borderId="0" xfId="0" applyFont="1" applyFill="1" applyNumberFormat="1">
      <alignment horizontal="center" vertical="center" wrapText="1"/>
    </xf>
    <xf numFmtId="49" fontId="19" fillId="0" borderId="12" xfId="0" applyFont="1" applyBorder="1" applyNumberFormat="1">
      <alignment horizontal="center" vertical="center" wrapText="1"/>
    </xf>
    <xf numFmtId="3" fontId="19" fillId="38" borderId="12" xfId="0" applyFont="1" applyFill="1" applyBorder="1" applyNumberFormat="1">
      <alignment horizontal="right" vertical="center" wrapText="1"/>
      <protection locked="0"/>
    </xf>
    <xf numFmtId="0" fontId="37" fillId="0" borderId="0" xfId="0" applyFont="1" applyNumberFormat="1">
      <alignment vertical="center" wrapText="1"/>
    </xf>
    <xf numFmtId="49" fontId="19" fillId="38" borderId="12" xfId="0" applyFont="1" applyFill="1" applyBorder="1" applyNumberFormat="1">
      <alignment horizontal="left" vertical="center" wrapText="1"/>
      <protection locked="0"/>
    </xf>
    <xf numFmtId="0" fontId="37" fillId="0" borderId="0" xfId="0" applyFont="1" applyNumberFormat="1">
      <alignment vertical="center"/>
    </xf>
    <xf numFmtId="0" fontId="25" fillId="34" borderId="12" xfId="0" applyFont="1" applyFill="1" applyBorder="1" applyNumberFormat="1">
      <alignment horizontal="center" vertical="center" wrapText="1"/>
    </xf>
    <xf numFmtId="0" fontId="36" fillId="0" borderId="22" xfId="0" applyFont="1" applyBorder="1" applyNumberFormat="1">
      <alignment vertical="center"/>
    </xf>
    <xf numFmtId="0" fontId="36" fillId="0" borderId="22" xfId="0" applyFont="1" applyBorder="1" applyNumberFormat="1">
      <alignment vertical="center"/>
    </xf>
    <xf numFmtId="0" fontId="19" fillId="0" borderId="17" xfId="0" applyFont="1" applyBorder="1" applyNumberFormat="1">
      <alignment horizontal="left" vertical="center" wrapText="1" indent="1"/>
    </xf>
    <xf numFmtId="49" fontId="19" fillId="0" borderId="59" xfId="0" applyFont="1" applyBorder="1" applyNumberFormat="1">
      <alignment horizontal="center" vertical="center" wrapText="1"/>
    </xf>
    <xf numFmtId="49" fontId="19" fillId="0" borderId="28" xfId="0" applyFont="1" applyBorder="1" applyNumberFormat="1">
      <alignment horizontal="center" vertical="center" wrapText="1"/>
    </xf>
    <xf numFmtId="0" fontId="19" fillId="0" borderId="0" xfId="0" applyFont="1" applyNumberFormat="1">
      <alignment vertical="center" wrapText="1"/>
    </xf>
    <xf numFmtId="0" fontId="20" fillId="0" borderId="0" xfId="0" applyFont="1" applyNumberFormat="1">
      <alignment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37" fillId="0" borderId="0" xfId="0" applyFont="1" applyNumberFormat="1">
      <alignment vertical="center" wrapText="1"/>
    </xf>
    <xf numFmtId="0" fontId="19" fillId="0" borderId="12" xfId="0" applyFont="1" applyBorder="1" applyNumberFormat="1">
      <alignment horizontal="center"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0" fontId="44" fillId="0" borderId="0" xfId="0" applyFont="1" applyNumberFormat="1">
      <alignment vertical="center"/>
    </xf>
    <xf numFmtId="0" fontId="63" fillId="0" borderId="0" xfId="0" applyFont="1" applyNumberFormat="1">
      <alignment vertical="center" wrapText="1"/>
    </xf>
    <xf numFmtId="0" fontId="37" fillId="0" borderId="0" xfId="0" applyFont="1" applyNumberFormat="1">
      <alignment vertical="center" wrapText="1"/>
    </xf>
    <xf numFmtId="0" fontId="19" fillId="0" borderId="13"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0" xfId="0" applyFont="1" applyNumberFormat="1">
      <alignment horizontal="left" vertical="top" wrapText="1"/>
    </xf>
    <xf numFmtId="0" fontId="19" fillId="0" borderId="12" xfId="0" applyFont="1" applyBorder="1" applyNumberFormat="1">
      <alignment horizontal="center" vertical="center" wrapText="1"/>
    </xf>
    <xf numFmtId="49" fontId="19" fillId="39" borderId="12" xfId="0" applyFont="1" applyFill="1" applyBorder="1" applyNumberFormat="1">
      <alignment horizontal="left" vertical="center" wrapText="1"/>
    </xf>
    <xf numFmtId="0" fontId="19" fillId="0" borderId="12" xfId="0" applyFont="1" applyBorder="1" applyNumberFormat="1">
      <alignment horizontal="left" vertical="center" wrapText="1" indent="2"/>
    </xf>
    <xf numFmtId="0" fontId="37" fillId="0" borderId="17"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2"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2" xfId="0" applyFont="1" applyBorder="1" applyNumberFormat="1">
      <alignment horizontal="center" vertical="center" wrapText="1"/>
    </xf>
    <xf numFmtId="49" fontId="0" fillId="0" borderId="12" xfId="0" applyFont="1" applyBorder="1" applyNumberFormat="1">
      <alignment vertical="center" wrapText="1"/>
    </xf>
    <xf numFmtId="0" fontId="37" fillId="0" borderId="14" xfId="0" applyFont="1" applyBorder="1" applyNumberFormat="1">
      <alignment vertical="center" wrapText="1"/>
    </xf>
    <xf numFmtId="0" fontId="37" fillId="0" borderId="14" xfId="0" applyFont="1" applyBorder="1" applyNumberFormat="1">
      <alignment horizontal="left" vertical="top" wrapText="1"/>
    </xf>
    <xf numFmtId="49" fontId="19" fillId="0" borderId="60" xfId="0" applyFont="1" applyBorder="1" applyNumberFormat="1">
      <alignment horizontal="center" vertical="center" wrapText="1"/>
    </xf>
    <xf numFmtId="0" fontId="19" fillId="0" borderId="17" xfId="0" applyFont="1" applyBorder="1" applyNumberFormat="1">
      <alignment horizontal="left" vertical="center" wrapText="1"/>
    </xf>
    <xf numFmtId="49" fontId="29" fillId="36"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19" fillId="0" borderId="0" xfId="0" applyFont="1" applyNumberFormat="1">
      <alignment vertical="center" wrapText="1"/>
    </xf>
    <xf numFmtId="0" fontId="0" fillId="0" borderId="12" xfId="0" applyFont="1" applyBorder="1" applyNumberFormat="1">
      <alignment horizontal="center" vertical="center" wrapText="1"/>
    </xf>
    <xf numFmtId="49" fontId="19" fillId="39"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4" borderId="12" xfId="0" applyFont="1" applyFill="1" applyBorder="1" applyNumberFormat="1">
      <alignment horizontal="center" vertical="center" wrapText="1"/>
    </xf>
    <xf numFmtId="49" fontId="19" fillId="39" borderId="12" xfId="0" applyFont="1" applyFill="1" applyBorder="1" applyNumberFormat="1">
      <alignment horizontal="left" vertical="center" wrapText="1"/>
    </xf>
    <xf numFmtId="49" fontId="19" fillId="0" borderId="61" xfId="0" applyFont="1" applyBorder="1" applyNumberFormat="1">
      <alignment horizontal="center" vertical="center" wrapText="1"/>
    </xf>
    <xf numFmtId="4" fontId="19" fillId="38" borderId="17" xfId="0" applyFont="1" applyFill="1" applyBorder="1" applyNumberFormat="1">
      <alignment horizontal="right" vertical="center" wrapText="1"/>
      <protection locked="0"/>
    </xf>
    <xf numFmtId="49" fontId="29" fillId="0" borderId="19" xfId="0" applyFont="1" applyBorder="1" applyNumberFormat="1">
      <alignment horizontal="left" vertical="center"/>
    </xf>
    <xf numFmtId="49" fontId="29" fillId="0" borderId="19" xfId="0" applyFont="1" applyBorder="1" applyNumberFormat="1">
      <alignment horizontal="left" vertical="center" indent="2"/>
    </xf>
    <xf numFmtId="49" fontId="33" fillId="0" borderId="19" xfId="0" applyFont="1" applyBorder="1" applyNumberFormat="1">
      <alignment horizontal="center" vertical="top"/>
    </xf>
    <xf numFmtId="0" fontId="19" fillId="0" borderId="19" xfId="0" applyFont="1" applyBorder="1" applyNumberFormat="1">
      <alignment horizontal="left" vertical="top" wrapText="1"/>
    </xf>
    <xf numFmtId="0" fontId="19" fillId="0" borderId="0" xfId="0" applyFont="1" applyNumberFormat="1">
      <alignment horizontal="right" vertical="top" wrapText="1"/>
    </xf>
    <xf numFmtId="49" fontId="0" fillId="38" borderId="12" xfId="0" applyFont="1" applyFill="1" applyBorder="1" applyNumberFormat="1">
      <alignment horizontal="left" vertical="center" wrapText="1" indent="1"/>
      <protection locked="0"/>
    </xf>
    <xf numFmtId="49" fontId="36" fillId="0" borderId="0" xfId="0" applyFont="1" applyNumberFormat="1">
      <alignment vertical="top"/>
    </xf>
    <xf numFmtId="49"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0" fontId="19" fillId="34" borderId="0" xfId="0" applyFont="1" applyFill="1" applyNumberFormat="1"/>
    <xf numFmtId="0" fontId="19" fillId="0" borderId="0" xfId="0" applyFont="1" applyNumberFormat="1">
      <alignment vertical="top" wrapText="1"/>
    </xf>
    <xf numFmtId="0" fontId="25" fillId="34" borderId="0" xfId="0" applyFont="1" applyFill="1" applyNumberFormat="1">
      <alignment horizontal="center" vertical="center" wrapText="1"/>
    </xf>
    <xf numFmtId="0" fontId="0" fillId="34"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20" fillId="46" borderId="0" xfId="0" applyFont="1" applyFill="1" applyNumberFormat="1">
      <alignment horizontal="center" vertical="center"/>
    </xf>
    <xf numFmtId="0" fontId="0" fillId="47" borderId="0" xfId="0" applyFont="1" applyFill="1" applyNumberFormat="1">
      <alignment horizontal="left" vertical="center"/>
    </xf>
    <xf numFmtId="49" fontId="0" fillId="0" borderId="0" xfId="0" applyFont="1" applyNumberFormat="1">
      <alignment vertical="center"/>
    </xf>
    <xf numFmtId="0" fontId="0" fillId="47" borderId="0" xfId="0" applyFont="1" applyFill="1" applyNumberFormat="1">
      <alignment horizontal="right" vertical="center"/>
    </xf>
    <xf numFmtId="0" fontId="44" fillId="47" borderId="0" xfId="0" applyFont="1" applyFill="1" applyNumberFormat="1">
      <alignment horizontal="left" vertical="center"/>
    </xf>
    <xf numFmtId="0" fontId="0" fillId="0" borderId="0" xfId="0" applyFont="1" applyNumberFormat="1">
      <alignment horizontal="right" vertical="top"/>
    </xf>
    <xf numFmtId="0" fontId="0" fillId="47" borderId="10" xfId="0" applyFont="1" applyFill="1" applyBorder="1" applyNumberFormat="1">
      <alignment horizontal="center"/>
    </xf>
    <xf numFmtId="0" fontId="0" fillId="0" borderId="10" xfId="0" applyFont="1" applyBorder="1" applyNumberFormat="1">
      <alignment horizontal="center"/>
    </xf>
    <xf numFmtId="0" fontId="105"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6" fillId="0" borderId="0" xfId="0" applyFont="1" applyNumberFormat="1">
      <alignment wrapText="1"/>
    </xf>
    <xf numFmtId="0" fontId="27" fillId="0" borderId="0" xfId="0" applyFont="1" applyNumberFormat="1"/>
    <xf numFmtId="0" fontId="92" fillId="0" borderId="0" xfId="0" applyFont="1" applyNumberFormat="1">
      <alignment horizontal="left" vertical="center" wrapText="1"/>
    </xf>
    <xf numFmtId="49" fontId="107" fillId="0" borderId="0" xfId="0" applyFont="1" applyNumberFormat="1">
      <alignment wrapText="1"/>
    </xf>
    <xf numFmtId="0" fontId="35" fillId="0" borderId="0" xfId="0" applyFont="1" applyNumberFormat="1">
      <alignment horizontal="left" vertical="top" wrapText="1"/>
    </xf>
    <xf numFmtId="49" fontId="19" fillId="0" borderId="0" xfId="0" applyFont="1" applyNumberFormat="1">
      <alignment vertical="top" wrapText="1"/>
    </xf>
    <xf numFmtId="0" fontId="56" fillId="0" borderId="0" xfId="0" applyFont="1" applyNumberFormat="1">
      <alignment wrapText="1"/>
    </xf>
    <xf numFmtId="0" fontId="108" fillId="0" borderId="0" xfId="0" applyFont="1" applyNumberFormat="1">
      <alignment horizontal="left" vertical="center" wrapText="1"/>
    </xf>
    <xf numFmtId="0" fontId="109"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8" fillId="0" borderId="0" xfId="0" applyFont="1" applyNumberFormat="1"/>
    <xf numFmtId="0" fontId="110" fillId="0" borderId="0" xfId="0" applyFont="1" applyNumberFormat="1">
      <alignment wrapText="1"/>
    </xf>
    <xf numFmtId="0" fontId="0" fillId="35" borderId="62" xfId="0" applyFont="1" applyFill="1" applyBorder="1" applyNumberFormat="1">
      <alignment horizontal="center" vertical="center" wrapText="1"/>
    </xf>
    <xf numFmtId="0" fontId="0" fillId="52" borderId="62" xfId="0" applyFont="1" applyFill="1" applyBorder="1" applyNumberFormat="1">
      <alignment horizontal="center" vertical="center" wrapText="1"/>
    </xf>
    <xf numFmtId="0" fontId="0" fillId="33" borderId="62" xfId="0" applyFont="1" applyFill="1" applyBorder="1" applyNumberFormat="1">
      <alignment horizontal="center" vertical="center" wrapText="1"/>
    </xf>
    <xf numFmtId="0" fontId="0" fillId="38" borderId="62" xfId="0" applyFont="1" applyFill="1" applyBorder="1" applyNumberFormat="1">
      <alignment horizontal="center" vertical="center" wrapText="1"/>
    </xf>
    <xf numFmtId="0" fontId="108" fillId="0" borderId="38" xfId="0" applyFont="1" applyBorder="1" applyNumberFormat="1">
      <alignment horizontal="left" vertical="center" wrapText="1"/>
    </xf>
    <xf numFmtId="0" fontId="108" fillId="0" borderId="63" xfId="0" applyFont="1" applyBorder="1" applyNumberFormat="1">
      <alignment horizontal="left" vertical="center" wrapText="1"/>
    </xf>
    <xf numFmtId="0" fontId="110" fillId="0" borderId="0" xfId="0" applyFont="1" applyNumberFormat="1"/>
    <xf numFmtId="0" fontId="110" fillId="0" borderId="38" xfId="0" applyFont="1" applyBorder="1" applyNumberFormat="1">
      <alignment wrapText="1"/>
    </xf>
    <xf numFmtId="0" fontId="56" fillId="0" borderId="64"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6" fillId="0" borderId="0" xfId="0" applyFont="1" applyNumberFormat="1"/>
    <xf numFmtId="0" fontId="24" fillId="0" borderId="24" xfId="0" applyFont="1" applyBorder="1" applyNumberFormat="1">
      <alignment horizontal="center" vertical="center" wrapText="1"/>
    </xf>
    <xf numFmtId="49" fontId="19" fillId="0" borderId="13" xfId="0" applyFont="1" applyBorder="1" applyNumberFormat="1">
      <alignment horizontal="center" vertical="center" wrapText="1"/>
    </xf>
    <xf numFmtId="49" fontId="111" fillId="0" borderId="0" xfId="0" applyFont="1" applyNumberFormat="1">
      <alignment horizontal="center" vertical="center" wrapText="1"/>
    </xf>
    <xf numFmtId="49" fontId="19" fillId="47" borderId="0" xfId="0" applyFont="1" applyFill="1" applyNumberFormat="1">
      <alignment horizontal="center" vertical="center"/>
    </xf>
    <xf numFmtId="174" fontId="0" fillId="38" borderId="12" xfId="0" applyFont="1" applyFill="1" applyBorder="1" applyNumberFormat="1">
      <alignment horizontal="left" vertical="center" wrapText="1" indent="1"/>
      <protection locked="0"/>
    </xf>
    <xf numFmtId="174" fontId="0" fillId="0" borderId="12" xfId="0" applyFont="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174" fontId="37" fillId="0" borderId="0" xfId="0" applyFont="1" applyNumberFormat="1">
      <alignment horizontal="center" vertical="center" wrapText="1"/>
    </xf>
    <xf numFmtId="174" fontId="37" fillId="0" borderId="12" xfId="0" applyFont="1" applyBorder="1" applyNumberFormat="1">
      <alignment horizontal="center" vertical="center" wrapText="1"/>
    </xf>
    <xf numFmtId="174" fontId="0" fillId="38" borderId="12" xfId="0" applyFont="1" applyFill="1" applyBorder="1" applyNumberFormat="1">
      <alignment horizontal="left" vertical="center" wrapText="1"/>
      <protection locked="0"/>
    </xf>
    <xf numFmtId="174" fontId="0" fillId="35" borderId="12" xfId="0" applyFont="1" applyFill="1" applyBorder="1" applyNumberFormat="1">
      <alignment horizontal="left" vertical="center" wrapText="1" indent="1"/>
      <protection locked="0"/>
    </xf>
    <xf numFmtId="174" fontId="0" fillId="38" borderId="13" xfId="0" applyFont="1" applyFill="1" applyBorder="1" applyNumberFormat="1">
      <alignment horizontal="left" vertical="center" wrapText="1"/>
      <protection locked="0"/>
    </xf>
    <xf numFmtId="0" fontId="19" fillId="0" borderId="0" xfId="0" applyFont="1" applyNumberFormat="1">
      <alignment horizontal="left" vertical="top" indent="1"/>
    </xf>
    <xf numFmtId="0" fontId="19" fillId="33" borderId="30"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19" fillId="33" borderId="30" xfId="0" applyFont="1" applyFill="1" applyBorder="1" applyNumberFormat="1">
      <alignment horizontal="left" vertical="top"/>
    </xf>
    <xf numFmtId="0" fontId="19" fillId="0" borderId="12" xfId="0" applyFont="1" applyBorder="1" applyNumberFormat="1">
      <alignment horizontal="left" vertical="top"/>
    </xf>
    <xf numFmtId="49" fontId="19" fillId="0" borderId="0" xfId="0" applyFont="1" applyNumberFormat="1">
      <alignment horizontal="left" vertical="top"/>
    </xf>
    <xf numFmtId="0" fontId="0" fillId="33" borderId="36" xfId="0" applyFont="1" applyFill="1" applyBorder="1" applyNumberFormat="1">
      <alignment horizontal="left" vertical="top" wrapText="1" indent="1"/>
    </xf>
    <xf numFmtId="49" fontId="19"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19" fillId="39" borderId="36" xfId="0" applyFont="1" applyFill="1" applyBorder="1" applyNumberFormat="1">
      <alignment horizontal="left" vertical="top" wrapText="1"/>
    </xf>
    <xf numFmtId="49" fontId="19"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19" fillId="33" borderId="36" xfId="0" applyFont="1" applyFill="1" applyBorder="1" applyNumberFormat="1">
      <alignment horizontal="center" vertical="top" wrapText="1"/>
    </xf>
    <xf numFmtId="0" fontId="19" fillId="35" borderId="36" xfId="0" applyFont="1" applyFill="1" applyBorder="1" applyNumberFormat="1">
      <alignment horizontal="left" vertical="top" wrapText="1"/>
      <protection locked="0"/>
    </xf>
    <xf numFmtId="0" fontId="29" fillId="0" borderId="36" xfId="0" applyFont="1" applyBorder="1" applyNumberFormat="1">
      <alignment horizontal="left" vertical="center"/>
    </xf>
    <xf numFmtId="0" fontId="29" fillId="35" borderId="36" xfId="0" applyFont="1" applyFill="1" applyBorder="1" applyNumberFormat="1">
      <alignment horizontal="left" vertical="center"/>
      <protection locked="0"/>
    </xf>
    <xf numFmtId="0" fontId="29" fillId="38" borderId="36" xfId="0" applyFont="1" applyFill="1" applyBorder="1" applyNumberFormat="1">
      <alignment horizontal="left" vertical="center"/>
      <protection locked="0"/>
    </xf>
    <xf numFmtId="14" fontId="19" fillId="39" borderId="36" xfId="0" applyFont="1" applyFill="1" applyBorder="1" applyNumberFormat="1">
      <alignment horizontal="left" vertical="center" wrapText="1" indent="1"/>
    </xf>
    <xf numFmtId="49" fontId="19" fillId="39" borderId="0" xfId="0" applyFont="1" applyFill="1" applyNumberFormat="1">
      <alignment horizontal="center" vertical="center" wrapText="1"/>
    </xf>
    <xf numFmtId="0" fontId="19" fillId="0" borderId="12" xfId="0" applyFont="1" applyBorder="1" applyNumberFormat="1">
      <alignment horizontal="center" vertical="center" wrapText="1"/>
    </xf>
    <xf numFmtId="0" fontId="0" fillId="34" borderId="12" xfId="0" applyFont="1" applyFill="1" applyBorder="1" applyNumberFormat="1">
      <alignment vertical="top" wrapText="1"/>
    </xf>
    <xf numFmtId="0" fontId="36" fillId="0" borderId="12" xfId="0" applyFont="1" applyBorder="1" applyNumberFormat="1">
      <alignment vertical="top" wrapText="1"/>
    </xf>
    <xf numFmtId="49" fontId="19" fillId="39" borderId="17" xfId="0" applyFont="1" applyFill="1" applyBorder="1" applyNumberFormat="1">
      <alignment vertical="center" wrapText="1"/>
    </xf>
    <xf numFmtId="49" fontId="19" fillId="39" borderId="36" xfId="0" applyFont="1" applyFill="1" applyBorder="1" applyNumberFormat="1">
      <alignment vertical="center" wrapText="1"/>
    </xf>
    <xf numFmtId="49" fontId="19" fillId="39" borderId="23" xfId="0" applyFont="1" applyFill="1" applyBorder="1" applyNumberFormat="1">
      <alignment vertical="center" wrapText="1"/>
    </xf>
    <xf numFmtId="49" fontId="19" fillId="35" borderId="12" xfId="0" applyFont="1" applyFill="1" applyBorder="1" applyNumberFormat="1">
      <alignment horizontal="left" vertical="center" wrapText="1" indent="1"/>
      <protection locked="0"/>
    </xf>
    <xf numFmtId="0" fontId="0" fillId="38"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19" fillId="0" borderId="12" xfId="0" applyFont="1" applyBorder="1" applyNumberFormat="1">
      <alignment horizontal="left"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19" fillId="0" borderId="0" xfId="0" applyFont="1" applyNumberFormat="1">
      <alignment horizontal="left" vertical="center" indent="1"/>
    </xf>
    <xf numFmtId="174" fontId="0" fillId="38" borderId="14" xfId="0" applyFont="1" applyFill="1" applyBorder="1" applyNumberFormat="1">
      <alignment horizontal="left" vertical="center" wrapText="1"/>
      <protection locked="0"/>
    </xf>
    <xf numFmtId="174" fontId="0" fillId="0" borderId="11" xfId="0" applyFont="1" applyBorder="1" applyNumberFormat="1">
      <alignment horizontal="left" vertical="center" wrapText="1" indent="1"/>
    </xf>
    <xf numFmtId="49" fontId="19" fillId="34" borderId="26" xfId="0" applyFont="1" applyFill="1" applyBorder="1" applyNumberFormat="1">
      <alignment horizontal="right" vertical="center" wrapText="1" indent="1"/>
    </xf>
    <xf numFmtId="49" fontId="36" fillId="0" borderId="0" xfId="0" applyFont="1" applyNumberFormat="1">
      <alignment vertical="center" wrapText="1"/>
    </xf>
    <xf numFmtId="49" fontId="0"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19" fillId="0" borderId="0" xfId="0" applyFont="1" applyNumberFormat="1">
      <alignment vertical="top" wrapText="1"/>
    </xf>
    <xf numFmtId="49" fontId="19" fillId="0" borderId="0" xfId="0" applyFont="1" applyNumberFormat="1">
      <alignment vertical="top"/>
    </xf>
    <xf numFmtId="49" fontId="19" fillId="0" borderId="0" xfId="0" applyFont="1" applyNumberFormat="1">
      <alignment vertical="top"/>
    </xf>
    <xf numFmtId="49" fontId="19" fillId="0" borderId="12" xfId="0" applyFont="1" applyBorder="1" applyNumberFormat="1">
      <alignment horizontal="center" vertical="center" wrapText="1"/>
    </xf>
    <xf numFmtId="49" fontId="19" fillId="0" borderId="19" xfId="0" applyFont="1" applyBorder="1" applyNumberFormat="1">
      <alignment horizontal="center" vertical="center" wrapText="1"/>
    </xf>
    <xf numFmtId="0" fontId="19" fillId="39" borderId="36" xfId="0" applyFont="1" applyFill="1" applyBorder="1" applyNumberFormat="1">
      <alignment horizontal="center" vertical="top" wrapText="1"/>
    </xf>
    <xf numFmtId="49" fontId="19" fillId="0" borderId="19" xfId="0" applyFont="1" applyBorder="1" applyNumberFormat="1">
      <alignment horizontal="left" vertical="center" wrapText="1"/>
    </xf>
    <xf numFmtId="49" fontId="19" fillId="0" borderId="0" xfId="0" applyFont="1" applyNumberFormat="1">
      <alignment horizontal="center" vertical="center" wrapText="1"/>
    </xf>
    <xf numFmtId="49" fontId="19" fillId="39" borderId="36" xfId="0" applyFont="1" applyFill="1" applyBorder="1" applyNumberFormat="1">
      <alignment horizontal="center" vertical="center" wrapText="1"/>
    </xf>
    <xf numFmtId="0" fontId="29" fillId="0" borderId="0" xfId="0" applyFont="1" applyNumberFormat="1">
      <alignment horizontal="left"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19" fillId="34" borderId="0" xfId="0" applyFont="1" applyFill="1" applyNumberFormat="1">
      <alignment horizontal="center" vertical="center" wrapTex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0" fontId="34" fillId="0" borderId="12" xfId="0" applyFont="1" applyBorder="1" applyNumberFormat="1">
      <alignment horizontal="center" vertical="center"/>
    </xf>
    <xf numFmtId="49" fontId="0" fillId="38" borderId="12" xfId="0" applyFont="1" applyFill="1" applyBorder="1" applyNumberFormat="1">
      <alignment horizontal="left" vertical="center" wrapText="1"/>
      <protection locked="0"/>
    </xf>
    <xf numFmtId="0" fontId="36" fillId="0" borderId="0" xfId="0" applyFont="1" applyNumberFormat="1">
      <alignment horizontal="center" vertical="top"/>
    </xf>
    <xf numFmtId="49" fontId="19" fillId="0" borderId="36" xfId="0" applyFont="1" applyBorder="1" applyNumberFormat="1">
      <alignment horizontal="center" vertical="top" wrapText="1"/>
    </xf>
    <xf numFmtId="0" fontId="19" fillId="0" borderId="12" xfId="0" applyFont="1" applyBorder="1" applyNumberFormat="1">
      <alignment horizontal="left" vertical="center" wrapText="1"/>
    </xf>
    <xf numFmtId="0" fontId="24" fillId="0" borderId="12" xfId="0" applyFont="1" applyBorder="1" applyNumberFormat="1">
      <alignment horizontal="center" vertical="center" wrapText="1"/>
    </xf>
    <xf numFmtId="49" fontId="29" fillId="36" borderId="51" xfId="0" applyFont="1" applyFill="1" applyBorder="1" applyNumberFormat="1">
      <alignment horizontal="left" vertical="center" indent="1"/>
    </xf>
    <xf numFmtId="49" fontId="19" fillId="35" borderId="12" xfId="0" applyFont="1" applyFill="1" applyBorder="1" applyNumberFormat="1">
      <alignment horizontal="left" vertical="center" wrapText="1"/>
      <protection locked="0"/>
    </xf>
    <xf numFmtId="49" fontId="37" fillId="0" borderId="12" xfId="0" applyFont="1" applyBorder="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0" fontId="19" fillId="0" borderId="12" xfId="0" applyFont="1" applyBorder="1" applyNumberFormat="1">
      <alignment horizontal="center" vertical="center" wrapText="1"/>
    </xf>
    <xf numFmtId="0" fontId="36" fillId="0" borderId="0" xfId="0" applyFont="1" applyNumberFormat="1">
      <alignment horizontal="center" vertical="center" wrapText="1"/>
    </xf>
    <xf numFmtId="0" fontId="0" fillId="0" borderId="12" xfId="0" applyFont="1" applyBorder="1" applyNumberFormat="1">
      <alignment horizontal="left" vertical="center" wrapText="1"/>
    </xf>
    <xf numFmtId="0" fontId="19" fillId="0" borderId="36" xfId="0" applyFont="1" applyBorder="1" applyNumberFormat="1">
      <alignment horizontal="center" vertical="center" wrapText="1"/>
    </xf>
    <xf numFmtId="0" fontId="19" fillId="34" borderId="14" xfId="0" applyFont="1" applyFill="1" applyBorder="1" applyNumberFormat="1">
      <alignment horizontal="center" vertical="center" wrapText="1"/>
    </xf>
    <xf numFmtId="49" fontId="0"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19" fillId="39" borderId="14" xfId="0" applyFont="1" applyFill="1" applyBorder="1" applyNumberFormat="1">
      <alignment horizontal="left" vertical="center" wrapText="1"/>
    </xf>
    <xf numFmtId="0" fontId="19" fillId="0" borderId="23" xfId="0" applyFont="1" applyBorder="1" applyNumberFormat="1">
      <alignment horizontal="center" vertical="center" wrapText="1"/>
    </xf>
    <xf numFmtId="0" fontId="34" fillId="0" borderId="13" xfId="0" applyFont="1" applyBorder="1" applyNumberFormat="1">
      <alignment horizontal="center" vertical="center"/>
    </xf>
    <xf numFmtId="49" fontId="0" fillId="37" borderId="0" xfId="0" applyFont="1" applyFill="1" applyNumberFormat="1">
      <alignment vertical="top"/>
    </xf>
    <xf numFmtId="0" fontId="25" fillId="34" borderId="0" xfId="0" applyFont="1" applyFill="1" applyNumberFormat="1">
      <alignment horizontal="center" vertical="center" wrapText="1"/>
    </xf>
    <xf numFmtId="0" fontId="25" fillId="34" borderId="0" xfId="0" applyFont="1" applyFill="1" applyNumberFormat="1">
      <alignment horizontal="center"/>
    </xf>
    <xf numFmtId="0" fontId="25" fillId="0" borderId="0" xfId="0" applyFont="1" applyNumberFormat="1">
      <alignment horizontal="center" vertical="center" wrapText="1"/>
    </xf>
    <xf numFmtId="0" fontId="31"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19" fillId="0" borderId="0" xfId="0" applyFont="1" applyNumberFormat="1">
      <alignment vertical="top"/>
    </xf>
    <xf numFmtId="0" fontId="25" fillId="34" borderId="0" xfId="0" applyFont="1" applyFill="1" applyNumberFormat="1">
      <alignment vertical="top" wrapText="1"/>
    </xf>
    <xf numFmtId="49" fontId="112" fillId="38" borderId="12" xfId="0" applyFont="1" applyFill="1" applyBorder="1" applyNumberFormat="1">
      <alignment horizontal="left" vertical="center" wrapText="1"/>
      <protection locked="0"/>
    </xf>
    <xf numFmtId="49" fontId="25" fillId="0" borderId="0" xfId="0" applyFont="1" applyNumberFormat="1">
      <alignment horizontal="center" vertical="center" wrapText="1"/>
    </xf>
    <xf numFmtId="0" fontId="25" fillId="0" borderId="24" xfId="0" applyFont="1" applyBorder="1" applyNumberFormat="1">
      <alignment horizontal="center" vertical="center" wrapText="1"/>
    </xf>
    <xf numFmtId="49" fontId="113" fillId="0" borderId="0" xfId="0" applyFont="1" applyNumberFormat="1">
      <alignment horizontal="center" vertical="top" wrapText="1"/>
    </xf>
    <xf numFmtId="49" fontId="0" fillId="33" borderId="36" xfId="0" applyFont="1" applyFill="1" applyBorder="1" applyNumberFormat="1">
      <alignment vertical="top"/>
    </xf>
    <xf numFmtId="49" fontId="0" fillId="0" borderId="36" xfId="0" applyFont="1" applyBorder="1" applyNumberFormat="1">
      <alignment vertical="top"/>
    </xf>
    <xf numFmtId="49" fontId="0" fillId="38" borderId="36" xfId="0" applyFont="1" applyFill="1" applyBorder="1" applyNumberFormat="1">
      <alignment vertical="top"/>
      <protection locked="0"/>
    </xf>
    <xf numFmtId="49" fontId="0" fillId="38" borderId="17" xfId="0" applyFont="1" applyFill="1" applyBorder="1" applyNumberFormat="1">
      <alignment vertical="top"/>
      <protection locked="0"/>
    </xf>
    <xf numFmtId="49" fontId="0" fillId="38" borderId="23" xfId="0" applyFont="1" applyFill="1" applyBorder="1" applyNumberFormat="1">
      <alignment vertical="top"/>
      <protection locked="0"/>
    </xf>
    <xf numFmtId="49" fontId="11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25" fillId="0" borderId="0" xfId="0" applyFont="1" applyNumberFormat="1">
      <alignment horizontal="center" vertical="center" wrapText="1"/>
    </xf>
    <xf numFmtId="49" fontId="0" fillId="38"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6" borderId="15" xfId="0" applyFont="1" applyFill="1" applyBorder="1" applyNumberFormat="1">
      <alignment vertical="center"/>
    </xf>
    <xf numFmtId="49" fontId="0" fillId="0" borderId="36" xfId="0" applyFont="1" applyBorder="1" applyNumberFormat="1">
      <alignment horizontal="left" vertical="top"/>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0" fillId="39" borderId="36" xfId="0" applyFont="1" applyFill="1" applyBorder="1" applyNumberFormat="1">
      <alignment horizontal="left" vertical="center" wrapText="1"/>
      <protection locked="0"/>
    </xf>
    <xf numFmtId="49" fontId="0" fillId="0" borderId="0" xfId="0" applyFont="1" applyNumberFormat="1">
      <alignment vertical="top"/>
    </xf>
    <xf numFmtId="49" fontId="0" fillId="35"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7" xfId="0" applyFont="1" applyBorder="1" applyNumberFormat="1">
      <alignment vertical="center"/>
    </xf>
    <xf numFmtId="49" fontId="25" fillId="0" borderId="36" xfId="0" applyFont="1" applyBorder="1" applyNumberFormat="1">
      <alignment vertical="center" wrapText="1"/>
    </xf>
    <xf numFmtId="49" fontId="25" fillId="0" borderId="36" xfId="0" applyFont="1" applyBorder="1" applyNumberFormat="1">
      <alignment horizontal="center" vertical="center" wrapText="1"/>
    </xf>
    <xf numFmtId="49" fontId="25" fillId="0" borderId="19" xfId="0" applyFont="1" applyBorder="1" applyNumberFormat="1">
      <alignment vertical="center" wrapText="1"/>
    </xf>
    <xf numFmtId="49" fontId="25" fillId="0" borderId="0" xfId="0" applyFont="1" applyNumberFormat="1">
      <alignment vertical="center" wrapText="1"/>
    </xf>
    <xf numFmtId="49" fontId="25" fillId="0" borderId="0" xfId="0" applyFont="1" applyNumberFormat="1">
      <alignment horizontal="center" vertical="center" wrapText="1"/>
    </xf>
    <xf numFmtId="0" fontId="19" fillId="38" borderId="12" xfId="0" applyFont="1" applyFill="1" applyBorder="1" applyNumberFormat="1">
      <alignment horizontal="left" vertical="center" wrapText="1"/>
      <protection locked="0"/>
    </xf>
    <xf numFmtId="0" fontId="19" fillId="34" borderId="23" xfId="0" applyFont="1" applyFill="1" applyBorder="1" applyNumberFormat="1">
      <alignment horizontal="center" vertical="center" wrapText="1"/>
    </xf>
    <xf numFmtId="0" fontId="19" fillId="0" borderId="36" xfId="0" applyFont="1" applyBorder="1" applyNumberFormat="1">
      <alignment horizontal="left" vertical="top" wrapText="1"/>
    </xf>
    <xf numFmtId="0" fontId="0" fillId="0" borderId="13" xfId="0" applyFont="1" applyBorder="1" applyNumberFormat="1">
      <alignment horizontal="center" vertical="center" wrapText="1"/>
    </xf>
    <xf numFmtId="4" fontId="0" fillId="38" borderId="13" xfId="0" applyFont="1" applyFill="1" applyBorder="1" applyNumberFormat="1">
      <alignment horizontal="right" vertical="center" wrapText="1"/>
      <protection locked="0"/>
    </xf>
    <xf numFmtId="0" fontId="0" fillId="0" borderId="13" xfId="0" applyFont="1" applyBorder="1" applyNumberFormat="1">
      <alignment horizontal="center" vertical="center" wrapText="1"/>
    </xf>
    <xf numFmtId="0" fontId="19" fillId="39" borderId="12" xfId="0" applyFont="1" applyFill="1" applyBorder="1" applyNumberFormat="1">
      <alignment horizontal="left" vertical="center" wrapText="1"/>
    </xf>
    <xf numFmtId="49" fontId="0" fillId="34" borderId="17" xfId="0" applyFont="1" applyFill="1" applyBorder="1" applyNumberFormat="1">
      <alignment horizontal="center" vertical="center" wrapText="1"/>
    </xf>
    <xf numFmtId="0" fontId="0" fillId="0" borderId="23" xfId="0" applyFont="1" applyBorder="1" applyNumberFormat="1">
      <alignment horizontal="center" vertical="center" wrapText="1"/>
    </xf>
    <xf numFmtId="0" fontId="19" fillId="39" borderId="14" xfId="0" applyFont="1" applyFill="1" applyBorder="1" applyNumberFormat="1">
      <alignment horizontal="left" vertical="center" wrapText="1"/>
    </xf>
    <xf numFmtId="49" fontId="0" fillId="0" borderId="12" xfId="0" applyFont="1" applyBorder="1" applyNumberFormat="1">
      <alignment horizontal="center" vertical="center" wrapText="1"/>
    </xf>
    <xf numFmtId="49" fontId="34" fillId="53" borderId="0" xfId="0" applyFont="1" applyFill="1" applyNumberFormat="1">
      <alignment vertical="center" wrapText="1"/>
    </xf>
    <xf numFmtId="0" fontId="36" fillId="0" borderId="0" xfId="0" applyFont="1" applyNumberFormat="1">
      <alignment vertical="top" wrapText="1"/>
    </xf>
    <xf numFmtId="49" fontId="20" fillId="0" borderId="0" xfId="0" applyFont="1" applyNumberFormat="1">
      <alignment horizontal="center" vertical="top" wrapText="1"/>
    </xf>
    <xf numFmtId="49" fontId="19" fillId="0" borderId="0" xfId="0" applyFont="1" applyNumberFormat="1">
      <alignment horizontal="center" vertical="top" wrapText="1"/>
    </xf>
    <xf numFmtId="49" fontId="19" fillId="34" borderId="0" xfId="0" applyFont="1" applyFill="1" applyNumberFormat="1">
      <alignment horizontal="center" vertical="top" wrapText="1"/>
    </xf>
    <xf numFmtId="0" fontId="0" fillId="0" borderId="36"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left" vertical="center" wrapText="1"/>
    </xf>
    <xf numFmtId="0" fontId="19" fillId="0" borderId="12" xfId="0" applyFont="1" applyBorder="1" applyNumberFormat="1">
      <alignment horizontal="center" vertical="center" wrapText="1"/>
    </xf>
    <xf numFmtId="0" fontId="36" fillId="0" borderId="0" xfId="0" applyFont="1" applyNumberFormat="1">
      <alignment horizontal="center" vertical="center" wrapText="1"/>
    </xf>
    <xf numFmtId="0" fontId="36" fillId="0" borderId="12" xfId="0" applyFont="1" applyBorder="1" applyNumberFormat="1">
      <alignment horizontal="center" vertical="center" wrapText="1"/>
    </xf>
    <xf numFmtId="0" fontId="19" fillId="38" borderId="12" xfId="0" applyFont="1" applyFill="1" applyBorder="1" applyNumberFormat="1">
      <alignment horizontal="center" vertical="center" wrapText="1"/>
      <protection locked="0"/>
    </xf>
    <xf numFmtId="49" fontId="19" fillId="33" borderId="12" xfId="0" applyFont="1" applyFill="1" applyBorder="1" applyNumberFormat="1">
      <alignment horizontal="center" vertical="center" wrapText="1"/>
    </xf>
    <xf numFmtId="0" fontId="0" fillId="0" borderId="12" xfId="0" applyFont="1" applyBorder="1" applyNumberFormat="1">
      <alignment horizontal="left" vertical="top" wrapText="1"/>
    </xf>
    <xf numFmtId="14" fontId="19" fillId="39" borderId="12" xfId="0" applyFont="1" applyFill="1" applyBorder="1" applyNumberFormat="1">
      <alignment horizontal="left" vertical="center" wrapText="1" indent="1"/>
    </xf>
    <xf numFmtId="0" fontId="35" fillId="45" borderId="62" xfId="0" applyFont="1" applyFill="1" applyBorder="1" applyNumberFormat="1">
      <alignment horizontal="right" vertical="center" wrapText="1" indent="1"/>
    </xf>
    <xf numFmtId="0" fontId="35" fillId="45" borderId="65" xfId="0" applyFont="1" applyFill="1" applyBorder="1" applyNumberFormat="1">
      <alignment horizontal="right" vertical="center" wrapText="1" indent="1"/>
    </xf>
    <xf numFmtId="0" fontId="35" fillId="45" borderId="38" xfId="0" applyFont="1" applyFill="1" applyBorder="1" applyNumberFormat="1">
      <alignment horizontal="right" vertical="center" wrapText="1" indent="1"/>
    </xf>
    <xf numFmtId="0" fontId="35" fillId="45" borderId="0" xfId="0" applyFont="1" applyFill="1" applyNumberFormat="1">
      <alignment horizontal="right" vertical="center" wrapText="1" indent="1"/>
    </xf>
    <xf numFmtId="0" fontId="110" fillId="0" borderId="0" xfId="0" applyFont="1" applyNumberFormat="1">
      <alignment vertical="center" wrapText="1"/>
    </xf>
    <xf numFmtId="0" fontId="35" fillId="45" borderId="66" xfId="0" applyFont="1" applyFill="1" applyBorder="1" applyNumberFormat="1">
      <alignment horizontal="right" vertical="center" wrapText="1" indent="1"/>
    </xf>
    <xf numFmtId="0" fontId="35" fillId="45" borderId="64" xfId="0" applyFont="1" applyFill="1" applyBorder="1" applyNumberFormat="1">
      <alignment horizontal="right" vertical="center" wrapText="1" indent="1"/>
    </xf>
    <xf numFmtId="0" fontId="35" fillId="45" borderId="39" xfId="0" applyFont="1" applyFill="1" applyBorder="1" applyNumberFormat="1">
      <alignment horizontal="right" vertical="center" wrapText="1" indent="1"/>
    </xf>
    <xf numFmtId="0" fontId="110" fillId="0" borderId="0" xfId="0" applyFont="1" applyNumberFormat="1">
      <alignment vertical="top" wrapText="1"/>
    </xf>
    <xf numFmtId="49" fontId="56" fillId="0" borderId="0" xfId="0" applyFont="1" applyNumberFormat="1">
      <alignment vertical="top" wrapText="1"/>
    </xf>
    <xf numFmtId="0" fontId="92" fillId="0" borderId="0" xfId="0" applyFont="1" applyNumberFormat="1">
      <alignment vertical="center" wrapText="1"/>
    </xf>
    <xf numFmtId="0" fontId="92" fillId="0" borderId="0" xfId="0" applyFont="1" applyNumberFormat="1">
      <alignment vertical="center"/>
    </xf>
    <xf numFmtId="0" fontId="35" fillId="54" borderId="67" xfId="0" applyFont="1" applyFill="1" applyBorder="1" applyNumberFormat="1">
      <alignment horizontal="center" vertical="center" wrapText="1"/>
    </xf>
    <xf numFmtId="0" fontId="35" fillId="54" borderId="68" xfId="0" applyFont="1" applyFill="1" applyBorder="1" applyNumberFormat="1">
      <alignment horizontal="center" vertical="center" wrapText="1"/>
    </xf>
    <xf numFmtId="0" fontId="35" fillId="54" borderId="69" xfId="0" applyFont="1" applyFill="1" applyBorder="1" applyNumberFormat="1">
      <alignment horizontal="center" vertical="center" wrapText="1"/>
    </xf>
    <xf numFmtId="0" fontId="110" fillId="0" borderId="38" xfId="0" applyFont="1" applyBorder="1" applyNumberFormat="1">
      <alignment vertical="center" wrapText="1"/>
    </xf>
    <xf numFmtId="0" fontId="110" fillId="0" borderId="38" xfId="0" applyFont="1" applyBorder="1" applyNumberFormat="1">
      <alignment horizontal="left" vertical="center" wrapText="1"/>
    </xf>
    <xf numFmtId="0" fontId="110" fillId="0" borderId="0" xfId="0" applyFont="1" applyNumberFormat="1">
      <alignment horizontal="left" vertical="center" wrapText="1"/>
    </xf>
    <xf numFmtId="0" fontId="19" fillId="0" borderId="13" xfId="0" applyFont="1" applyBorder="1" applyNumberFormat="1">
      <alignment horizontal="center" vertical="center" wrapText="1"/>
    </xf>
    <xf numFmtId="0" fontId="19" fillId="0" borderId="14" xfId="0" applyFont="1" applyBorder="1" applyNumberFormat="1">
      <alignment horizontal="center" vertical="center" wrapText="1"/>
    </xf>
    <xf numFmtId="0" fontId="86" fillId="0" borderId="0" xfId="0" applyFont="1" applyNumberFormat="1">
      <alignment horizontal="left" vertical="center" wrapText="1"/>
    </xf>
    <xf numFmtId="14" fontId="83" fillId="0" borderId="12" xfId="0" applyFont="1" applyBorder="1" applyNumberFormat="1">
      <alignment horizontal="center" vertical="center" wrapText="1"/>
    </xf>
    <xf numFmtId="0" fontId="19" fillId="0" borderId="0" xfId="0" applyFont="1" applyNumberFormat="1">
      <alignment horizontal="center" vertical="center" wrapText="1"/>
    </xf>
    <xf numFmtId="0" fontId="19" fillId="0" borderId="15" xfId="0" applyFont="1" applyBorder="1" applyNumberFormat="1">
      <alignment horizontal="left" vertical="center" wrapText="1" indent="1"/>
    </xf>
    <xf numFmtId="0" fontId="19" fillId="0" borderId="14"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3" xfId="0" applyFont="1" applyBorder="1" applyNumberFormat="1">
      <alignment horizontal="center" vertical="center" wrapText="1"/>
    </xf>
    <xf numFmtId="4" fontId="19" fillId="0" borderId="12" xfId="0" applyFont="1" applyBorder="1" applyNumberFormat="1">
      <alignment horizontal="center" vertical="center" wrapText="1"/>
    </xf>
    <xf numFmtId="49" fontId="24" fillId="0" borderId="70" xfId="0" applyFont="1" applyBorder="1" applyNumberFormat="1">
      <alignment horizontal="center" vertical="center" wrapText="1"/>
    </xf>
    <xf numFmtId="49" fontId="24" fillId="0" borderId="71" xfId="0" applyFont="1" applyBorder="1" applyNumberFormat="1">
      <alignment horizontal="center" vertical="center" wrapText="1"/>
    </xf>
    <xf numFmtId="49" fontId="24" fillId="0" borderId="14" xfId="0" applyFont="1" applyBorder="1" applyNumberFormat="1">
      <alignment horizontal="center" vertical="center" wrapText="1"/>
    </xf>
    <xf numFmtId="49" fontId="24" fillId="0" borderId="13" xfId="0" applyFont="1" applyBorder="1" applyNumberFormat="1">
      <alignment horizontal="center"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19" fillId="0" borderId="29" xfId="0" applyFont="1" applyBorder="1" applyNumberFormat="1">
      <alignment horizontal="left" vertical="center" indent="1"/>
    </xf>
    <xf numFmtId="0" fontId="19" fillId="0" borderId="23" xfId="0" applyFont="1" applyBorder="1" applyNumberFormat="1">
      <alignment horizontal="left" vertical="center" indent="1"/>
    </xf>
    <xf numFmtId="0" fontId="19" fillId="0" borderId="30" xfId="0" applyFont="1" applyBorder="1" applyNumberFormat="1">
      <alignment horizontal="left" vertical="center" indent="1"/>
    </xf>
    <xf numFmtId="0" fontId="19" fillId="0" borderId="0" xfId="0" applyFont="1" applyNumberFormat="1">
      <alignment horizontal="center" vertical="center" wrapText="1"/>
    </xf>
    <xf numFmtId="0" fontId="19" fillId="41" borderId="0" xfId="0" applyFont="1" applyFill="1" applyNumberFormat="1">
      <alignment horizontal="center" vertical="center" wrapText="1"/>
    </xf>
    <xf numFmtId="0" fontId="19"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65" fillId="0" borderId="12" xfId="0" applyFont="1" applyBorder="1" applyNumberFormat="1">
      <alignment horizontal="center" vertical="center" wrapText="1"/>
    </xf>
    <xf numFmtId="0" fontId="19" fillId="0" borderId="72" xfId="0" applyFont="1" applyBorder="1" applyNumberFormat="1">
      <alignment horizontal="center" vertical="center" wrapText="1"/>
    </xf>
    <xf numFmtId="0" fontId="19" fillId="0" borderId="73" xfId="0" applyFont="1" applyBorder="1" applyNumberFormat="1">
      <alignment horizontal="center" vertical="center" wrapText="1"/>
    </xf>
    <xf numFmtId="0" fontId="19" fillId="39" borderId="17" xfId="0" applyFont="1" applyFill="1" applyBorder="1" applyNumberFormat="1">
      <alignment horizontal="left" vertical="center" wrapText="1" indent="1"/>
      <protection locked="0"/>
    </xf>
    <xf numFmtId="0" fontId="19" fillId="39" borderId="23" xfId="0" applyFont="1" applyFill="1" applyBorder="1" applyNumberFormat="1">
      <alignment horizontal="left" vertical="center" wrapText="1" indent="1"/>
      <protection locked="0"/>
    </xf>
    <xf numFmtId="49" fontId="19" fillId="39"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19" fillId="39" borderId="17" xfId="0" applyFont="1" applyFill="1" applyBorder="1" applyNumberFormat="1">
      <alignment horizontal="left" vertical="center" wrapText="1" indent="2"/>
    </xf>
    <xf numFmtId="0" fontId="19" fillId="39" borderId="36" xfId="0" applyFont="1" applyFill="1" applyBorder="1" applyNumberFormat="1">
      <alignment horizontal="left" vertical="center" wrapText="1" indent="2"/>
    </xf>
    <xf numFmtId="0" fontId="19" fillId="39" borderId="23" xfId="0" applyFont="1" applyFill="1" applyBorder="1" applyNumberFormat="1">
      <alignment horizontal="left" vertical="center" wrapText="1" indent="2"/>
    </xf>
    <xf numFmtId="49" fontId="19" fillId="39" borderId="23" xfId="0" applyFont="1" applyFill="1" applyBorder="1" applyNumberFormat="1">
      <alignment horizontal="center" vertical="center" wrapText="1"/>
    </xf>
    <xf numFmtId="14" fontId="71" fillId="0" borderId="74" xfId="0" applyFont="1" applyBorder="1" applyNumberFormat="1">
      <alignment horizontal="center" vertical="center" wrapText="1"/>
    </xf>
    <xf numFmtId="0" fontId="19" fillId="0" borderId="74" xfId="0" applyFont="1" applyBorder="1" applyNumberFormat="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0" fontId="19" fillId="0" borderId="12" xfId="0" applyFont="1" applyBorder="1" applyNumberFormat="1">
      <alignment horizontal="left" vertical="top" wrapText="1"/>
    </xf>
    <xf numFmtId="49" fontId="0" fillId="0" borderId="12" xfId="0" applyFont="1" applyBorder="1" applyNumberFormat="1">
      <alignment horizontal="left" vertical="top"/>
    </xf>
    <xf numFmtId="0" fontId="19" fillId="39" borderId="17" xfId="0" applyFont="1" applyFill="1" applyBorder="1" applyNumberFormat="1">
      <alignment horizontal="center" vertical="top" wrapText="1"/>
    </xf>
    <xf numFmtId="0" fontId="19" fillId="39" borderId="36" xfId="0" applyFont="1" applyFill="1" applyBorder="1" applyNumberFormat="1">
      <alignment horizontal="center" vertical="top" wrapText="1"/>
    </xf>
    <xf numFmtId="0" fontId="19" fillId="39" borderId="23"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0" fillId="0" borderId="0" xfId="0" applyFont="1" applyNumberFormat="1">
      <alignment horizontal="left" vertical="top"/>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19" fillId="0" borderId="17" xfId="0" applyFont="1" applyBorder="1" applyNumberFormat="1">
      <alignment horizontal="left" vertical="top" wrapText="1"/>
    </xf>
    <xf numFmtId="0" fontId="19" fillId="0" borderId="36" xfId="0" applyFont="1" applyBorder="1" applyNumberFormat="1">
      <alignment horizontal="left" vertical="top" wrapText="1"/>
    </xf>
    <xf numFmtId="0" fontId="19" fillId="0" borderId="23" xfId="0" applyFont="1" applyBorder="1" applyNumberFormat="1">
      <alignment horizontal="left" vertical="top" wrapText="1"/>
    </xf>
    <xf numFmtId="49" fontId="37" fillId="34" borderId="27" xfId="0" applyFont="1" applyFill="1" applyBorder="1" applyNumberFormat="1">
      <alignment horizontal="center" vertical="center" wrapText="1"/>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0" fontId="63" fillId="0" borderId="24" xfId="0" applyFont="1" applyBorder="1" applyNumberFormat="1">
      <alignment horizontal="left" vertical="center" wrapText="1" indent="1"/>
    </xf>
    <xf numFmtId="0" fontId="63" fillId="0" borderId="36" xfId="0" applyFont="1" applyBorder="1" applyNumberFormat="1">
      <alignment horizontal="left" vertical="center" wrapText="1" indent="1"/>
    </xf>
    <xf numFmtId="0" fontId="63" fillId="0" borderId="22" xfId="0" applyFont="1" applyBorder="1" applyNumberFormat="1">
      <alignment horizontal="left" vertical="center" wrapText="1" indent="1"/>
    </xf>
    <xf numFmtId="0" fontId="19" fillId="0" borderId="27" xfId="0" applyFont="1" applyBorder="1" applyNumberFormat="1">
      <alignment horizontal="left" vertical="center" indent="1"/>
    </xf>
    <xf numFmtId="0" fontId="0" fillId="0" borderId="12" xfId="0" applyFont="1" applyBorder="1" applyNumberFormat="1">
      <alignment horizontal="center" vertical="center" wrapText="1"/>
    </xf>
    <xf numFmtId="0" fontId="19" fillId="0" borderId="19" xfId="0" applyFont="1" applyBorder="1" applyNumberFormat="1">
      <alignment horizontal="left" vertical="center" wrapText="1" indent="1"/>
    </xf>
    <xf numFmtId="0" fontId="19"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24"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30" xfId="0" applyFont="1" applyBorder="1" applyNumberFormat="1">
      <alignment horizontal="center" vertical="center" wrapText="1"/>
    </xf>
    <xf numFmtId="0" fontId="19" fillId="0" borderId="29" xfId="0" applyFont="1" applyBorder="1" applyNumberFormat="1">
      <alignment horizontal="center" vertical="center" wrapText="1"/>
    </xf>
    <xf numFmtId="49" fontId="19" fillId="0" borderId="12" xfId="0" applyFont="1" applyBorder="1" applyNumberFormat="1">
      <alignment horizontal="center" vertical="center"/>
    </xf>
    <xf numFmtId="49" fontId="19" fillId="0" borderId="17" xfId="0" applyFont="1" applyBorder="1" applyNumberFormat="1">
      <alignment horizontal="center" vertical="center"/>
    </xf>
    <xf numFmtId="0" fontId="19" fillId="0" borderId="12" xfId="0" applyFont="1" applyBorder="1" applyNumberFormat="1">
      <alignment horizontal="left" vertical="center" wrapText="1"/>
    </xf>
    <xf numFmtId="0" fontId="19" fillId="0" borderId="17" xfId="0" applyFont="1" applyBorder="1" applyNumberFormat="1">
      <alignment horizontal="left" vertical="center" wrapText="1"/>
    </xf>
    <xf numFmtId="0" fontId="19" fillId="0" borderId="37" xfId="0" applyFont="1" applyBorder="1" applyNumberFormat="1">
      <alignment horizontal="left" vertical="center" wrapText="1"/>
    </xf>
    <xf numFmtId="49" fontId="19" fillId="39" borderId="17" xfId="0" applyFont="1" applyFill="1" applyBorder="1" applyNumberFormat="1">
      <alignment horizontal="center" vertical="center" wrapText="1"/>
    </xf>
    <xf numFmtId="49" fontId="19" fillId="39" borderId="36" xfId="0" applyFont="1" applyFill="1" applyBorder="1" applyNumberFormat="1">
      <alignment horizontal="center" vertical="center" wrapText="1"/>
    </xf>
    <xf numFmtId="0" fontId="19" fillId="0" borderId="19" xfId="0" applyFont="1" applyBorder="1" applyNumberFormat="1">
      <alignment horizontal="center" vertical="center"/>
    </xf>
    <xf numFmtId="0" fontId="19" fillId="0" borderId="0" xfId="0" applyFont="1" applyNumberFormat="1">
      <alignment horizontal="center" vertical="center"/>
    </xf>
    <xf numFmtId="0" fontId="29" fillId="0" borderId="27" xfId="0" applyFont="1" applyBorder="1" applyNumberFormat="1">
      <alignment horizontal="left" vertical="center"/>
    </xf>
    <xf numFmtId="0" fontId="29" fillId="0" borderId="29" xfId="0" applyFont="1" applyBorder="1" applyNumberFormat="1">
      <alignment horizontal="left" vertical="center"/>
    </xf>
    <xf numFmtId="0" fontId="29" fillId="0" borderId="0" xfId="0" applyFont="1" applyNumberFormat="1">
      <alignment horizontal="left" vertical="center"/>
    </xf>
    <xf numFmtId="0" fontId="29" fillId="0" borderId="24" xfId="0" applyFont="1" applyBorder="1" applyNumberFormat="1">
      <alignment horizontal="left" vertical="center"/>
    </xf>
    <xf numFmtId="0" fontId="19" fillId="0" borderId="14" xfId="0" applyFont="1" applyBorder="1" applyNumberFormat="1">
      <alignment horizontal="left" vertical="center" wrapText="1"/>
    </xf>
    <xf numFmtId="0" fontId="19" fillId="0" borderId="27" xfId="0" applyFont="1" applyBorder="1" applyNumberFormat="1">
      <alignment horizontal="left" vertical="center" wrapText="1" indent="1"/>
    </xf>
    <xf numFmtId="49" fontId="19" fillId="34" borderId="0" xfId="0" applyFont="1" applyFill="1" applyNumberFormat="1">
      <alignment horizontal="center" vertical="center" wrapText="1"/>
    </xf>
    <xf numFmtId="0" fontId="34" fillId="0" borderId="0" xfId="0" applyFont="1" applyNumberFormat="1">
      <alignment horizontal="right" vertical="top" wrapText="1"/>
    </xf>
    <xf numFmtId="49"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19" fillId="34" borderId="0" xfId="0" applyFont="1" applyFill="1" applyNumberFormat="1">
      <alignment horizontal="center" vertical="center" wrapText="1"/>
    </xf>
    <xf numFmtId="0" fontId="34" fillId="0" borderId="0" xfId="0" applyFont="1" applyNumberFormat="1">
      <alignment horizontal="left" vertical="top" wrapText="1" indent="1"/>
    </xf>
    <xf numFmtId="0" fontId="83" fillId="34" borderId="0" xfId="0" applyFont="1" applyFill="1" applyNumberFormat="1">
      <alignment horizontal="left" vertical="center" wrapText="1"/>
    </xf>
    <xf numFmtId="0" fontId="0"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19" fillId="34" borderId="17" xfId="0" applyFont="1" applyFill="1" applyBorder="1" applyNumberFormat="1">
      <alignment horizontal="left" vertical="top" wrapText="1"/>
    </xf>
    <xf numFmtId="0" fontId="19" fillId="34" borderId="36" xfId="0" applyFont="1" applyFill="1" applyBorder="1" applyNumberFormat="1">
      <alignment horizontal="left" vertical="top" wrapText="1"/>
    </xf>
    <xf numFmtId="0" fontId="19" fillId="34" borderId="23" xfId="0" applyFont="1" applyFill="1" applyBorder="1" applyNumberFormat="1">
      <alignment horizontal="left" vertical="top"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36" fillId="0" borderId="0" xfId="0" applyFont="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19" fillId="0" borderId="19" xfId="0" applyFont="1" applyBorder="1" applyNumberFormat="1">
      <alignment horizontal="left" vertical="top" wrapText="1" inden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19" fillId="39" borderId="19" xfId="0" applyFont="1" applyFill="1" applyBorder="1" applyNumberFormat="1">
      <alignment horizontal="left" vertical="center" wrapText="1"/>
    </xf>
    <xf numFmtId="0" fontId="19" fillId="39" borderId="27" xfId="0" applyFont="1" applyFill="1" applyBorder="1" applyNumberFormat="1">
      <alignment horizontal="left" vertical="center" wrapText="1"/>
    </xf>
    <xf numFmtId="0" fontId="19" fillId="0" borderId="23" xfId="0" applyFont="1" applyBorder="1" applyNumberFormat="1">
      <alignment horizontal="center"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0" fillId="0" borderId="36" xfId="0" applyFont="1" applyBorder="1" applyNumberFormat="1">
      <alignment horizontal="left" vertical="top" wrapText="1"/>
    </xf>
    <xf numFmtId="0" fontId="19" fillId="39" borderId="14" xfId="0" applyFont="1" applyFill="1" applyBorder="1" applyNumberFormat="1">
      <alignment horizontal="left" vertical="center" wrapText="1"/>
    </xf>
    <xf numFmtId="0" fontId="19" fillId="39" borderId="15" xfId="0" applyFont="1" applyFill="1" applyBorder="1" applyNumberFormat="1">
      <alignment horizontal="left" vertical="center" wrapText="1"/>
    </xf>
    <xf numFmtId="0" fontId="19" fillId="39" borderId="13" xfId="0" applyFont="1" applyFill="1" applyBorder="1" applyNumberFormat="1">
      <alignment horizontal="left" vertical="center" wrapText="1"/>
    </xf>
    <xf numFmtId="0" fontId="0" fillId="34" borderId="12" xfId="0" applyFont="1" applyFill="1" applyBorder="1" applyNumberFormat="1">
      <alignment horizontal="right" vertical="center" wrapText="1" indent="1"/>
    </xf>
    <xf numFmtId="174" fontId="19" fillId="33" borderId="12" xfId="0" applyFont="1" applyFill="1" applyBorder="1" applyNumberFormat="1">
      <alignment horizontal="left" vertical="center" wrapText="1" indent="1"/>
    </xf>
    <xf numFmtId="0" fontId="19" fillId="33" borderId="12" xfId="0" applyFont="1" applyFill="1" applyBorder="1" applyNumberFormat="1">
      <alignment horizontal="left" vertical="center" wrapText="1" indent="1"/>
    </xf>
    <xf numFmtId="0" fontId="19" fillId="33" borderId="14" xfId="0" applyFont="1" applyFill="1" applyBorder="1" applyNumberFormat="1">
      <alignment horizontal="left" vertical="center" wrapText="1"/>
    </xf>
    <xf numFmtId="0" fontId="19" fillId="33" borderId="15" xfId="0" applyFont="1" applyFill="1" applyBorder="1" applyNumberFormat="1">
      <alignment horizontal="left" vertical="center" wrapText="1"/>
    </xf>
    <xf numFmtId="0" fontId="19" fillId="33" borderId="13" xfId="0" applyFont="1" applyFill="1" applyBorder="1" applyNumberFormat="1">
      <alignment horizontal="left" vertical="center" wrapText="1"/>
    </xf>
    <xf numFmtId="49" fontId="36" fillId="0" borderId="12" xfId="0" applyFont="1" applyBorder="1" applyNumberFormat="1">
      <alignment horizontal="center" vertical="center" wrapText="1"/>
    </xf>
    <xf numFmtId="174" fontId="36" fillId="0" borderId="12" xfId="0" applyFont="1" applyBorder="1" applyNumberFormat="1">
      <alignment horizontal="center" vertical="center" wrapText="1"/>
    </xf>
    <xf numFmtId="0" fontId="19" fillId="0" borderId="0" xfId="0" applyFont="1" applyNumberFormat="1">
      <alignment horizontal="left" vertical="top" wrapText="1"/>
    </xf>
    <xf numFmtId="0" fontId="36" fillId="0" borderId="12" xfId="0" applyFont="1" applyBorder="1" applyNumberFormat="1">
      <alignment horizontal="center" vertical="center"/>
    </xf>
    <xf numFmtId="0" fontId="36" fillId="0" borderId="14" xfId="0" applyFont="1" applyBorder="1" applyNumberFormat="1">
      <alignment horizontal="center" vertical="center"/>
    </xf>
    <xf numFmtId="0" fontId="36" fillId="0" borderId="12" xfId="0" applyFont="1" applyBorder="1" applyNumberFormat="1">
      <alignment horizontal="center" vertical="center" wrapText="1"/>
    </xf>
    <xf numFmtId="0" fontId="36" fillId="0" borderId="14" xfId="0" applyFont="1" applyBorder="1" applyNumberFormat="1">
      <alignment horizontal="center" vertical="center" wrapText="1"/>
    </xf>
    <xf numFmtId="0" fontId="37" fillId="0" borderId="0" xfId="0" applyFont="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174" fontId="0" fillId="38" borderId="17" xfId="0" applyFont="1" applyFill="1" applyBorder="1" applyNumberFormat="1">
      <alignment horizontal="center" vertical="center" wrapText="1"/>
      <protection locked="0"/>
    </xf>
    <xf numFmtId="49" fontId="0" fillId="38" borderId="23" xfId="0" applyFont="1" applyFill="1" applyBorder="1" applyNumberFormat="1">
      <alignment horizontal="center" vertical="center" wrapText="1"/>
      <protection locked="0"/>
    </xf>
    <xf numFmtId="0" fontId="36" fillId="0" borderId="17" xfId="0" applyFont="1" applyBorder="1" applyNumberFormat="1">
      <alignment horizontal="center" vertical="center" wrapText="1"/>
    </xf>
    <xf numFmtId="0" fontId="36" fillId="0" borderId="23"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3"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25" fillId="0" borderId="27" xfId="0" applyFont="1" applyBorder="1" applyNumberFormat="1">
      <alignment horizontal="center" vertical="center" wrapText="1"/>
    </xf>
    <xf numFmtId="0" fontId="19" fillId="34" borderId="12" xfId="0" applyFont="1" applyFill="1" applyBorder="1" applyNumberFormat="1">
      <alignment horizontal="lef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0" fontId="19" fillId="34" borderId="36" xfId="0" applyFont="1" applyFill="1" applyBorder="1" applyNumberFormat="1">
      <alignment horizontal="center" vertical="center" wrapText="1"/>
    </xf>
    <xf numFmtId="0" fontId="19" fillId="34" borderId="23" xfId="0" applyFont="1" applyFill="1" applyBorder="1" applyNumberFormat="1">
      <alignment horizontal="center" vertical="center" wrapText="1"/>
    </xf>
    <xf numFmtId="49" fontId="29" fillId="36" borderId="17" xfId="0" applyFont="1" applyFill="1" applyBorder="1" applyNumberFormat="1">
      <alignment horizontal="center" vertical="center" textRotation="90" wrapText="1"/>
    </xf>
    <xf numFmtId="49" fontId="29" fillId="36" borderId="36" xfId="0" applyFont="1" applyFill="1" applyBorder="1" applyNumberFormat="1">
      <alignment horizontal="center" vertical="center" textRotation="90" wrapText="1"/>
    </xf>
    <xf numFmtId="49" fontId="29" fillId="36" borderId="23" xfId="0" applyFont="1" applyFill="1" applyBorder="1" applyNumberFormat="1">
      <alignment horizontal="center" vertical="center" textRotation="90" wrapText="1"/>
    </xf>
    <xf numFmtId="0" fontId="19" fillId="0" borderId="17" xfId="0" applyFont="1" applyBorder="1" applyNumberFormat="1">
      <alignment horizontal="center" vertical="center" wrapText="1"/>
    </xf>
    <xf numFmtId="0" fontId="19" fillId="0" borderId="23" xfId="0" applyFont="1" applyBorder="1" applyNumberFormat="1">
      <alignment horizontal="center" vertical="center" wrapText="1"/>
    </xf>
    <xf numFmtId="0" fontId="34" fillId="0" borderId="17" xfId="0" applyFont="1" applyBorder="1" applyNumberFormat="1">
      <alignment horizontal="left" vertical="top" wrapText="1"/>
    </xf>
    <xf numFmtId="0" fontId="34" fillId="0" borderId="36" xfId="0" applyFont="1" applyBorder="1" applyNumberFormat="1">
      <alignment horizontal="left" vertical="top" wrapText="1"/>
    </xf>
    <xf numFmtId="0" fontId="34" fillId="0" borderId="23" xfId="0" applyFont="1" applyBorder="1" applyNumberFormat="1">
      <alignment horizontal="left" vertical="top" wrapText="1"/>
    </xf>
    <xf numFmtId="0" fontId="19" fillId="0" borderId="19" xfId="0" applyFont="1" applyBorder="1" applyNumberFormat="1">
      <alignment horizontal="left" vertical="top" wrapText="1" indent="1"/>
    </xf>
    <xf numFmtId="0" fontId="19" fillId="0" borderId="27" xfId="0" applyFont="1" applyBorder="1" applyNumberFormat="1">
      <alignment horizontal="left" vertical="center" wrapText="1" indent="1"/>
    </xf>
    <xf numFmtId="0" fontId="37" fillId="0" borderId="17" xfId="0" applyFont="1" applyBorder="1" applyNumberFormat="1">
      <alignment horizontal="center" vertical="center" wrapText="1"/>
    </xf>
    <xf numFmtId="0" fontId="37" fillId="0" borderId="23"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30" xfId="0" applyFont="1" applyBorder="1" applyNumberFormat="1">
      <alignment horizontal="center" vertical="center" wrapText="1"/>
    </xf>
    <xf numFmtId="0" fontId="0" fillId="34" borderId="19" xfId="0" applyFont="1" applyFill="1" applyBorder="1" applyNumberFormat="1">
      <alignment horizontal="center" vertical="center" wrapText="1"/>
    </xf>
    <xf numFmtId="0" fontId="37" fillId="0" borderId="14" xfId="0" applyFont="1" applyBorder="1" applyNumberFormat="1">
      <alignment horizontal="left" vertical="center" wrapText="1"/>
    </xf>
    <xf numFmtId="0" fontId="37" fillId="0" borderId="15" xfId="0" applyFont="1" applyBorder="1" applyNumberFormat="1">
      <alignment horizontal="left" vertical="center" wrapText="1"/>
    </xf>
    <xf numFmtId="0" fontId="37" fillId="0" borderId="13" xfId="0" applyFont="1" applyBorder="1" applyNumberFormat="1">
      <alignment horizontal="left" vertical="center" wrapText="1"/>
    </xf>
    <xf numFmtId="0" fontId="0" fillId="0" borderId="0" xfId="0" applyFont="1" applyNumberFormat="1">
      <alignment horizontal="left" vertical="top" wrapText="1"/>
    </xf>
    <xf numFmtId="0" fontId="19" fillId="0" borderId="19" xfId="0" applyFont="1" applyBorder="1" applyNumberFormat="1">
      <alignment horizontal="left" vertical="center" wrapText="1" indent="1"/>
    </xf>
    <xf numFmtId="49" fontId="0" fillId="38" borderId="12" xfId="0" applyFont="1" applyFill="1" applyBorder="1" applyNumberFormat="1">
      <alignment horizontal="center" vertical="center" wrapText="1"/>
      <protection locked="0"/>
    </xf>
    <xf numFmtId="0" fontId="19"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19" fillId="0" borderId="19"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7" xfId="0" applyFont="1" applyBorder="1" applyNumberFormat="1">
      <alignment horizontal="center" vertical="center" wrapText="1"/>
    </xf>
    <xf numFmtId="0" fontId="19" fillId="0" borderId="29"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12" xfId="0" applyFont="1" applyBorder="1" applyNumberFormat="1">
      <alignment horizontal="center" vertical="center"/>
    </xf>
    <xf numFmtId="0" fontId="19" fillId="0" borderId="14" xfId="0" applyFont="1" applyBorder="1" applyNumberFormat="1">
      <alignment horizontal="center" vertical="center"/>
    </xf>
    <xf numFmtId="0" fontId="19" fillId="0" borderId="12" xfId="0" applyFont="1" applyBorder="1" applyNumberFormat="1">
      <alignment horizontal="center" vertical="center"/>
    </xf>
    <xf numFmtId="0" fontId="19" fillId="0" borderId="14" xfId="0" applyFont="1" applyBorder="1" applyNumberFormat="1">
      <alignment horizontal="center" vertical="center"/>
    </xf>
    <xf numFmtId="0" fontId="19" fillId="39" borderId="20" xfId="0" applyFont="1" applyFill="1" applyBorder="1" applyNumberFormat="1">
      <alignment horizontal="left" vertical="center" wrapText="1"/>
    </xf>
    <xf numFmtId="49" fontId="19" fillId="0" borderId="12" xfId="0" applyFont="1" applyBorder="1" applyNumberFormat="1">
      <alignment horizontal="left" vertical="center" wrapText="1" inden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30"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9" xfId="0" applyFont="1" applyFill="1" applyBorder="1" applyNumberFormat="1">
      <alignment horizontal="center" vertical="center" wrapText="1"/>
    </xf>
    <xf numFmtId="0" fontId="25" fillId="0" borderId="12" xfId="0" applyFont="1" applyBorder="1" applyNumberFormat="1">
      <alignment horizontal="center" vertical="center" wrapText="1"/>
    </xf>
    <xf numFmtId="49" fontId="19" fillId="38" borderId="17" xfId="0" applyFont="1" applyFill="1" applyBorder="1" applyNumberFormat="1">
      <alignment horizontal="left" vertical="center" wrapText="1" indent="6"/>
      <protection locked="0"/>
    </xf>
    <xf numFmtId="49" fontId="19" fillId="38" borderId="36" xfId="0" applyFont="1" applyFill="1" applyBorder="1" applyNumberFormat="1">
      <alignment horizontal="left" vertical="center" wrapText="1" indent="6"/>
      <protection locked="0"/>
    </xf>
    <xf numFmtId="49" fontId="19" fillId="38" borderId="23" xfId="0" applyFont="1" applyFill="1" applyBorder="1" applyNumberFormat="1">
      <alignment horizontal="left" vertical="center" wrapText="1" indent="6"/>
      <protection locked="0"/>
    </xf>
    <xf numFmtId="0" fontId="19" fillId="34" borderId="17" xfId="0" applyFont="1" applyFill="1" applyBorder="1" applyNumberFormat="1">
      <alignment horizontal="left" vertical="center" wrapText="1"/>
    </xf>
    <xf numFmtId="0" fontId="19" fillId="34" borderId="36" xfId="0" applyFont="1" applyFill="1" applyBorder="1" applyNumberFormat="1">
      <alignment horizontal="left" vertical="center" wrapText="1"/>
    </xf>
    <xf numFmtId="0" fontId="19" fillId="34" borderId="23" xfId="0" applyFont="1" applyFill="1" applyBorder="1" applyNumberFormat="1">
      <alignment horizontal="left" vertical="center" wrapText="1"/>
    </xf>
    <xf numFmtId="0" fontId="37" fillId="0" borderId="24" xfId="0" applyFont="1" applyBorder="1" applyNumberFormat="1">
      <alignment horizontal="center" vertical="top" wrapText="1"/>
    </xf>
    <xf numFmtId="0" fontId="0" fillId="34" borderId="24"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19" fillId="38" borderId="12" xfId="0" applyFont="1" applyFill="1" applyBorder="1" applyNumberFormat="1">
      <alignment horizontal="center" vertical="center" wrapText="1"/>
      <protection locked="0"/>
    </xf>
    <xf numFmtId="49" fontId="19" fillId="39" borderId="12" xfId="0" applyFont="1" applyFill="1" applyBorder="1" applyNumberFormat="1">
      <alignment horizontal="left" vertical="center" wrapText="1" indent="1"/>
    </xf>
    <xf numFmtId="0" fontId="19" fillId="35" borderId="14" xfId="0" applyFont="1" applyFill="1" applyBorder="1" applyNumberFormat="1">
      <alignment horizontal="left" vertical="center" wrapText="1"/>
      <protection locked="0"/>
    </xf>
    <xf numFmtId="0" fontId="19" fillId="35" borderId="15" xfId="0" applyFont="1" applyFill="1" applyBorder="1" applyNumberFormat="1">
      <alignment horizontal="left" vertical="center" wrapText="1"/>
      <protection locked="0"/>
    </xf>
    <xf numFmtId="0" fontId="19" fillId="35" borderId="13" xfId="0" applyFont="1" applyFill="1" applyBorder="1" applyNumberFormat="1">
      <alignment horizontal="left" vertical="center" wrapText="1"/>
      <protection locked="0"/>
    </xf>
    <xf numFmtId="49" fontId="19" fillId="35" borderId="14" xfId="0" applyFont="1" applyFill="1" applyBorder="1" applyNumberFormat="1">
      <alignment horizontal="left" vertical="center" wrapText="1"/>
      <protection locked="0"/>
    </xf>
    <xf numFmtId="49" fontId="19" fillId="35" borderId="15" xfId="0" applyFont="1" applyFill="1" applyBorder="1" applyNumberFormat="1">
      <alignment horizontal="left" vertical="center" wrapText="1"/>
      <protection locked="0"/>
    </xf>
    <xf numFmtId="49" fontId="19" fillId="35" borderId="13" xfId="0" applyFont="1" applyFill="1" applyBorder="1" applyNumberFormat="1">
      <alignment horizontal="left" vertical="center" wrapText="1"/>
      <protection locked="0"/>
    </xf>
    <xf numFmtId="0" fontId="34" fillId="0" borderId="12" xfId="0" applyFont="1" applyBorder="1" applyNumberFormat="1">
      <alignment horizontal="left" vertical="top" wrapText="1"/>
    </xf>
    <xf numFmtId="49" fontId="19" fillId="39" borderId="12" xfId="0" applyFont="1" applyFill="1" applyBorder="1" applyNumberFormat="1">
      <alignment horizontal="left" vertical="center" wrapText="1" indent="1"/>
      <protection locked="0"/>
    </xf>
    <xf numFmtId="4" fontId="19" fillId="38" borderId="12" xfId="0" applyFont="1" applyFill="1" applyBorder="1" applyNumberFormat="1">
      <alignment horizontal="left" vertical="center" wrapText="1" indent="1"/>
      <protection locked="0"/>
    </xf>
    <xf numFmtId="49" fontId="19" fillId="35" borderId="17" xfId="0" applyFont="1" applyFill="1" applyBorder="1" applyNumberFormat="1">
      <alignment horizontal="left" vertical="center" wrapText="1" indent="6"/>
      <protection locked="0"/>
    </xf>
    <xf numFmtId="49" fontId="19" fillId="35" borderId="36" xfId="0" applyFont="1" applyFill="1" applyBorder="1" applyNumberFormat="1">
      <alignment horizontal="left" vertical="center" wrapText="1" indent="6"/>
      <protection locked="0"/>
    </xf>
    <xf numFmtId="49" fontId="19" fillId="35" borderId="23" xfId="0" applyFont="1" applyFill="1" applyBorder="1" applyNumberFormat="1">
      <alignment horizontal="left" vertical="center" wrapText="1" indent="6"/>
      <protection locked="0"/>
    </xf>
    <xf numFmtId="4" fontId="19" fillId="38" borderId="12" xfId="0" applyFont="1" applyFill="1" applyBorder="1" applyNumberFormat="1">
      <alignment horizontal="center" vertical="center" wrapText="1"/>
      <protection locked="0"/>
    </xf>
    <xf numFmtId="49" fontId="19" fillId="39" borderId="20" xfId="0" applyFont="1" applyFill="1" applyBorder="1" applyNumberFormat="1">
      <alignment horizontal="center" vertical="center" wrapText="1"/>
    </xf>
    <xf numFmtId="49" fontId="19" fillId="39" borderId="29" xfId="0" applyFont="1" applyFill="1" applyBorder="1" applyNumberFormat="1">
      <alignment horizontal="center" vertical="center" wrapText="1"/>
    </xf>
    <xf numFmtId="0" fontId="37" fillId="0" borderId="19" xfId="0" applyFont="1" applyBorder="1" applyNumberFormat="1">
      <alignment horizontal="left" vertical="center" wrapText="1"/>
    </xf>
    <xf numFmtId="49" fontId="81" fillId="45" borderId="0" xfId="0" applyFont="1" applyFill="1" applyNumberFormat="1">
      <alignment horizontal="center" vertical="center" textRotation="90" wrapText="1"/>
    </xf>
    <xf numFmtId="0" fontId="63" fillId="0" borderId="0" xfId="0" applyFont="1" applyNumberFormat="1">
      <alignment horizontal="center" vertical="center" wrapText="1"/>
    </xf>
    <xf numFmtId="49" fontId="81" fillId="45" borderId="0" xfId="0" applyFont="1" applyFill="1" applyNumberFormat="1">
      <alignment horizontal="center" vertical="center" textRotation="90" wrapText="1"/>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19" fillId="0" borderId="14" xfId="0" applyFont="1" applyBorder="1" applyNumberFormat="1">
      <alignment horizontal="right" vertical="center" wrapText="1"/>
    </xf>
    <xf numFmtId="0" fontId="19" fillId="0" borderId="15" xfId="0" applyFont="1" applyBorder="1" applyNumberFormat="1">
      <alignment horizontal="right" vertical="center" wrapText="1"/>
    </xf>
    <xf numFmtId="49" fontId="37" fillId="0" borderId="17" xfId="0" applyFont="1" applyBorder="1" applyNumberFormat="1">
      <alignment horizontal="center" vertical="center" wrapText="1"/>
    </xf>
    <xf numFmtId="49" fontId="37" fillId="0" borderId="36" xfId="0" applyFont="1" applyBorder="1" applyNumberFormat="1">
      <alignment horizontal="center" vertical="center" wrapText="1"/>
    </xf>
    <xf numFmtId="49" fontId="37" fillId="0" borderId="23" xfId="0" applyFont="1" applyBorder="1" applyNumberFormat="1">
      <alignment horizontal="center" vertical="center" wrapText="1"/>
    </xf>
    <xf numFmtId="0" fontId="0" fillId="33" borderId="12" xfId="0" applyFont="1" applyFill="1" applyBorder="1" applyNumberFormat="1">
      <alignment horizontal="left" vertical="center" wrapText="1" indent="1"/>
    </xf>
    <xf numFmtId="0" fontId="34" fillId="0" borderId="0" xfId="0" applyFont="1" applyNumberFormat="1">
      <alignment horizontal="left" vertical="top" wrapText="1"/>
    </xf>
    <xf numFmtId="0" fontId="19" fillId="0" borderId="23" xfId="0" applyFont="1" applyBorder="1" applyNumberFormat="1">
      <alignment horizontal="left" vertical="center" wrapText="1"/>
    </xf>
    <xf numFmtId="0" fontId="37" fillId="0" borderId="0" xfId="0" applyFont="1" applyNumberFormat="1">
      <alignment horizontal="center" vertical="center" wrapText="1"/>
    </xf>
    <xf numFmtId="0" fontId="36" fillId="0" borderId="0" xfId="0" applyFont="1" applyNumberFormat="1">
      <alignment horizontal="center" vertical="top"/>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37" fillId="0" borderId="15" xfId="0" applyFont="1" applyBorder="1" applyNumberFormat="1">
      <alignment horizontal="right" vertical="center" wrapText="1" indent="1"/>
    </xf>
    <xf numFmtId="0" fontId="37" fillId="0" borderId="13" xfId="0" applyFont="1" applyBorder="1" applyNumberFormat="1">
      <alignment horizontal="right" vertical="center" wrapText="1" indent="1"/>
    </xf>
    <xf numFmtId="0" fontId="19" fillId="33" borderId="14" xfId="0" applyFont="1" applyFill="1" applyBorder="1" applyNumberFormat="1">
      <alignment horizontal="left" vertical="top" wrapText="1"/>
    </xf>
    <xf numFmtId="0" fontId="19" fillId="33" borderId="13" xfId="0" applyFont="1" applyFill="1" applyBorder="1" applyNumberFormat="1">
      <alignment horizontal="left" vertical="top" wrapText="1"/>
    </xf>
    <xf numFmtId="49" fontId="19" fillId="55" borderId="0" xfId="0" applyFont="1" applyFill="1" applyNumberFormat="1">
      <alignment horizontal="center" vertical="center" textRotation="90" wrapText="1"/>
    </xf>
    <xf numFmtId="0" fontId="19" fillId="0" borderId="0" xfId="0" applyFont="1" applyNumberFormat="1">
      <alignment horizontal="left" vertical="top" wrapText="1"/>
    </xf>
    <xf numFmtId="49" fontId="19" fillId="0" borderId="0" xfId="0" applyFont="1" applyNumberFormat="1">
      <alignment vertical="center" wrapText="1"/>
    </xf>
    <xf numFmtId="0" fontId="25" fillId="0" borderId="24" xfId="0" applyFont="1" applyBorder="1" applyNumberFormat="1">
      <alignment horizontal="center" vertical="center" wrapText="1"/>
    </xf>
    <xf numFmtId="0" fontId="19" fillId="33" borderId="14" xfId="0" applyFont="1" applyFill="1" applyBorder="1" applyNumberFormat="1">
      <alignment horizontal="left" vertical="top" wrapText="1" indent="1"/>
    </xf>
    <xf numFmtId="0" fontId="19" fillId="33" borderId="13" xfId="0" applyFont="1" applyFill="1" applyBorder="1" applyNumberFormat="1">
      <alignment horizontal="left" vertical="top" wrapText="1" indent="1"/>
    </xf>
    <xf numFmtId="49" fontId="0" fillId="0" borderId="12" xfId="0" applyFont="1" applyBorder="1" applyNumberFormat="1">
      <alignment horizontal="center" vertical="center" wrapText="1"/>
    </xf>
    <xf numFmtId="49" fontId="19" fillId="0" borderId="14" xfId="0" applyFont="1" applyBorder="1" applyNumberFormat="1">
      <alignment horizontal="center" vertical="center" wrapText="1"/>
    </xf>
    <xf numFmtId="49" fontId="37"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0" borderId="12" xfId="0" applyFont="1" applyBorder="1" applyNumberFormat="1">
      <alignment horizontal="center" vertical="center" wrapText="1"/>
    </xf>
    <xf numFmtId="0" fontId="19" fillId="0" borderId="0" xfId="0" applyFont="1" applyNumberFormat="1">
      <alignment horizontal="left" vertical="center" wrapText="1"/>
    </xf>
    <xf numFmtId="0" fontId="19" fillId="34" borderId="12"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0"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0" borderId="62" xfId="0" applyFont="1" applyBorder="1" applyNumberFormat="1">
      <alignment horizontal="center" vertical="center"/>
    </xf>
    <xf numFmtId="0" fontId="19" fillId="0" borderId="63" xfId="0" applyFont="1" applyBorder="1" applyNumberFormat="1">
      <alignment horizontal="center" vertical="center"/>
    </xf>
    <xf numFmtId="0" fontId="19" fillId="0" borderId="65" xfId="0" applyFont="1" applyBorder="1" applyNumberFormat="1">
      <alignment horizontal="center" vertical="center"/>
    </xf>
    <xf numFmtId="0" fontId="19" fillId="0" borderId="75" xfId="0" applyFont="1" applyBorder="1" applyNumberFormat="1">
      <alignment horizontal="center" vertical="center"/>
    </xf>
    <xf numFmtId="0" fontId="19"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12" xfId="0" applyFont="1" applyBorder="1" applyNumberFormat="1">
      <alignment horizontal="center" vertical="center"/>
    </xf>
    <xf numFmtId="0" fontId="19" fillId="34" borderId="2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34" borderId="14" xfId="0" applyFont="1" applyFill="1" applyBorder="1" applyNumberFormat="1">
      <alignment horizontal="center" vertical="center" wrapText="1"/>
    </xf>
    <xf numFmtId="0" fontId="19" fillId="34" borderId="13" xfId="0" applyFont="1" applyFill="1" applyBorder="1" applyNumberFormat="1">
      <alignment horizontal="center" vertical="center" wrapText="1"/>
    </xf>
    <xf numFmtId="0" fontId="19" fillId="40" borderId="12" xfId="0" applyFont="1" applyFill="1" applyBorder="1" applyNumberFormat="1">
      <alignment horizontal="center" vertical="center" wrapText="1"/>
    </xf>
    <xf numFmtId="0" fontId="19" fillId="40" borderId="14" xfId="0" applyFont="1" applyFill="1" applyBorder="1" applyNumberFormat="1">
      <alignment horizontal="center" vertical="center" wrapText="1"/>
    </xf>
    <xf numFmtId="0" fontId="19" fillId="34" borderId="15" xfId="0" applyFont="1" applyFill="1" applyBorder="1" applyNumberFormat="1">
      <alignment horizontal="center" vertical="center" wrapText="1"/>
    </xf>
    <xf numFmtId="49" fontId="19" fillId="50" borderId="14" xfId="0" applyFont="1" applyFill="1" applyBorder="1" applyNumberFormat="1">
      <alignment horizontal="center" vertical="center" wrapText="1"/>
    </xf>
    <xf numFmtId="49" fontId="19" fillId="50" borderId="15" xfId="0" applyFont="1" applyFill="1" applyBorder="1" applyNumberFormat="1">
      <alignment horizontal="center" vertical="center" wrapText="1"/>
    </xf>
    <xf numFmtId="49" fontId="19" fillId="40" borderId="19" xfId="0" applyFont="1" applyFill="1" applyBorder="1" applyNumberFormat="1">
      <alignment horizontal="center" vertical="center" wrapText="1"/>
    </xf>
    <xf numFmtId="49" fontId="19" fillId="40" borderId="0" xfId="0" applyFont="1" applyFill="1" applyNumberFormat="1">
      <alignment horizontal="center" vertical="center" wrapText="1"/>
    </xf>
    <xf numFmtId="49" fontId="19" fillId="40" borderId="27" xfId="0" applyFont="1" applyFill="1" applyBorder="1" applyNumberFormat="1">
      <alignment horizontal="center" vertical="center" wrapText="1"/>
    </xf>
    <xf numFmtId="0" fontId="19" fillId="40" borderId="13" xfId="0" applyFont="1" applyFill="1" applyBorder="1" applyNumberFormat="1">
      <alignment horizontal="center" vertical="center" wrapText="1"/>
    </xf>
    <xf numFmtId="0" fontId="19" fillId="48" borderId="14" xfId="0" applyFont="1" applyFill="1" applyBorder="1" applyNumberFormat="1">
      <alignment horizontal="center" vertical="center" wrapText="1"/>
    </xf>
    <xf numFmtId="0" fontId="19" fillId="48" borderId="15" xfId="0" applyFont="1" applyFill="1" applyBorder="1" applyNumberFormat="1">
      <alignment horizontal="center" vertical="center" wrapText="1"/>
    </xf>
    <xf numFmtId="0" fontId="19" fillId="48" borderId="13" xfId="0" applyFont="1" applyFill="1" applyBorder="1" applyNumberFormat="1">
      <alignment horizontal="center" vertical="center" wrapText="1"/>
    </xf>
    <xf numFmtId="49" fontId="36" fillId="46" borderId="14" xfId="0" applyFont="1" applyFill="1" applyBorder="1" applyNumberFormat="1">
      <alignment horizontal="center" vertical="center" wrapText="1"/>
    </xf>
    <xf numFmtId="49" fontId="36" fillId="46" borderId="15" xfId="0" applyFont="1" applyFill="1" applyBorder="1" applyNumberFormat="1">
      <alignment horizontal="center" vertical="center" wrapText="1"/>
    </xf>
    <xf numFmtId="49" fontId="36" fillId="46" borderId="13" xfId="0" applyFont="1" applyFill="1" applyBorder="1" applyNumberFormat="1">
      <alignment horizontal="center" vertical="center" wrapText="1"/>
    </xf>
    <xf numFmtId="49" fontId="36" fillId="49" borderId="14" xfId="0" applyFont="1" applyFill="1" applyBorder="1" applyNumberFormat="1">
      <alignment horizontal="center" vertical="center" wrapText="1"/>
    </xf>
    <xf numFmtId="49" fontId="36" fillId="49" borderId="15" xfId="0" applyFont="1" applyFill="1" applyBorder="1" applyNumberFormat="1">
      <alignment horizontal="center" vertical="center" wrapText="1"/>
    </xf>
    <xf numFmtId="49" fontId="36" fillId="49" borderId="13" xfId="0" applyFont="1" applyFill="1" applyBorder="1" applyNumberFormat="1">
      <alignment horizontal="center" vertical="center" wrapText="1"/>
    </xf>
    <xf numFmtId="49" fontId="19" fillId="40"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0" borderId="14" xfId="0" applyFont="1" applyBorder="1" applyNumberFormat="1">
      <alignment horizontal="center" vertical="center" wrapText="1"/>
    </xf>
    <xf numFmtId="49" fontId="19" fillId="0" borderId="15" xfId="0" applyFont="1" applyBorder="1" applyNumberFormat="1">
      <alignment horizontal="center" vertical="center" wrapText="1"/>
    </xf>
    <xf numFmtId="49" fontId="19" fillId="0" borderId="13" xfId="0" applyFont="1" applyBorder="1" applyNumberFormat="1">
      <alignment horizontal="center" vertical="center" wrapText="1"/>
    </xf>
    <xf numFmtId="0" fontId="19" fillId="0" borderId="20" xfId="0" applyFont="1" applyBorder="1" applyNumberFormat="1">
      <alignment horizontal="left" vertical="top" wrapText="1"/>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19" fillId="34" borderId="12" xfId="0" applyFont="1" applyFill="1" applyBorder="1" applyNumberFormat="1">
      <alignment horizontal="center" vertical="center"/>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19" fillId="0" borderId="15" xfId="0" applyFont="1" applyBorder="1" applyNumberFormat="1">
      <alignment horizontal="left" vertical="top" wrapText="1" indent="1"/>
    </xf>
    <xf numFmtId="0" fontId="28" fillId="34" borderId="0" xfId="0" applyFont="1" applyFill="1" applyNumberFormat="1">
      <alignment horizontal="center" vertical="top" wrapText="1"/>
    </xf>
    <xf numFmtId="49" fontId="24" fillId="34" borderId="19"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0" fillId="33" borderId="14" xfId="0" applyFont="1" applyFill="1" applyBorder="1" applyNumberFormat="1">
      <alignment horizontal="left" vertical="center" wrapText="1" indent="1"/>
    </xf>
    <xf numFmtId="0" fontId="28" fillId="34" borderId="24" xfId="0" applyFont="1" applyFill="1" applyBorder="1" applyNumberFormat="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pplyNumberFormat="1">
      <alignment horizontal="left" vertical="center" wrapText="1" indent="1"/>
    </xf>
    <xf numFmtId="49" fontId="19" fillId="0" borderId="0" xfId="0" applyFont="1" applyNumberFormat="1">
      <alignment horizontal="left" vertical="top" wrapText="1"/>
    </xf>
    <xf numFmtId="0" fontId="19" fillId="0" borderId="13" xfId="0" applyFont="1" applyBorder="1" applyNumberFormat="1">
      <alignment horizontal="left" vertical="center" wrapText="1" indent="1"/>
    </xf>
    <xf numFmtId="0" fontId="19" fillId="0" borderId="14" xfId="0" applyFont="1" applyBorder="1" applyNumberFormat="1">
      <alignment horizontal="left" vertical="center" wrapText="1" indent="1"/>
    </xf>
    <xf numFmtId="49" fontId="19" fillId="0" borderId="0" xfId="0" applyFont="1" applyNumberFormat="1">
      <alignment horizontal="left" vertical="top" wrapText="1"/>
    </xf>
    <xf numFmtId="0" fontId="0" fillId="34" borderId="17" xfId="0" applyFont="1" applyFill="1" applyBorder="1" applyNumberFormat="1">
      <alignment horizontal="left" vertical="top" wrapText="1"/>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4" fontId="19" fillId="0" borderId="17" xfId="0" applyFont="1" applyBorder="1" applyNumberFormat="1">
      <alignment horizontal="center" vertical="center" wrapText="1"/>
    </xf>
    <xf numFmtId="4" fontId="19" fillId="0" borderId="23" xfId="0" applyFont="1" applyBorder="1" applyNumberFormat="1">
      <alignment horizontal="center" vertical="center" wrapText="1"/>
    </xf>
    <xf numFmtId="49" fontId="19" fillId="0" borderId="20" xfId="0" applyFont="1" applyBorder="1" applyNumberFormat="1">
      <alignment horizontal="left" vertical="top" wrapText="1"/>
    </xf>
    <xf numFmtId="49" fontId="19" fillId="0" borderId="29" xfId="0" applyFont="1" applyBorder="1" applyNumberFormat="1">
      <alignment horizontal="left" vertical="top" wrapText="1"/>
    </xf>
    <xf numFmtId="4" fontId="19" fillId="0" borderId="36" xfId="0" applyFont="1" applyBorder="1" applyNumberFormat="1">
      <alignment horizontal="center" vertical="center" wrapText="1"/>
    </xf>
    <xf numFmtId="171" fontId="19" fillId="0" borderId="17" xfId="0" applyFont="1" applyBorder="1" applyNumberFormat="1">
      <alignment horizontal="center" vertical="center" wrapText="1"/>
    </xf>
    <xf numFmtId="171" fontId="19" fillId="0" borderId="23"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5" xfId="0" applyFont="1" applyBorder="1" applyNumberFormat="1">
      <alignment horizontal="center" vertical="center" wrapText="1"/>
    </xf>
    <xf numFmtId="171" fontId="19" fillId="0" borderId="13" xfId="0" applyFont="1" applyBorder="1" applyNumberFormat="1">
      <alignment horizontal="center" vertical="center" wrapText="1"/>
    </xf>
    <xf numFmtId="0" fontId="19" fillId="33" borderId="12" xfId="0" applyFont="1" applyFill="1" applyBorder="1" applyNumberFormat="1">
      <alignment horizontal="left" vertical="center" wrapText="1"/>
    </xf>
    <xf numFmtId="14"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49" fontId="19" fillId="39" borderId="12" xfId="0" applyFont="1" applyFill="1" applyBorder="1" applyNumberFormat="1">
      <alignment horizontal="left" vertical="center" wrapText="1"/>
    </xf>
    <xf numFmtId="0" fontId="19" fillId="33" borderId="23" xfId="0" applyFont="1" applyFill="1" applyBorder="1" applyNumberFormat="1">
      <alignment horizontal="left" vertical="center" wrapText="1"/>
    </xf>
    <xf numFmtId="14" fontId="19" fillId="39" borderId="23" xfId="0" applyFont="1" applyFill="1" applyBorder="1" applyNumberFormat="1">
      <alignment horizontal="left" vertical="center" wrapText="1"/>
    </xf>
    <xf numFmtId="171" fontId="19" fillId="0" borderId="12" xfId="0" applyFont="1" applyBorder="1" applyNumberFormat="1">
      <alignment horizontal="center" vertical="center" wrapText="1"/>
    </xf>
    <xf numFmtId="171" fontId="34" fillId="0" borderId="57" xfId="0" applyFont="1" applyBorder="1" applyNumberFormat="1">
      <alignment horizontal="center" vertical="center" wrapText="1"/>
    </xf>
    <xf numFmtId="171" fontId="34" fillId="0" borderId="51" xfId="0" applyFont="1" applyBorder="1" applyNumberFormat="1">
      <alignment horizontal="center" vertical="center" wrapText="1"/>
    </xf>
    <xf numFmtId="171" fontId="34" fillId="0" borderId="76" xfId="0" applyFont="1" applyBorder="1" applyNumberFormat="1">
      <alignment horizontal="center" vertical="center" wrapText="1"/>
    </xf>
    <xf numFmtId="49" fontId="19" fillId="39" borderId="30" xfId="0" applyFont="1" applyFill="1" applyBorder="1" applyNumberFormat="1">
      <alignment horizontal="left" vertical="center" wrapText="1"/>
    </xf>
    <xf numFmtId="49" fontId="19" fillId="39" borderId="23" xfId="0" applyFont="1" applyFill="1" applyBorder="1" applyNumberFormat="1">
      <alignment horizontal="left" vertical="center" wrapText="1"/>
    </xf>
    <xf numFmtId="49" fontId="0" fillId="0" borderId="15" xfId="0" applyFont="1" applyBorder="1" applyNumberFormat="1">
      <alignment horizontal="left" vertical="center" indent="1"/>
    </xf>
    <xf numFmtId="49" fontId="19"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19" fillId="39" borderId="17" xfId="0" applyFont="1" applyFill="1" applyBorder="1" applyNumberFormat="1">
      <alignment horizontal="center" vertical="top" wrapText="1"/>
    </xf>
    <xf numFmtId="49" fontId="19" fillId="39" borderId="23" xfId="0" applyFont="1" applyFill="1" applyBorder="1" applyNumberFormat="1">
      <alignment horizontal="center" vertical="top" wrapText="1"/>
    </xf>
    <xf numFmtId="174" fontId="0" fillId="38" borderId="12" xfId="0" applyFont="1" applyFill="1" applyBorder="1" applyNumberFormat="1">
      <alignment horizontal="center" vertical="top" wrapText="1"/>
      <protection locked="0"/>
    </xf>
    <xf numFmtId="49" fontId="0" fillId="38" borderId="12" xfId="0" applyFont="1" applyFill="1" applyBorder="1" applyNumberFormat="1">
      <alignment horizontal="center" vertical="top" wrapText="1"/>
      <protection locked="0"/>
    </xf>
    <xf numFmtId="174" fontId="0" fillId="35"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19" fillId="39" borderId="12" xfId="0" applyFont="1" applyFill="1" applyBorder="1" applyNumberFormat="1">
      <alignment horizontal="left" vertical="top" wrapText="1"/>
    </xf>
    <xf numFmtId="0" fontId="0" fillId="0" borderId="12" xfId="0" applyFont="1" applyBorder="1" applyNumberFormat="1">
      <alignment horizontal="center" vertical="center"/>
    </xf>
    <xf numFmtId="49" fontId="0" fillId="0" borderId="12" xfId="0" applyFont="1" applyBorder="1" applyNumberFormat="1">
      <alignment vertical="top"/>
    </xf>
    <xf numFmtId="49" fontId="19" fillId="38" borderId="12" xfId="0" applyFont="1" applyFill="1" applyBorder="1" applyNumberFormat="1">
      <alignment horizontal="left" vertical="top" wrapText="1"/>
      <protection locked="0"/>
    </xf>
    <xf numFmtId="49" fontId="19" fillId="0" borderId="13" xfId="0" applyFont="1" applyBorder="1" applyNumberFormat="1">
      <alignment horizontal="center" vertical="center" wrapText="1"/>
    </xf>
    <xf numFmtId="0" fontId="19" fillId="35" borderId="12" xfId="0" applyFont="1" applyFill="1" applyBorder="1" applyNumberFormat="1">
      <alignment horizontal="left" vertical="top" wrapText="1"/>
      <protection locked="0"/>
    </xf>
    <xf numFmtId="49" fontId="0" fillId="38" borderId="12" xfId="0" applyFont="1" applyFill="1" applyBorder="1" applyNumberFormat="1">
      <alignment horizontal="left" vertical="center" wrapText="1"/>
      <protection locked="0"/>
    </xf>
    <xf numFmtId="0" fontId="19" fillId="39" borderId="12" xfId="0" applyFont="1" applyFill="1" applyBorder="1" applyNumberFormat="1">
      <alignment horizontal="left" vertical="top" wrapText="1"/>
    </xf>
    <xf numFmtId="49" fontId="0" fillId="39" borderId="12" xfId="0" applyFont="1" applyFill="1" applyBorder="1" applyNumberFormat="1">
      <alignment horizontal="left" vertical="top"/>
    </xf>
    <xf numFmtId="49" fontId="19" fillId="0" borderId="17" xfId="0" applyFont="1" applyBorder="1" applyNumberFormat="1">
      <alignment horizontal="center" vertical="center" wrapText="1"/>
    </xf>
    <xf numFmtId="49" fontId="19" fillId="0" borderId="36" xfId="0" applyFont="1" applyBorder="1" applyNumberFormat="1">
      <alignment horizontal="center" vertical="center" wrapText="1"/>
    </xf>
    <xf numFmtId="49" fontId="19" fillId="0" borderId="23" xfId="0" applyFont="1" applyBorder="1" applyNumberFormat="1">
      <alignment horizontal="center" vertical="center" wrapText="1"/>
    </xf>
    <xf numFmtId="49" fontId="19" fillId="39" borderId="17" xfId="0" applyFont="1" applyFill="1" applyBorder="1" applyNumberFormat="1">
      <alignment horizontal="left" vertical="center" wrapText="1" indent="1"/>
    </xf>
    <xf numFmtId="49" fontId="19" fillId="39" borderId="36" xfId="0" applyFont="1" applyFill="1" applyBorder="1" applyNumberFormat="1">
      <alignment horizontal="left" vertical="center" wrapText="1" indent="1"/>
    </xf>
    <xf numFmtId="49" fontId="19" fillId="39" borderId="23" xfId="0" applyFont="1" applyFill="1" applyBorder="1" applyNumberFormat="1">
      <alignment horizontal="left" vertical="center" wrapText="1" indent="1"/>
    </xf>
    <xf numFmtId="49" fontId="19" fillId="0" borderId="12" xfId="0" applyFont="1" applyBorder="1" applyNumberFormat="1">
      <alignment horizontal="left" vertical="center" wrapText="1"/>
    </xf>
    <xf numFmtId="49" fontId="113" fillId="0" borderId="12" xfId="0" applyFont="1" applyBorder="1" applyNumberFormat="1">
      <alignment horizontal="center" vertical="center" wrapText="1"/>
    </xf>
    <xf numFmtId="0" fontId="34" fillId="0" borderId="12" xfId="0" applyFont="1" applyBorder="1" applyNumberFormat="1">
      <alignment horizontal="center" vertical="center"/>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25" fillId="0" borderId="17" xfId="0" applyFont="1" applyBorder="1" applyNumberFormat="1">
      <alignment horizontal="center" vertical="top" wrapText="1"/>
    </xf>
    <xf numFmtId="49" fontId="19" fillId="0" borderId="36" xfId="0" applyFont="1" applyBorder="1" applyNumberFormat="1">
      <alignment horizontal="center" vertical="top" wrapText="1"/>
    </xf>
    <xf numFmtId="49" fontId="19" fillId="0" borderId="23" xfId="0" applyFont="1" applyBorder="1" applyNumberFormat="1">
      <alignment horizontal="center" vertical="top" wrapText="1"/>
    </xf>
    <xf numFmtId="49" fontId="19" fillId="38" borderId="14"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2" xfId="0" applyFont="1" applyBorder="1" applyNumberFormat="1">
      <alignment horizontal="left" vertical="top"/>
    </xf>
    <xf numFmtId="0" fontId="0" fillId="39"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49" fontId="0" fillId="35" borderId="12" xfId="0" applyFont="1" applyFill="1" applyBorder="1" applyNumberFormat="1">
      <alignment horizontal="left" vertical="top"/>
      <protection locked="0"/>
    </xf>
    <xf numFmtId="49" fontId="0" fillId="0" borderId="19" xfId="0" applyFont="1" applyBorder="1" applyNumberFormat="1">
      <alignment horizontal="left" vertical="center" wrapText="1"/>
    </xf>
    <xf numFmtId="0" fontId="0" fillId="0" borderId="19" xfId="0" applyFont="1" applyBorder="1" applyNumberFormat="1">
      <alignment horizontal="center" vertical="center"/>
    </xf>
    <xf numFmtId="0" fontId="0" fillId="0" borderId="0" xfId="0" applyFont="1" applyNumberFormat="1">
      <alignment horizontal="center" vertical="center"/>
    </xf>
    <xf numFmtId="14" fontId="71" fillId="0" borderId="17" xfId="0" applyFont="1" applyBorder="1" applyNumberFormat="1">
      <alignment horizontal="center" vertical="center" wrapText="1"/>
    </xf>
    <xf numFmtId="14" fontId="71" fillId="0" borderId="36" xfId="0" applyFont="1" applyBorder="1" applyNumberFormat="1">
      <alignment horizontal="center" vertical="center" wrapText="1"/>
    </xf>
    <xf numFmtId="0" fontId="65" fillId="0" borderId="12" xfId="0" applyFont="1" applyBorder="1" applyNumberFormat="1">
      <alignment horizontal="left" vertical="center" wrapText="1" indent="1"/>
    </xf>
    <xf numFmtId="0" fontId="65" fillId="0" borderId="12" xfId="0" applyFont="1" applyBorder="1" applyNumberFormat="1">
      <alignment horizontal="left" vertical="top" indent="1"/>
    </xf>
    <xf numFmtId="0" fontId="24" fillId="0" borderId="12" xfId="0" applyFont="1" applyBorder="1" applyNumberFormat="1">
      <alignment horizontal="center" vertical="center" wrapText="1"/>
    </xf>
    <xf numFmtId="0" fontId="19" fillId="39" borderId="12" xfId="0" applyFont="1" applyFill="1" applyBorder="1" applyNumberFormat="1">
      <alignment horizontal="left" vertical="center" wrapText="1" indent="1"/>
    </xf>
    <xf numFmtId="49" fontId="19" fillId="39" borderId="12" xfId="0" applyFont="1" applyFill="1" applyBorder="1" applyNumberFormat="1">
      <alignment horizontal="center" vertical="top" wrapText="1"/>
    </xf>
    <xf numFmtId="49" fontId="19" fillId="39" borderId="14" xfId="0" applyFont="1" applyFill="1" applyBorder="1" applyNumberFormat="1">
      <alignment horizontal="center" vertical="top" wrapText="1"/>
    </xf>
    <xf numFmtId="49" fontId="0" fillId="33" borderId="12" xfId="0" applyFont="1" applyFill="1" applyBorder="1" applyNumberFormat="1">
      <alignment horizontal="center" vertical="top" wrapText="1"/>
    </xf>
    <xf numFmtId="0" fontId="19" fillId="33" borderId="12" xfId="0" applyFont="1" applyFill="1" applyBorder="1" applyNumberFormat="1">
      <alignment horizontal="center" vertical="top" wrapText="1"/>
    </xf>
    <xf numFmtId="49" fontId="19" fillId="39" borderId="14" xfId="0" applyFont="1" applyFill="1" applyBorder="1" applyNumberFormat="1">
      <alignment horizontal="center" vertical="center" wrapText="1"/>
    </xf>
    <xf numFmtId="49" fontId="29" fillId="36" borderId="51" xfId="0" applyFont="1" applyFill="1" applyBorder="1" applyNumberFormat="1">
      <alignment horizontal="left" vertical="center" indent="1"/>
    </xf>
    <xf numFmtId="49" fontId="19" fillId="33" borderId="12" xfId="0" applyFont="1" applyFill="1" applyBorder="1" applyNumberFormat="1">
      <alignment horizontal="center" vertical="center" wrapText="1"/>
    </xf>
    <xf numFmtId="49" fontId="19" fillId="33" borderId="58" xfId="0" applyFont="1" applyFill="1" applyBorder="1" applyNumberFormat="1">
      <alignment horizontal="center" vertical="center" wrapText="1"/>
    </xf>
    <xf numFmtId="3" fontId="19" fillId="38" borderId="12" xfId="0" applyFont="1" applyFill="1" applyBorder="1" applyNumberFormat="1">
      <alignment horizontal="center" vertical="center" wrapText="1"/>
      <protection locked="0"/>
    </xf>
    <xf numFmtId="49" fontId="19" fillId="33" borderId="12" xfId="0" applyFont="1" applyFill="1" applyBorder="1" applyNumberFormat="1">
      <alignment horizontal="left" vertical="center" wrapText="1"/>
    </xf>
    <xf numFmtId="49" fontId="19" fillId="39" borderId="13" xfId="0" applyFont="1" applyFill="1" applyBorder="1" applyNumberFormat="1">
      <alignment horizontal="left" vertical="center" wrapText="1"/>
    </xf>
    <xf numFmtId="49" fontId="19" fillId="38" borderId="12" xfId="0" applyFont="1" applyFill="1" applyBorder="1" applyNumberFormat="1">
      <alignment horizontal="left" vertical="center" wrapText="1"/>
      <protection locked="0"/>
    </xf>
    <xf numFmtId="49" fontId="113" fillId="0" borderId="13" xfId="0" applyFont="1" applyBorder="1" applyNumberFormat="1">
      <alignment horizontal="center" vertical="center" wrapText="1"/>
    </xf>
    <xf numFmtId="0" fontId="19" fillId="39" borderId="17" xfId="0" applyFont="1" applyFill="1" applyBorder="1" applyNumberFormat="1">
      <alignment horizontal="left" vertical="center" wrapText="1"/>
    </xf>
    <xf numFmtId="0" fontId="19" fillId="39" borderId="36" xfId="0" applyFont="1" applyFill="1" applyBorder="1" applyNumberFormat="1">
      <alignment horizontal="left" vertical="center" wrapText="1"/>
    </xf>
    <xf numFmtId="49" fontId="19" fillId="39" borderId="17" xfId="0" applyFont="1" applyFill="1" applyBorder="1" applyNumberFormat="1">
      <alignment horizontal="left" vertical="center" wrapText="1"/>
    </xf>
    <xf numFmtId="49" fontId="19" fillId="0" borderId="36" xfId="0" applyFont="1" applyBorder="1" applyNumberFormat="1">
      <alignment horizontal="center" vertical="center"/>
    </xf>
    <xf numFmtId="0" fontId="19" fillId="0" borderId="24" xfId="0" applyFont="1" applyBorder="1" applyNumberFormat="1">
      <alignment horizontal="center" vertical="center"/>
    </xf>
    <xf numFmtId="49" fontId="19" fillId="35" borderId="17" xfId="0" applyFont="1" applyFill="1" applyBorder="1" applyNumberFormat="1">
      <alignment horizontal="left" vertical="center" wrapText="1"/>
      <protection locked="0"/>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0" fontId="29" fillId="36" borderId="19" xfId="0" applyFont="1" applyFill="1" applyBorder="1" applyNumberFormat="1">
      <alignment horizontal="left" vertical="center"/>
    </xf>
    <xf numFmtId="0" fontId="29" fillId="36" borderId="20" xfId="0" applyFont="1" applyFill="1" applyBorder="1" applyNumberFormat="1">
      <alignment horizontal="left" vertical="center"/>
    </xf>
    <xf numFmtId="49" fontId="19" fillId="38" borderId="17" xfId="0" applyFont="1" applyFill="1" applyBorder="1" applyNumberFormat="1">
      <alignment horizontal="left" vertical="center" wrapText="1"/>
      <protection locked="0"/>
    </xf>
    <xf numFmtId="49" fontId="85" fillId="0" borderId="12" xfId="0" applyFont="1" applyBorder="1" applyNumberFormat="1">
      <alignment horizontal="center" vertical="top" wrapText="1"/>
    </xf>
    <xf numFmtId="0" fontId="85" fillId="40" borderId="12" xfId="0" applyFont="1" applyFill="1" applyBorder="1" applyNumberFormat="1">
      <alignment horizontal="center" vertical="center" wrapText="1"/>
    </xf>
    <xf numFmtId="49" fontId="85" fillId="0" borderId="37" xfId="0" applyFont="1" applyBorder="1" applyNumberFormat="1">
      <alignment horizontal="center" vertical="top" wrapText="1"/>
    </xf>
    <xf numFmtId="49" fontId="85" fillId="0" borderId="30" xfId="0" applyFont="1" applyBorder="1" applyNumberFormat="1">
      <alignment horizontal="center" vertical="top" wrapText="1"/>
    </xf>
    <xf numFmtId="49" fontId="85" fillId="0" borderId="14" xfId="0" applyFont="1" applyBorder="1" applyNumberFormat="1">
      <alignment horizontal="center" vertical="top" wrapText="1"/>
    </xf>
    <xf numFmtId="49" fontId="85" fillId="0" borderId="15" xfId="0" applyFont="1" applyBorder="1" applyNumberFormat="1">
      <alignment horizontal="center" vertical="top" wrapText="1"/>
    </xf>
    <xf numFmtId="49" fontId="85" fillId="0" borderId="13" xfId="0" applyFont="1" applyBorder="1" applyNumberFormat="1">
      <alignment horizontal="center" vertical="top" wrapText="1"/>
    </xf>
    <xf numFmtId="49" fontId="85" fillId="0" borderId="17" xfId="0" applyFont="1" applyBorder="1" applyNumberFormat="1">
      <alignment horizontal="center" vertical="top" wrapText="1"/>
    </xf>
    <xf numFmtId="49" fontId="85" fillId="0" borderId="36" xfId="0" applyFont="1" applyBorder="1" applyNumberFormat="1">
      <alignment horizontal="center" vertical="top" wrapText="1"/>
    </xf>
    <xf numFmtId="49" fontId="85" fillId="0" borderId="23" xfId="0" applyFont="1" applyBorder="1" applyNumberFormat="1">
      <alignment horizontal="center" vertical="top" wrapText="1"/>
    </xf>
    <xf numFmtId="4" fontId="19" fillId="33" borderId="12" xfId="0" applyFont="1" applyFill="1" applyBorder="1" applyNumberFormat="1">
      <alignment horizontal="left" vertical="center" wrapText="1"/>
    </xf>
    <xf numFmtId="0" fontId="36" fillId="0" borderId="0" xfId="0" applyFont="1" applyNumberFormat="1">
      <alignment horizontal="center" vertical="center" wrapText="1"/>
    </xf>
    <xf numFmtId="0" fontId="19" fillId="39"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protection locked="0"/>
    </xf>
    <xf numFmtId="0" fontId="19" fillId="39" borderId="15" xfId="0" applyFont="1" applyFill="1" applyBorder="1" applyNumberFormat="1">
      <alignment horizontal="left" vertical="center" wrapText="1"/>
      <protection locked="0"/>
    </xf>
    <xf numFmtId="0" fontId="19" fillId="39" borderId="13" xfId="0" applyFont="1" applyFill="1" applyBorder="1" applyNumberFormat="1">
      <alignment horizontal="left" vertical="center" wrapText="1"/>
      <protection locked="0"/>
    </xf>
    <xf numFmtId="0" fontId="19" fillId="0" borderId="0" xfId="0" applyFont="1" applyNumberFormat="1">
      <alignment horizontal="right" vertical="center" wrapText="1"/>
    </xf>
    <xf numFmtId="0" fontId="35" fillId="0" borderId="19" xfId="0" applyFont="1" applyBorder="1" applyNumberFormat="1">
      <alignment horizontal="left" vertical="center" wrapText="1" indent="1"/>
    </xf>
    <xf numFmtId="0" fontId="35" fillId="0" borderId="27" xfId="0" applyFont="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0" fontId="0" fillId="0" borderId="12" xfId="0" applyFont="1" applyBorder="1" applyNumberFormat="1">
      <alignment horizontal="center" vertical="center" wrapText="1"/>
    </xf>
    <xf numFmtId="0" fontId="24" fillId="34" borderId="0" xfId="0" applyFont="1" applyFill="1" applyNumberFormat="1">
      <alignment horizontal="center" vertical="center" wrapText="1"/>
    </xf>
    <xf numFmtId="0" fontId="72" fillId="0" borderId="0" xfId="0" applyFont="1" applyNumberFormat="1">
      <alignment horizontal="center" vertical="center" wrapText="1"/>
    </xf>
    <xf numFmtId="49" fontId="29" fillId="36" borderId="12" xfId="0" applyFont="1" applyFill="1" applyBorder="1" applyNumberFormat="1">
      <alignment horizontal="center" vertical="center" textRotation="90" wrapText="1"/>
    </xf>
    <xf numFmtId="0" fontId="35" fillId="0" borderId="15" xfId="0" applyFont="1" applyBorder="1" applyNumberFormat="1">
      <alignment horizontal="left" vertical="center" wrapText="1" indent="1"/>
    </xf>
    <xf numFmtId="0" fontId="19" fillId="33" borderId="14" xfId="0" applyFont="1" applyFill="1" applyBorder="1" applyNumberFormat="1">
      <alignment horizontal="left" vertical="center" wrapText="1" indent="1"/>
    </xf>
    <xf numFmtId="0" fontId="19" fillId="33" borderId="15" xfId="0" applyFont="1" applyFill="1" applyBorder="1" applyNumberFormat="1">
      <alignment horizontal="left" vertical="center" wrapText="1" indent="1"/>
    </xf>
    <xf numFmtId="0" fontId="19" fillId="33" borderId="13" xfId="0" applyFont="1" applyFill="1" applyBorder="1" applyNumberFormat="1">
      <alignment horizontal="left" vertical="center" wrapText="1" inden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114" fillId="0" borderId="12" xfId="0" applyFont="1" applyBorder="1" applyNumberFormat="1">
      <alignment horizontal="left" vertical="center" wrapText="1" indent="1"/>
    </xf>
    <xf numFmtId="0" fontId="105"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6" fillId="0" borderId="0" xfId="0" applyFont="1" applyNumberFormat="1">
      <alignment wrapText="1"/>
    </xf>
    <xf numFmtId="0" fontId="92" fillId="0" borderId="0" xfId="0" applyFont="1" applyNumberFormat="1">
      <alignment vertical="center" wrapText="1"/>
    </xf>
    <xf numFmtId="0" fontId="92" fillId="0" borderId="0" xfId="0" applyFont="1" applyNumberFormat="1">
      <alignment horizontal="left" vertical="center" wrapText="1"/>
    </xf>
    <xf numFmtId="49" fontId="107" fillId="0" borderId="0" xfId="0" applyFont="1" applyNumberFormat="1">
      <alignment wrapText="1"/>
    </xf>
    <xf numFmtId="0" fontId="92" fillId="0" borderId="0" xfId="0" applyFont="1" applyNumberFormat="1">
      <alignment vertical="center"/>
    </xf>
    <xf numFmtId="0" fontId="35" fillId="0" borderId="0" xfId="0" applyFont="1" applyNumberFormat="1">
      <alignment horizontal="left" vertical="top" wrapText="1"/>
    </xf>
    <xf numFmtId="49" fontId="19" fillId="0" borderId="0" xfId="0" applyFont="1" applyNumberFormat="1">
      <alignment vertical="top" wrapText="1"/>
    </xf>
    <xf numFmtId="0" fontId="35" fillId="54" borderId="67" xfId="0" applyFont="1" applyFill="1" applyBorder="1" applyNumberFormat="1">
      <alignment horizontal="center" vertical="center" wrapText="1"/>
    </xf>
    <xf numFmtId="0" fontId="35" fillId="54" borderId="68" xfId="0" applyFont="1" applyFill="1" applyBorder="1" applyNumberFormat="1">
      <alignment horizontal="center" vertical="center" wrapText="1"/>
    </xf>
    <xf numFmtId="0" fontId="35" fillId="54" borderId="69" xfId="0" applyFont="1" applyFill="1" applyBorder="1" applyNumberFormat="1">
      <alignment horizontal="center" vertical="center" wrapText="1"/>
    </xf>
    <xf numFmtId="0" fontId="56" fillId="0" borderId="0" xfId="0" applyFont="1" applyNumberFormat="1">
      <alignment wrapText="1"/>
    </xf>
    <xf numFmtId="0" fontId="35" fillId="45" borderId="38" xfId="0" applyFont="1" applyFill="1" applyBorder="1" applyNumberFormat="1">
      <alignment horizontal="right" vertical="center" wrapText="1" indent="1"/>
    </xf>
    <xf numFmtId="0" fontId="35" fillId="45" borderId="66" xfId="0" applyFont="1" applyFill="1" applyBorder="1" applyNumberFormat="1">
      <alignment horizontal="right" vertical="center" wrapText="1" indent="1"/>
    </xf>
    <xf numFmtId="0" fontId="108" fillId="0" borderId="0" xfId="0" applyFont="1" applyNumberFormat="1">
      <alignment horizontal="left" vertical="center" wrapText="1"/>
    </xf>
    <xf numFmtId="0" fontId="109"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8" fillId="0" borderId="0" xfId="0" applyFont="1" applyNumberFormat="1"/>
    <xf numFmtId="0" fontId="110" fillId="0" borderId="0" xfId="0" applyFont="1" applyNumberFormat="1">
      <alignment wrapText="1"/>
    </xf>
    <xf numFmtId="0" fontId="0" fillId="35" borderId="62" xfId="0" applyFont="1" applyFill="1" applyBorder="1" applyNumberFormat="1">
      <alignment horizontal="center" vertical="center" wrapText="1"/>
    </xf>
    <xf numFmtId="0" fontId="110" fillId="0" borderId="38" xfId="0" applyFont="1" applyBorder="1" applyNumberFormat="1">
      <alignment vertical="center" wrapText="1"/>
    </xf>
    <xf numFmtId="0" fontId="110" fillId="0" borderId="0" xfId="0" applyFont="1" applyNumberFormat="1">
      <alignment vertical="center" wrapText="1"/>
    </xf>
    <xf numFmtId="0" fontId="0" fillId="52" borderId="62" xfId="0" applyFont="1" applyFill="1" applyBorder="1" applyNumberFormat="1">
      <alignment horizontal="center" vertical="center" wrapText="1"/>
    </xf>
    <xf numFmtId="0" fontId="110" fillId="0" borderId="38" xfId="0" applyFont="1" applyBorder="1" applyNumberFormat="1">
      <alignment horizontal="left" vertical="center" wrapText="1"/>
    </xf>
    <xf numFmtId="0" fontId="110" fillId="0" borderId="0" xfId="0" applyFont="1" applyNumberFormat="1">
      <alignment horizontal="left" vertical="center" wrapText="1"/>
    </xf>
    <xf numFmtId="0" fontId="0" fillId="33" borderId="62" xfId="0" applyFont="1" applyFill="1" applyBorder="1" applyNumberFormat="1">
      <alignment horizontal="center" vertical="center" wrapText="1"/>
    </xf>
    <xf numFmtId="0" fontId="0" fillId="38" borderId="62" xfId="0" applyFont="1" applyFill="1" applyBorder="1" applyNumberFormat="1">
      <alignment horizontal="center" vertical="center" wrapText="1"/>
    </xf>
    <xf numFmtId="0" fontId="35" fillId="45" borderId="0" xfId="0" applyFont="1" applyFill="1" applyNumberFormat="1">
      <alignment horizontal="right" vertical="center" wrapText="1" indent="1"/>
    </xf>
    <xf numFmtId="0" fontId="108" fillId="0" borderId="38" xfId="0" applyFont="1" applyBorder="1" applyNumberFormat="1">
      <alignment horizontal="left" vertical="center" wrapText="1"/>
    </xf>
    <xf numFmtId="0" fontId="108" fillId="0" borderId="63" xfId="0" applyFont="1" applyBorder="1" applyNumberFormat="1">
      <alignment horizontal="left" vertical="center" wrapText="1"/>
    </xf>
    <xf numFmtId="0" fontId="35" fillId="45" borderId="62" xfId="0" applyFont="1" applyFill="1" applyBorder="1" applyNumberFormat="1">
      <alignment horizontal="right" vertical="center" wrapText="1" indent="1"/>
    </xf>
    <xf numFmtId="0" fontId="35" fillId="45" borderId="65" xfId="0" applyFont="1" applyFill="1" applyBorder="1" applyNumberFormat="1">
      <alignment horizontal="right" vertical="center" wrapText="1" indent="1"/>
    </xf>
    <xf numFmtId="0" fontId="110" fillId="0" borderId="0" xfId="0" applyFont="1" applyNumberFormat="1"/>
    <xf numFmtId="0" fontId="110" fillId="0" borderId="38" xfId="0" applyFont="1" applyBorder="1" applyNumberFormat="1">
      <alignment wrapText="1"/>
    </xf>
    <xf numFmtId="0" fontId="110" fillId="0" borderId="0" xfId="0" applyFont="1" applyNumberFormat="1">
      <alignment vertical="top" wrapText="1"/>
    </xf>
    <xf numFmtId="0" fontId="35" fillId="45" borderId="64" xfId="0" applyFont="1" applyFill="1" applyBorder="1" applyNumberFormat="1">
      <alignment horizontal="right" vertical="center" wrapText="1" indent="1"/>
    </xf>
    <xf numFmtId="0" fontId="35" fillId="45" borderId="39" xfId="0" applyFont="1" applyFill="1" applyBorder="1" applyNumberFormat="1">
      <alignment horizontal="right" vertical="center" wrapText="1" indent="1"/>
    </xf>
    <xf numFmtId="0" fontId="56" fillId="0" borderId="64"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6" fillId="0" borderId="0" xfId="0" applyFont="1" applyNumberFormat="1"/>
    <xf numFmtId="49" fontId="56" fillId="0" borderId="0" xfId="0" applyFont="1" applyNumberFormat="1">
      <alignment vertical="top" wrapText="1"/>
    </xf>
    <xf numFmtId="0" fontId="27" fillId="0" borderId="0" xfId="0" applyFont="1" applyNumberFormat="1"/>
    <xf numFmtId="0" fontId="53" fillId="0" borderId="0" xfId="0" applyFont="1" applyNumberFormat="1">
      <alignment vertical="center" wrapText="1"/>
    </xf>
    <xf numFmtId="0" fontId="81" fillId="0" borderId="0" xfId="0" applyFont="1" applyNumberFormat="1">
      <alignment horizontal="left" vertical="center" wrapText="1"/>
    </xf>
    <xf numFmtId="0" fontId="53" fillId="0" borderId="0" xfId="0" applyFont="1" applyNumberFormat="1">
      <alignment horizontal="left" vertical="center" wrapText="1"/>
    </xf>
    <xf numFmtId="0" fontId="20" fillId="0" borderId="0" xfId="0" applyFont="1" applyNumberFormat="1">
      <alignment horizontal="center" vertical="center" wrapText="1"/>
    </xf>
    <xf numFmtId="0" fontId="20"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horizontal="left" vertical="center" wrapText="1"/>
    </xf>
    <xf numFmtId="0" fontId="19" fillId="0" borderId="0" xfId="0" applyFont="1" applyNumberFormat="1">
      <alignment horizontal="left" vertical="top" indent="1"/>
    </xf>
    <xf numFmtId="49" fontId="56" fillId="0" borderId="0" xfId="0" applyFont="1" applyNumberFormat="1">
      <alignment vertical="top"/>
    </xf>
    <xf numFmtId="49" fontId="19" fillId="0" borderId="0" xfId="0" applyFont="1" applyNumberFormat="1">
      <alignment vertical="center" wrapText="1"/>
    </xf>
    <xf numFmtId="49" fontId="36"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36" fillId="0" borderId="0" xfId="0" applyFont="1" applyNumberFormat="1">
      <alignment vertical="top"/>
    </xf>
    <xf numFmtId="49" fontId="0" fillId="0" borderId="0" xfId="0" applyFont="1" applyNumberFormat="1">
      <alignment vertical="top"/>
    </xf>
    <xf numFmtId="0" fontId="50" fillId="0" borderId="0" xfId="0" applyFont="1" applyNumberFormat="1">
      <alignment vertical="center" wrapText="1"/>
    </xf>
    <xf numFmtId="0" fontId="81" fillId="0" borderId="0" xfId="0" applyFont="1" applyNumberFormat="1">
      <alignment horizontal="lef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0" fontId="19" fillId="0" borderId="0" xfId="0" applyFont="1" applyNumberFormat="1">
      <alignment horizontal="center" vertical="center" wrapText="1"/>
    </xf>
    <xf numFmtId="0" fontId="19" fillId="0" borderId="0" xfId="0" applyFont="1" applyNumberFormat="1">
      <alignment vertical="center" wrapText="1"/>
    </xf>
    <xf numFmtId="0" fontId="78" fillId="0" borderId="0" xfId="0" applyFont="1" applyNumberFormat="1">
      <alignment vertical="center" wrapText="1"/>
    </xf>
    <xf numFmtId="0" fontId="22" fillId="34" borderId="0" xfId="0" applyFont="1" applyFill="1" applyNumberFormat="1">
      <alignment vertical="center" wrapText="1"/>
    </xf>
    <xf numFmtId="0" fontId="19" fillId="0" borderId="13" xfId="0" applyFont="1" applyBorder="1" applyNumberFormat="1">
      <alignment horizontal="center" vertical="center" wrapText="1"/>
    </xf>
    <xf numFmtId="0" fontId="19" fillId="0" borderId="14" xfId="0" applyFont="1" applyBorder="1" applyNumberFormat="1">
      <alignment horizontal="center" vertical="center" wrapText="1"/>
    </xf>
    <xf numFmtId="0" fontId="39" fillId="34" borderId="0" xfId="0" applyFont="1" applyFill="1" applyNumberFormat="1">
      <alignment vertical="center" wrapText="1"/>
    </xf>
    <xf numFmtId="0" fontId="86"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19" fillId="34" borderId="26" xfId="0" applyFont="1" applyFill="1" applyBorder="1" applyNumberFormat="1">
      <alignment horizontal="right" vertical="center" wrapText="1" indent="1"/>
    </xf>
    <xf numFmtId="0" fontId="0" fillId="33" borderId="12" xfId="0" applyFont="1" applyFill="1" applyBorder="1" applyNumberFormat="1">
      <alignment horizontal="left" vertical="center" wrapText="1" indent="1"/>
    </xf>
    <xf numFmtId="14" fontId="81" fillId="34" borderId="0" xfId="0" applyFont="1" applyFill="1" applyNumberFormat="1">
      <alignment horizontal="left"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19" fillId="34" borderId="0" xfId="0" applyFont="1" applyFill="1" applyNumberFormat="1">
      <alignment horizontal="center" vertical="center" wrapText="1"/>
    </xf>
    <xf numFmtId="0" fontId="78" fillId="0" borderId="0" xfId="0" applyFont="1" applyNumberFormat="1">
      <alignment horizontal="center" vertical="center" wrapText="1"/>
    </xf>
    <xf numFmtId="0" fontId="21" fillId="0" borderId="0" xfId="0" applyFont="1" applyNumberFormat="1">
      <alignment vertical="center" wrapText="1"/>
    </xf>
    <xf numFmtId="0" fontId="22" fillId="34" borderId="0" xfId="0" applyFont="1" applyFill="1" applyNumberFormat="1">
      <alignment vertical="center" wrapText="1"/>
    </xf>
    <xf numFmtId="0" fontId="19" fillId="34" borderId="26" xfId="0" applyFont="1" applyFill="1" applyBorder="1" applyNumberFormat="1">
      <alignment horizontal="right" vertical="center" wrapText="1" indent="1"/>
    </xf>
    <xf numFmtId="0" fontId="19" fillId="38" borderId="12" xfId="0" applyFont="1" applyFill="1" applyBorder="1" applyNumberFormat="1">
      <alignment horizontal="left" vertical="center" wrapText="1" indent="1"/>
      <protection locked="0"/>
    </xf>
    <xf numFmtId="0" fontId="36"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14" fontId="83" fillId="0" borderId="12" xfId="0" applyFont="1" applyBorder="1" applyNumberFormat="1">
      <alignment horizontal="center" vertical="center" wrapText="1"/>
    </xf>
    <xf numFmtId="174" fontId="0" fillId="38" borderId="12" xfId="0" applyFont="1" applyFill="1" applyBorder="1" applyNumberFormat="1">
      <alignment horizontal="left" vertical="center" wrapText="1" indent="1"/>
      <protection locked="0"/>
    </xf>
    <xf numFmtId="0" fontId="43" fillId="0" borderId="0" xfId="0" applyFont="1" applyNumberFormat="1">
      <alignment horizontal="left" vertical="center" indent="1"/>
    </xf>
    <xf numFmtId="0" fontId="19" fillId="34" borderId="0" xfId="0" applyFont="1" applyFill="1" applyNumberFormat="1">
      <alignment vertical="center" wrapText="1"/>
    </xf>
    <xf numFmtId="14" fontId="83" fillId="0" borderId="12" xfId="0" applyFont="1" applyBorder="1" applyNumberFormat="1">
      <alignment horizontal="left" vertical="center" wrapText="1"/>
    </xf>
    <xf numFmtId="49" fontId="19" fillId="34" borderId="26" xfId="0" applyFont="1" applyFill="1" applyBorder="1" applyNumberFormat="1">
      <alignment horizontal="right" vertical="center" wrapText="1" indent="1"/>
    </xf>
    <xf numFmtId="174" fontId="0" fillId="38" borderId="12" xfId="0" applyFont="1" applyFill="1" applyBorder="1" applyNumberFormat="1">
      <alignment horizontal="left" vertical="center" wrapText="1" indent="1"/>
      <protection locked="0"/>
    </xf>
    <xf numFmtId="49" fontId="36" fillId="0" borderId="0" xfId="0" applyFont="1" applyNumberFormat="1">
      <alignment vertical="center" wrapText="1"/>
    </xf>
    <xf numFmtId="0" fontId="0" fillId="38" borderId="12"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174" fontId="0" fillId="38" borderId="12" xfId="0" applyFont="1" applyFill="1" applyBorder="1" applyNumberFormat="1">
      <alignment horizontal="left" vertical="center" wrapText="1" indent="1"/>
      <protection locked="0"/>
    </xf>
    <xf numFmtId="0" fontId="0" fillId="34" borderId="0" xfId="0" applyFont="1" applyFill="1" applyNumberFormat="1">
      <alignment horizontal="right" vertical="center" wrapText="1" indent="1"/>
    </xf>
    <xf numFmtId="0" fontId="86" fillId="0" borderId="0" xfId="0" applyFont="1" applyNumberFormat="1">
      <alignment horizontal="left" vertical="center" wrapText="1"/>
    </xf>
    <xf numFmtId="0" fontId="19" fillId="34" borderId="0" xfId="0" applyFont="1" applyFill="1" applyNumberFormat="1">
      <alignment horizontal="right" vertical="center" wrapText="1" indent="1"/>
    </xf>
    <xf numFmtId="0" fontId="19" fillId="0" borderId="0" xfId="0" applyFont="1" applyNumberFormat="1">
      <alignment horizontal="center" vertical="center" wrapText="1"/>
    </xf>
    <xf numFmtId="0" fontId="19" fillId="34" borderId="0" xfId="0" applyFont="1" applyFill="1" applyNumberFormat="1">
      <alignment horizontal="center" vertical="center" wrapText="1"/>
    </xf>
    <xf numFmtId="0" fontId="0" fillId="34" borderId="0" xfId="0" applyFont="1" applyFill="1" applyNumberFormat="1">
      <alignment horizontal="left" vertical="center" wrapText="1" indent="1"/>
    </xf>
    <xf numFmtId="49" fontId="19" fillId="38" borderId="12"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0" fontId="21" fillId="0" borderId="0" xfId="0" applyFont="1" applyNumberFormat="1">
      <alignment horizontal="center" vertical="center" wrapText="1"/>
    </xf>
    <xf numFmtId="0" fontId="23" fillId="34" borderId="0" xfId="0" applyFont="1" applyFill="1" applyNumberFormat="1">
      <alignment horizontal="center" vertical="center" wrapText="1"/>
    </xf>
    <xf numFmtId="49" fontId="19" fillId="33" borderId="12" xfId="0" applyFont="1" applyFill="1" applyBorder="1" applyNumberFormat="1">
      <alignment horizontal="left" vertical="center" wrapText="1" indent="1"/>
    </xf>
    <xf numFmtId="14" fontId="19" fillId="34" borderId="0" xfId="0" applyFont="1" applyFill="1" applyNumberFormat="1">
      <alignment horizontal="center" vertical="center" wrapText="1"/>
    </xf>
    <xf numFmtId="0" fontId="0" fillId="34" borderId="26" xfId="0" applyFont="1" applyFill="1" applyBorder="1" applyNumberFormat="1">
      <alignment horizontal="right" vertical="center" wrapText="1" indent="1"/>
    </xf>
    <xf numFmtId="49" fontId="19" fillId="35" borderId="12" xfId="0" applyFont="1" applyFill="1" applyBorder="1" applyNumberFormat="1">
      <alignment horizontal="left" vertical="center" wrapText="1" indent="1"/>
      <protection locked="0"/>
    </xf>
    <xf numFmtId="0" fontId="19" fillId="0" borderId="0" xfId="0" applyFont="1" applyNumberFormat="1">
      <alignment vertical="center"/>
    </xf>
    <xf numFmtId="14" fontId="19" fillId="34" borderId="0" xfId="0" applyFont="1" applyFill="1" applyNumberFormat="1">
      <alignment horizontal="left" vertical="center" wrapText="1"/>
    </xf>
    <xf numFmtId="0" fontId="19" fillId="38" borderId="12" xfId="0" applyFont="1" applyFill="1" applyBorder="1" applyNumberFormat="1">
      <alignment horizontal="left" vertical="center" wrapText="1" indent="1"/>
      <protection locked="0"/>
    </xf>
    <xf numFmtId="0" fontId="51" fillId="34" borderId="0" xfId="0" applyFont="1" applyFill="1" applyNumberFormat="1">
      <alignment horizontal="right" vertical="center" wrapText="1" indent="1"/>
    </xf>
    <xf numFmtId="0" fontId="51" fillId="34" borderId="0" xfId="0" applyFont="1" applyFill="1" applyNumberFormat="1">
      <alignment horizontal="left" vertical="center" wrapText="1" indent="1"/>
    </xf>
    <xf numFmtId="49" fontId="19" fillId="39" borderId="12" xfId="0" applyFont="1" applyFill="1" applyBorder="1" applyNumberFormat="1">
      <alignment horizontal="left" vertical="center" wrapText="1" inden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20" fillId="0" borderId="0" xfId="0" applyFont="1" applyNumberFormat="1">
      <alignment horizontal="left" vertical="center" wrapText="1"/>
    </xf>
    <xf numFmtId="49" fontId="114" fillId="0" borderId="12" xfId="0" applyFont="1" applyBorder="1" applyNumberFormat="1">
      <alignment horizontal="left" vertical="center" wrapText="1" indent="1"/>
    </xf>
    <xf numFmtId="0" fontId="20" fillId="0" borderId="0" xfId="0" applyFont="1" applyNumberFormat="1">
      <alignment horizontal="left" vertical="center" wrapText="1"/>
    </xf>
    <xf numFmtId="0" fontId="19" fillId="0" borderId="0" xfId="0" applyFont="1" applyNumberFormat="1">
      <alignment vertical="center" wrapText="1"/>
    </xf>
    <xf numFmtId="14" fontId="82" fillId="0" borderId="0" xfId="0" applyFont="1" applyNumberFormat="1">
      <alignment horizontal="center" vertical="center" wrapText="1"/>
    </xf>
    <xf numFmtId="0" fontId="21" fillId="0" borderId="0" xfId="0" applyFont="1" applyNumberFormat="1">
      <alignment vertical="center" wrapText="1"/>
    </xf>
    <xf numFmtId="0" fontId="20" fillId="0" borderId="0" xfId="0" applyFont="1" applyNumberFormat="1">
      <alignment horizontal="center" vertical="center" wrapText="1"/>
    </xf>
    <xf numFmtId="0" fontId="19" fillId="0" borderId="0" xfId="0" applyFont="1" applyNumberFormat="1">
      <alignment horizontal="center" vertical="center" wrapText="1"/>
    </xf>
    <xf numFmtId="0" fontId="36" fillId="0" borderId="0" xfId="0" applyFont="1" applyNumberFormat="1">
      <alignment horizontal="center" vertical="center" wrapText="1"/>
    </xf>
    <xf numFmtId="0" fontId="36" fillId="0" borderId="0" xfId="0" applyFont="1" applyNumberFormat="1">
      <alignment vertical="center" wrapText="1"/>
    </xf>
    <xf numFmtId="0" fontId="73" fillId="0" borderId="0" xfId="0" applyFont="1" applyNumberFormat="1">
      <alignment vertical="center" wrapText="1"/>
    </xf>
    <xf numFmtId="0" fontId="19" fillId="39" borderId="12" xfId="0" applyFont="1" applyFill="1" applyBorder="1" applyNumberFormat="1">
      <alignment horizontal="left" vertical="center" wrapText="1" indent="1"/>
    </xf>
    <xf numFmtId="174" fontId="0" fillId="0" borderId="11" xfId="0" applyFont="1" applyBorder="1" applyNumberFormat="1">
      <alignment horizontal="left" vertical="center" wrapText="1" indent="1"/>
    </xf>
    <xf numFmtId="0" fontId="19" fillId="39" borderId="12" xfId="0" applyFont="1" applyFill="1" applyBorder="1" applyNumberFormat="1">
      <alignment horizontal="left" vertical="center" wrapText="1" indent="1"/>
    </xf>
    <xf numFmtId="49" fontId="19" fillId="39" borderId="12" xfId="0" applyFont="1" applyFill="1" applyBorder="1" applyNumberFormat="1">
      <alignment horizontal="left" vertical="center" wrapText="1" indent="1"/>
    </xf>
    <xf numFmtId="0" fontId="81" fillId="0" borderId="0" xfId="0" applyFont="1" applyNumberFormat="1">
      <alignment horizontal="left" vertical="center" wrapText="1"/>
    </xf>
    <xf numFmtId="49" fontId="20" fillId="0" borderId="0" xfId="0" applyFont="1" applyNumberFormat="1">
      <alignment horizontal="left" vertical="center" wrapText="1"/>
    </xf>
    <xf numFmtId="49" fontId="22" fillId="34" borderId="0" xfId="0" applyFont="1" applyFill="1" applyNumberFormat="1">
      <alignment horizontal="center" vertical="center" wrapText="1"/>
    </xf>
    <xf numFmtId="0" fontId="19" fillId="0" borderId="0" xfId="0" applyFont="1" applyNumberFormat="1">
      <alignment horizontal="left" vertical="center" wrapText="1" indent="4"/>
    </xf>
    <xf numFmtId="0" fontId="19" fillId="0" borderId="0" xfId="0" applyFont="1" applyNumberFormat="1">
      <alignment horizontal="left" vertical="center" wrapText="1" indent="1"/>
    </xf>
    <xf numFmtId="49" fontId="19" fillId="38"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19" fillId="34" borderId="0" xfId="0" applyFont="1" applyFill="1" applyNumberFormat="1">
      <alignment horizontal="right" vertical="center" wrapText="1" indent="1"/>
    </xf>
    <xf numFmtId="49" fontId="19" fillId="0" borderId="0" xfId="0" applyFont="1" applyNumberFormat="1">
      <alignment horizontal="center" vertical="center" wrapText="1"/>
    </xf>
    <xf numFmtId="49" fontId="0" fillId="34" borderId="0" xfId="0" applyFont="1" applyFill="1" applyNumberFormat="1">
      <alignment horizontal="right" vertical="center" wrapText="1" indent="1"/>
    </xf>
    <xf numFmtId="0" fontId="39" fillId="0" borderId="0" xfId="0" applyFont="1" applyNumberFormat="1">
      <alignment vertical="top" wrapText="1"/>
    </xf>
    <xf numFmtId="0" fontId="21" fillId="0" borderId="0" xfId="0" applyFont="1" applyNumberFormat="1">
      <alignment vertical="center" wrapText="1"/>
    </xf>
    <xf numFmtId="0" fontId="19" fillId="0" borderId="0" xfId="0" applyFont="1" applyNumberFormat="1">
      <alignment vertical="center" wrapText="1"/>
    </xf>
    <xf numFmtId="0" fontId="37" fillId="0" borderId="0" xfId="0" applyFont="1" applyNumberFormat="1">
      <alignment vertical="center" wrapText="1"/>
    </xf>
    <xf numFmtId="0" fontId="63" fillId="0" borderId="0" xfId="0" applyFont="1" applyNumberFormat="1">
      <alignment vertical="center" wrapText="1"/>
    </xf>
    <xf numFmtId="0" fontId="37" fillId="0" borderId="0" xfId="0" applyFont="1" applyNumberFormat="1">
      <alignment vertical="center" wrapText="1"/>
    </xf>
    <xf numFmtId="0" fontId="37" fillId="0" borderId="0" xfId="0" applyFont="1" applyNumberFormat="1">
      <alignment horizontal="center" vertical="center" wrapText="1"/>
    </xf>
    <xf numFmtId="0" fontId="37" fillId="0" borderId="0" xfId="0" applyFont="1" applyNumberFormat="1">
      <alignment horizontal="left" vertical="center" indent="1"/>
    </xf>
    <xf numFmtId="0" fontId="37" fillId="0" borderId="0" xfId="0" applyFont="1" applyNumberFormat="1">
      <alignment horizontal="center" vertical="center" wrapText="1"/>
    </xf>
    <xf numFmtId="0" fontId="37" fillId="0" borderId="0" xfId="0" applyFont="1" applyNumberFormat="1">
      <alignment horizontal="left" vertical="center" wrapText="1" indent="1"/>
    </xf>
    <xf numFmtId="0" fontId="37" fillId="0" borderId="0" xfId="0" applyFont="1" applyNumberFormat="1">
      <alignment horizontal="left" vertical="center" indent="1"/>
    </xf>
    <xf numFmtId="0" fontId="46" fillId="0" borderId="0" xfId="0" applyFont="1" applyNumberFormat="1">
      <alignment vertical="center" wrapText="1"/>
    </xf>
    <xf numFmtId="0" fontId="19" fillId="0" borderId="0" xfId="0" applyFont="1" applyNumberFormat="1">
      <alignment horizontal="left" vertical="center" wrapText="1" indent="1"/>
    </xf>
    <xf numFmtId="0" fontId="36"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31" fillId="0" borderId="0" xfId="0" applyFont="1" applyNumberFormat="1">
      <alignment vertical="center" wrapText="1"/>
    </xf>
    <xf numFmtId="0" fontId="19" fillId="0" borderId="0" xfId="0" applyFont="1" applyNumberFormat="1">
      <alignment vertical="center" wrapText="1"/>
    </xf>
    <xf numFmtId="0" fontId="36" fillId="0" borderId="0" xfId="0" applyFont="1" applyNumberFormat="1">
      <alignment vertical="center" wrapText="1"/>
    </xf>
    <xf numFmtId="0" fontId="25" fillId="0" borderId="0" xfId="0" applyFont="1" applyNumberFormat="1">
      <alignment horizontal="center"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horizontal="right" vertical="center" wrapText="1"/>
    </xf>
    <xf numFmtId="0" fontId="37" fillId="0" borderId="0" xfId="0" applyFont="1" applyNumberFormat="1">
      <alignment vertical="center"/>
    </xf>
    <xf numFmtId="0" fontId="37" fillId="0" borderId="0" xfId="0" applyFont="1" applyNumberFormat="1">
      <alignment vertical="center"/>
    </xf>
    <xf numFmtId="0" fontId="45" fillId="0" borderId="0" xfId="0" applyFont="1" applyNumberFormat="1">
      <alignment vertical="center"/>
    </xf>
    <xf numFmtId="0" fontId="19" fillId="0" borderId="15" xfId="0" applyFont="1" applyBorder="1" applyNumberFormat="1">
      <alignment horizontal="left" vertical="center" wrapText="1" indent="1"/>
    </xf>
    <xf numFmtId="4" fontId="19" fillId="0" borderId="0" xfId="0" applyFont="1" applyNumberFormat="1">
      <alignment horizontal="right" vertical="center" wrapText="1"/>
    </xf>
    <xf numFmtId="0" fontId="19" fillId="0" borderId="0" xfId="0" applyFont="1" applyNumberFormat="1">
      <alignment horizontal="left" vertical="center" wrapText="1" indent="1"/>
    </xf>
    <xf numFmtId="49" fontId="19" fillId="0" borderId="0" xfId="0" applyFont="1" applyNumberFormat="1">
      <alignment vertical="top"/>
    </xf>
    <xf numFmtId="49" fontId="36" fillId="0" borderId="0" xfId="0" applyFont="1" applyNumberFormat="1">
      <alignment vertical="top"/>
    </xf>
    <xf numFmtId="49" fontId="19" fillId="0" borderId="0" xfId="0" applyFont="1" applyNumberFormat="1">
      <alignment vertical="top"/>
    </xf>
    <xf numFmtId="49" fontId="19" fillId="0" borderId="0" xfId="0" applyFont="1" applyNumberFormat="1">
      <alignment horizontal="center" vertical="center" wrapText="1"/>
    </xf>
    <xf numFmtId="4" fontId="19" fillId="0" borderId="0" xfId="0" applyFont="1" applyNumberFormat="1">
      <alignment horizontal="center" vertical="center" wrapText="1"/>
    </xf>
    <xf numFmtId="0" fontId="19" fillId="0" borderId="14"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3" xfId="0" applyFont="1" applyBorder="1" applyNumberFormat="1">
      <alignment horizontal="center" vertical="center" wrapText="1"/>
    </xf>
    <xf numFmtId="4" fontId="19" fillId="0" borderId="12"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2" xfId="0" applyFont="1" applyBorder="1" applyNumberFormat="1">
      <alignment horizontal="center" vertical="center" wrapText="1"/>
    </xf>
    <xf numFmtId="0" fontId="24" fillId="0" borderId="0" xfId="0" applyFont="1" applyNumberFormat="1">
      <alignment horizontal="center" vertical="center" wrapText="1"/>
    </xf>
    <xf numFmtId="49" fontId="24" fillId="0" borderId="15" xfId="0" applyFont="1" applyBorder="1" applyNumberFormat="1">
      <alignment horizontal="center" vertical="center" wrapText="1"/>
    </xf>
    <xf numFmtId="49" fontId="24" fillId="0" borderId="15" xfId="0" applyFont="1" applyBorder="1" applyNumberFormat="1">
      <alignment horizontal="center" vertical="center" wrapText="1"/>
    </xf>
    <xf numFmtId="0" fontId="36" fillId="0" borderId="0" xfId="0" applyFont="1" applyNumberFormat="1">
      <alignment vertical="center"/>
    </xf>
    <xf numFmtId="0" fontId="36" fillId="0" borderId="0" xfId="0" applyFont="1" applyNumberFormat="1">
      <alignment vertical="center"/>
    </xf>
    <xf numFmtId="0" fontId="44" fillId="0" borderId="0" xfId="0" applyFont="1" applyNumberFormat="1">
      <alignment vertical="center"/>
    </xf>
    <xf numFmtId="49" fontId="19" fillId="36" borderId="19" xfId="0" applyFont="1" applyFill="1" applyBorder="1" applyNumberFormat="1">
      <alignment horizontal="center" vertical="center" wrapText="1"/>
    </xf>
    <xf numFmtId="49" fontId="36" fillId="36" borderId="19" xfId="0" applyFont="1" applyFill="1" applyBorder="1" applyNumberFormat="1">
      <alignment horizontal="left" vertical="center" wrapText="1"/>
    </xf>
    <xf numFmtId="49" fontId="36" fillId="36" borderId="20" xfId="0" applyFont="1" applyFill="1" applyBorder="1" applyNumberFormat="1">
      <alignment horizontal="left" vertical="center" wrapText="1"/>
    </xf>
    <xf numFmtId="0" fontId="37" fillId="0" borderId="22" xfId="0" applyFont="1" applyBorder="1" applyNumberFormat="1">
      <alignment vertical="center"/>
    </xf>
    <xf numFmtId="0" fontId="31" fillId="0" borderId="0" xfId="0" applyFont="1" applyNumberFormat="1">
      <alignment vertical="center" wrapText="1"/>
    </xf>
    <xf numFmtId="0" fontId="19" fillId="0" borderId="0" xfId="0" applyFont="1" applyNumberFormat="1">
      <alignment horizontal="center"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37" fillId="0" borderId="12" xfId="0" applyFont="1" applyBorder="1" applyNumberFormat="1">
      <alignment horizontal="center" vertical="center" wrapText="1"/>
    </xf>
    <xf numFmtId="49" fontId="19" fillId="38" borderId="12" xfId="0" applyFont="1" applyFill="1" applyBorder="1" applyNumberFormat="1">
      <alignment vertical="center" wrapText="1"/>
      <protection locked="0"/>
    </xf>
    <xf numFmtId="49" fontId="36" fillId="0" borderId="12" xfId="0" applyFont="1" applyBorder="1" applyNumberFormat="1">
      <alignment horizontal="left" vertical="center" wrapText="1"/>
    </xf>
    <xf numFmtId="0" fontId="37" fillId="0" borderId="0" xfId="0" applyFont="1" applyNumberFormat="1">
      <alignment vertical="center"/>
    </xf>
    <xf numFmtId="0" fontId="37" fillId="0" borderId="0" xfId="0" applyFont="1" applyNumberFormat="1">
      <alignment vertical="center"/>
    </xf>
    <xf numFmtId="49" fontId="0" fillId="0" borderId="0" xfId="0" applyFont="1" applyNumberFormat="1">
      <alignment vertical="top"/>
    </xf>
    <xf numFmtId="0" fontId="24" fillId="0" borderId="24" xfId="0" applyFont="1" applyBorder="1" applyNumberFormat="1">
      <alignment vertical="top" wrapText="1"/>
    </xf>
    <xf numFmtId="0" fontId="19" fillId="0" borderId="23" xfId="0" applyFont="1" applyBorder="1" applyNumberFormat="1">
      <alignment horizontal="center" vertical="center" wrapText="1"/>
    </xf>
    <xf numFmtId="0" fontId="37" fillId="0" borderId="23" xfId="0" applyFont="1" applyBorder="1" applyNumberFormat="1">
      <alignment horizontal="center" vertical="center" wrapText="1"/>
    </xf>
    <xf numFmtId="14" fontId="19" fillId="39" borderId="23" xfId="0" applyFont="1" applyFill="1" applyBorder="1" applyNumberFormat="1">
      <alignment horizontal="left" vertical="center" wrapText="1" indent="1"/>
    </xf>
    <xf numFmtId="49" fontId="19" fillId="33" borderId="23" xfId="0" applyFont="1" applyFill="1" applyBorder="1" applyNumberFormat="1">
      <alignment horizontal="center" vertical="center" wrapText="1"/>
    </xf>
    <xf numFmtId="0" fontId="64" fillId="0" borderId="0" xfId="0" applyFont="1" applyNumberFormat="1">
      <alignment vertical="center" wrapText="1"/>
    </xf>
    <xf numFmtId="49" fontId="36" fillId="0" borderId="0" xfId="0" applyFont="1" applyNumberFormat="1">
      <alignment vertical="top"/>
    </xf>
    <xf numFmtId="49" fontId="37" fillId="0" borderId="0" xfId="0" applyFont="1" applyNumberFormat="1">
      <alignment vertical="top"/>
    </xf>
    <xf numFmtId="0" fontId="0" fillId="0" borderId="0" xfId="0" applyFont="1" applyNumberFormat="1">
      <alignment vertical="center" wrapText="1"/>
    </xf>
    <xf numFmtId="0" fontId="24" fillId="0" borderId="0" xfId="0" applyFont="1" applyNumberFormat="1">
      <alignment vertical="top" wrapText="1"/>
    </xf>
    <xf numFmtId="49" fontId="39" fillId="36" borderId="14" xfId="0" applyFont="1" applyFill="1" applyBorder="1" applyNumberFormat="1">
      <alignment horizontal="right" vertical="center" wrapText="1"/>
    </xf>
    <xf numFmtId="49" fontId="39" fillId="36" borderId="15"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49" fontId="0" fillId="36" borderId="15" xfId="0" applyFont="1" applyFill="1" applyBorder="1" applyNumberFormat="1">
      <alignment horizontal="right" vertical="center" wrapText="1"/>
    </xf>
    <xf numFmtId="49" fontId="0" fillId="36" borderId="13" xfId="0" applyFont="1" applyFill="1" applyBorder="1" applyNumberFormat="1">
      <alignment horizontal="right" vertical="center" wrapText="1"/>
    </xf>
    <xf numFmtId="49" fontId="19" fillId="36" borderId="14" xfId="0" applyFont="1" applyFill="1" applyBorder="1" applyNumberFormat="1">
      <alignment horizontal="right" vertical="center" wrapText="1"/>
    </xf>
    <xf numFmtId="49" fontId="19" fillId="36" borderId="15" xfId="0" applyFont="1" applyFill="1" applyBorder="1" applyNumberFormat="1">
      <alignment horizontal="right" vertical="center" wrapText="1"/>
    </xf>
    <xf numFmtId="49" fontId="29" fillId="36" borderId="15" xfId="0" applyFont="1" applyFill="1" applyBorder="1" applyNumberFormat="1">
      <alignment horizontal="left" vertical="center"/>
    </xf>
    <xf numFmtId="49" fontId="19" fillId="36" borderId="13" xfId="0" applyFont="1" applyFill="1" applyBorder="1" applyNumberFormat="1">
      <alignment horizontal="right" vertical="center" wrapText="1"/>
    </xf>
    <xf numFmtId="0" fontId="25" fillId="0" borderId="0" xfId="0" applyFont="1" applyNumberFormat="1">
      <alignment horizontal="center" vertical="center" wrapText="1"/>
    </xf>
    <xf numFmtId="0" fontId="19" fillId="0" borderId="21" xfId="0" applyFont="1" applyBorder="1" applyNumberFormat="1">
      <alignment vertical="center" wrapText="1"/>
    </xf>
    <xf numFmtId="0" fontId="19" fillId="0" borderId="0" xfId="0" applyFont="1" applyNumberFormat="1">
      <alignment vertical="center" wrapText="1"/>
    </xf>
    <xf numFmtId="0" fontId="34" fillId="0" borderId="0" xfId="0" applyFont="1" applyNumberFormat="1">
      <alignment vertical="center" wrapText="1"/>
    </xf>
    <xf numFmtId="0" fontId="84" fillId="0" borderId="0" xfId="0" applyFont="1" applyNumberFormat="1">
      <alignment vertical="center" wrapText="1"/>
    </xf>
    <xf numFmtId="0" fontId="40" fillId="0" borderId="0" xfId="0" applyFont="1" applyNumberFormat="1">
      <alignment horizontal="center" vertical="center" wrapText="1"/>
    </xf>
    <xf numFmtId="49" fontId="0" fillId="0" borderId="0" xfId="0" applyFont="1" applyNumberFormat="1">
      <alignment vertical="top"/>
    </xf>
    <xf numFmtId="0" fontId="19" fillId="0" borderId="0" xfId="0" applyFont="1" applyNumberFormat="1">
      <alignment vertical="center"/>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36" fillId="0" borderId="0" xfId="0" applyFont="1" applyNumberFormat="1">
      <alignment vertical="center"/>
    </xf>
    <xf numFmtId="0" fontId="30" fillId="0" borderId="0" xfId="0" applyFont="1" applyNumberFormat="1">
      <alignment vertical="center"/>
    </xf>
    <xf numFmtId="0" fontId="19" fillId="0" borderId="29" xfId="0" applyFont="1" applyBorder="1" applyNumberFormat="1">
      <alignment horizontal="left" vertical="center" indent="1"/>
    </xf>
    <xf numFmtId="0" fontId="19" fillId="0" borderId="23" xfId="0" applyFont="1" applyBorder="1" applyNumberFormat="1">
      <alignment horizontal="left" vertical="center" indent="1"/>
    </xf>
    <xf numFmtId="0" fontId="19" fillId="0" borderId="30" xfId="0" applyFont="1" applyBorder="1" applyNumberFormat="1">
      <alignment horizontal="left" vertical="center" indent="1"/>
    </xf>
    <xf numFmtId="0" fontId="76" fillId="0" borderId="0" xfId="0" applyFont="1" applyNumberFormat="1">
      <alignment vertical="center"/>
    </xf>
    <xf numFmtId="0" fontId="38" fillId="0" borderId="0" xfId="0" applyFont="1" applyNumberFormat="1">
      <alignment vertical="center"/>
    </xf>
    <xf numFmtId="0" fontId="98" fillId="0" borderId="0" xfId="0" applyFont="1" applyNumberFormat="1">
      <alignment vertical="center"/>
    </xf>
    <xf numFmtId="0" fontId="30" fillId="0" borderId="0" xfId="0" applyFont="1" applyNumberFormat="1">
      <alignment vertical="center"/>
    </xf>
    <xf numFmtId="0" fontId="19" fillId="0" borderId="0" xfId="0" applyFont="1" applyNumberFormat="1">
      <alignment horizontal="center" vertical="center" wrapText="1"/>
    </xf>
    <xf numFmtId="0" fontId="19" fillId="0" borderId="0" xfId="0" applyFont="1" applyNumberFormat="1">
      <alignment vertical="center" wrapText="1"/>
    </xf>
    <xf numFmtId="0" fontId="76" fillId="0" borderId="0" xfId="0" applyFont="1" applyNumberFormat="1">
      <alignment vertical="center"/>
    </xf>
    <xf numFmtId="0" fontId="38" fillId="0" borderId="0" xfId="0" applyFont="1" applyNumberFormat="1">
      <alignment vertical="center"/>
    </xf>
    <xf numFmtId="0" fontId="9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42" fillId="0" borderId="0" xfId="0" applyFont="1" applyNumberFormat="1">
      <alignment vertical="center"/>
    </xf>
    <xf numFmtId="0" fontId="19" fillId="41" borderId="0" xfId="0" applyFont="1" applyFill="1" applyNumberFormat="1">
      <alignment horizontal="center" vertical="center" wrapText="1"/>
    </xf>
    <xf numFmtId="0" fontId="19" fillId="0" borderId="0" xfId="0" applyFont="1" applyNumberFormat="1">
      <alignment vertical="center" wrapText="1"/>
    </xf>
    <xf numFmtId="0" fontId="19"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65" fillId="0" borderId="12" xfId="0" applyFont="1" applyBorder="1" applyNumberFormat="1">
      <alignment horizontal="center" vertical="center" wrapText="1"/>
    </xf>
    <xf numFmtId="0" fontId="19" fillId="0" borderId="0" xfId="0" applyFont="1" applyNumberFormat="1">
      <alignment horizontal="center" vertical="center" wrapText="1"/>
    </xf>
    <xf numFmtId="0" fontId="72"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72" xfId="0" applyFont="1" applyBorder="1" applyNumberFormat="1">
      <alignment horizontal="center" vertical="center" wrapText="1"/>
    </xf>
    <xf numFmtId="0" fontId="19" fillId="0" borderId="73" xfId="0" applyFont="1" applyBorder="1" applyNumberFormat="1">
      <alignment horizontal="center" vertical="center" wrapText="1"/>
    </xf>
    <xf numFmtId="0" fontId="36" fillId="0" borderId="22" xfId="0" applyFont="1" applyBorder="1" applyNumberFormat="1">
      <alignment vertical="center"/>
    </xf>
    <xf numFmtId="0" fontId="0" fillId="0" borderId="0" xfId="0" applyFont="1" applyNumberFormat="1">
      <alignment vertical="center"/>
    </xf>
    <xf numFmtId="49" fontId="24" fillId="0" borderId="0" xfId="0" applyFont="1" applyNumberFormat="1">
      <alignment horizontal="center" vertical="center" wrapText="1"/>
    </xf>
    <xf numFmtId="49" fontId="24" fillId="0" borderId="12" xfId="0" applyFont="1" applyBorder="1" applyNumberFormat="1">
      <alignment horizontal="center" vertical="center" wrapText="1"/>
    </xf>
    <xf numFmtId="49" fontId="24" fillId="0" borderId="70" xfId="0" applyFont="1" applyBorder="1" applyNumberFormat="1">
      <alignment horizontal="center" vertical="center" wrapText="1"/>
    </xf>
    <xf numFmtId="49" fontId="24" fillId="0" borderId="71" xfId="0" applyFont="1" applyBorder="1" applyNumberFormat="1">
      <alignment horizontal="center" vertical="center" wrapText="1"/>
    </xf>
    <xf numFmtId="49" fontId="24" fillId="0" borderId="14" xfId="0" applyFont="1" applyBorder="1" applyNumberFormat="1">
      <alignment horizontal="center" vertical="center" wrapText="1"/>
    </xf>
    <xf numFmtId="49" fontId="24" fillId="0" borderId="13" xfId="0" applyFont="1" applyBorder="1" applyNumberFormat="1">
      <alignment horizontal="center" vertical="center" wrapText="1"/>
    </xf>
    <xf numFmtId="0" fontId="36" fillId="0" borderId="22" xfId="0" applyFont="1" applyBorder="1" applyNumberFormat="1">
      <alignment vertical="center"/>
    </xf>
    <xf numFmtId="0" fontId="37" fillId="0" borderId="0" xfId="0" applyFont="1" applyNumberFormat="1">
      <alignment vertical="center"/>
    </xf>
    <xf numFmtId="0" fontId="37" fillId="0" borderId="0" xfId="0" applyFont="1" applyNumberFormat="1">
      <alignment vertical="center"/>
    </xf>
    <xf numFmtId="0" fontId="19" fillId="0" borderId="0" xfId="0" applyFont="1" applyNumberFormat="1">
      <alignment vertical="center"/>
    </xf>
    <xf numFmtId="0" fontId="36" fillId="0" borderId="0" xfId="0" applyFont="1" applyNumberFormat="1">
      <alignment vertical="center"/>
    </xf>
    <xf numFmtId="0" fontId="37" fillId="0" borderId="0" xfId="0" applyFont="1" applyNumberFormat="1">
      <alignment horizontal="center" vertical="center"/>
    </xf>
    <xf numFmtId="0" fontId="19" fillId="0" borderId="0" xfId="0" applyFont="1" applyNumberFormat="1">
      <alignment horizontal="center" vertical="center" wrapText="1"/>
    </xf>
    <xf numFmtId="0" fontId="19" fillId="36" borderId="14"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41" xfId="0" applyFont="1" applyFill="1" applyBorder="1" applyNumberFormat="1">
      <alignment horizontal="center" vertical="center" wrapText="1"/>
    </xf>
    <xf numFmtId="49" fontId="0" fillId="36" borderId="15" xfId="0" applyFont="1" applyFill="1" applyBorder="1" applyNumberFormat="1">
      <alignment horizontal="left" vertical="center"/>
    </xf>
    <xf numFmtId="0" fontId="0" fillId="36" borderId="13"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25" fillId="0" borderId="0" xfId="0" applyFont="1" applyNumberFormat="1">
      <alignment horizontal="center" vertical="center" wrapText="1"/>
    </xf>
    <xf numFmtId="49" fontId="19" fillId="0" borderId="12" xfId="0" applyFont="1" applyBorder="1" applyNumberFormat="1">
      <alignment horizontal="center" vertical="center" wrapText="1"/>
    </xf>
    <xf numFmtId="0" fontId="19" fillId="39" borderId="17" xfId="0" applyFont="1" applyFill="1" applyBorder="1" applyNumberFormat="1">
      <alignment horizontal="left" vertical="center" wrapText="1" indent="2"/>
    </xf>
    <xf numFmtId="49" fontId="19" fillId="39" borderId="23" xfId="0" applyFont="1" applyFill="1" applyBorder="1" applyNumberFormat="1">
      <alignment horizontal="center" vertical="center" wrapText="1"/>
    </xf>
    <xf numFmtId="14" fontId="71" fillId="0" borderId="74" xfId="0" applyFont="1" applyBorder="1" applyNumberFormat="1">
      <alignment horizontal="center" vertical="center" wrapText="1"/>
    </xf>
    <xf numFmtId="0" fontId="19" fillId="0" borderId="74" xfId="0" applyFont="1" applyBorder="1" applyNumberFormat="1">
      <alignment horizontal="center" vertical="center" wrapText="1"/>
    </xf>
    <xf numFmtId="0" fontId="19" fillId="39" borderId="17" xfId="0" applyFont="1" applyFill="1" applyBorder="1" applyNumberFormat="1">
      <alignment horizontal="left" vertical="center" wrapText="1" indent="1"/>
      <protection locked="0"/>
    </xf>
    <xf numFmtId="49" fontId="19" fillId="39" borderId="12" xfId="0" applyFont="1" applyFill="1" applyBorder="1" applyNumberFormat="1">
      <alignment horizontal="center" vertical="center" wrapText="1"/>
    </xf>
    <xf numFmtId="49" fontId="19" fillId="0" borderId="17" xfId="0" applyFont="1" applyBorder="1" applyNumberFormat="1">
      <alignment horizontal="center" vertical="center" wrapText="1"/>
    </xf>
    <xf numFmtId="49" fontId="19" fillId="0" borderId="12" xfId="0" applyFont="1" applyBorder="1" applyNumberFormat="1">
      <alignment horizontal="center" vertical="center" wrapText="1"/>
    </xf>
    <xf numFmtId="49" fontId="65" fillId="0" borderId="12" xfId="0" applyFont="1" applyBorder="1" applyNumberFormat="1">
      <alignment horizontal="left" vertical="center" wrapText="1" indent="1"/>
    </xf>
    <xf numFmtId="0" fontId="36" fillId="0" borderId="22" xfId="0" applyFont="1" applyBorder="1" applyNumberFormat="1">
      <alignment vertical="center"/>
    </xf>
    <xf numFmtId="0" fontId="37" fillId="0" borderId="0" xfId="0" applyFont="1" applyNumberFormat="1">
      <alignment vertical="center"/>
    </xf>
    <xf numFmtId="0" fontId="19" fillId="0" borderId="0" xfId="0" applyFont="1" applyNumberFormat="1">
      <alignment vertical="center"/>
    </xf>
    <xf numFmtId="0" fontId="36" fillId="0" borderId="0" xfId="0" applyFont="1" applyNumberFormat="1">
      <alignment vertical="center"/>
    </xf>
    <xf numFmtId="0" fontId="19" fillId="39" borderId="36" xfId="0" applyFont="1" applyFill="1" applyBorder="1" applyNumberFormat="1">
      <alignment horizontal="left" vertical="center" wrapText="1" indent="2"/>
    </xf>
    <xf numFmtId="0" fontId="19" fillId="39" borderId="23" xfId="0" applyFont="1" applyFill="1" applyBorder="1" applyNumberFormat="1">
      <alignment horizontal="left" vertical="center" wrapText="1" indent="1"/>
      <protection locked="0"/>
    </xf>
    <xf numFmtId="49" fontId="29" fillId="36" borderId="13" xfId="0" applyFont="1" applyFill="1" applyBorder="1" applyNumberFormat="1">
      <alignment horizontal="left" vertical="center" indent="1"/>
    </xf>
    <xf numFmtId="0" fontId="19" fillId="39" borderId="23" xfId="0" applyFont="1" applyFill="1" applyBorder="1" applyNumberFormat="1">
      <alignment horizontal="left" vertical="center" wrapText="1" indent="2"/>
    </xf>
    <xf numFmtId="49" fontId="39" fillId="36" borderId="42" xfId="0" applyFont="1" applyFill="1" applyBorder="1" applyNumberFormat="1">
      <alignment horizontal="right" vertical="center" wrapText="1"/>
    </xf>
    <xf numFmtId="49" fontId="39" fillId="36" borderId="43"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49" fontId="39" fillId="36" borderId="13" xfId="0" applyFont="1" applyFill="1" applyBorder="1" applyNumberFormat="1">
      <alignment horizontal="right" vertical="center" wrapText="1"/>
    </xf>
    <xf numFmtId="0" fontId="65" fillId="41" borderId="0" xfId="0" applyFont="1" applyFill="1" applyNumberFormat="1">
      <alignment vertical="top"/>
    </xf>
    <xf numFmtId="49" fontId="19" fillId="0" borderId="0" xfId="0" applyFont="1" applyNumberFormat="1">
      <alignment vertical="center" wrapText="1"/>
    </xf>
    <xf numFmtId="49" fontId="19" fillId="0" borderId="0" xfId="0" applyFont="1" applyNumberFormat="1">
      <alignment horizontal="center" vertical="center" wrapText="1"/>
    </xf>
    <xf numFmtId="49" fontId="29" fillId="36" borderId="15" xfId="0" applyFont="1" applyFill="1" applyBorder="1" applyNumberFormat="1">
      <alignment horizontal="left" vertical="center" indent="2"/>
    </xf>
    <xf numFmtId="0" fontId="0" fillId="0" borderId="0" xfId="0" applyFont="1" applyNumberFormat="1">
      <alignment vertical="center"/>
    </xf>
    <xf numFmtId="0" fontId="19" fillId="0" borderId="0" xfId="0" applyFont="1" applyNumberFormat="1">
      <alignment vertical="center"/>
    </xf>
    <xf numFmtId="0" fontId="37" fillId="0" borderId="0" xfId="0" applyFont="1" applyNumberFormat="1">
      <alignment vertical="center"/>
    </xf>
    <xf numFmtId="0" fontId="30" fillId="0" borderId="0" xfId="0" applyFont="1" applyNumberFormat="1">
      <alignment vertical="center"/>
    </xf>
    <xf numFmtId="0" fontId="38" fillId="0" borderId="0" xfId="0" applyFont="1" applyNumberFormat="1">
      <alignment vertical="center"/>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0" fontId="54" fillId="0" borderId="0" xfId="0" applyFont="1" applyNumberFormat="1">
      <alignment vertical="center" wrapText="1"/>
    </xf>
    <xf numFmtId="0" fontId="35" fillId="0" borderId="0" xfId="0" applyFont="1" applyNumberFormat="1">
      <alignment vertical="center" wrapText="1"/>
    </xf>
    <xf numFmtId="0" fontId="35" fillId="0" borderId="0" xfId="0" applyFont="1" applyNumberFormat="1">
      <alignment vertical="center" wrapText="1"/>
    </xf>
    <xf numFmtId="0" fontId="98" fillId="0" borderId="0" xfId="0" applyFont="1" applyNumberFormat="1">
      <alignment vertical="center"/>
    </xf>
    <xf numFmtId="0" fontId="19" fillId="0" borderId="27" xfId="0" applyFont="1" applyBorder="1" applyNumberFormat="1">
      <alignment horizontal="left" vertical="center" indent="1"/>
    </xf>
    <xf numFmtId="0" fontId="57" fillId="0" borderId="0" xfId="0" applyFont="1" applyNumberFormat="1">
      <alignment vertical="center"/>
    </xf>
    <xf numFmtId="0" fontId="37" fillId="0" borderId="0" xfId="0" applyFont="1" applyNumberFormat="1">
      <alignment vertical="center"/>
    </xf>
    <xf numFmtId="0" fontId="63" fillId="0" borderId="24" xfId="0" applyFont="1" applyBorder="1" applyNumberFormat="1">
      <alignment horizontal="left" vertical="center" wrapText="1" indent="1"/>
    </xf>
    <xf numFmtId="0" fontId="63" fillId="0" borderId="36" xfId="0" applyFont="1" applyBorder="1" applyNumberFormat="1">
      <alignment horizontal="left" vertical="center" wrapText="1" indent="1"/>
    </xf>
    <xf numFmtId="0" fontId="63" fillId="0" borderId="22" xfId="0" applyFont="1" applyBorder="1" applyNumberFormat="1">
      <alignment horizontal="left" vertical="center" wrapText="1" indent="1"/>
    </xf>
    <xf numFmtId="0" fontId="57" fillId="0" borderId="0" xfId="0" applyFont="1" applyNumberFormat="1">
      <alignment vertical="center"/>
    </xf>
    <xf numFmtId="0" fontId="19" fillId="0" borderId="0" xfId="0" applyFont="1" applyNumberFormat="1">
      <alignment vertical="center"/>
    </xf>
    <xf numFmtId="0" fontId="42" fillId="0" borderId="0" xfId="0" applyFont="1" applyNumberFormat="1">
      <alignment vertical="center"/>
    </xf>
    <xf numFmtId="0" fontId="30" fillId="0" borderId="0" xfId="0" applyFont="1" applyNumberFormat="1">
      <alignment vertical="center"/>
    </xf>
    <xf numFmtId="0" fontId="0"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xf>
    <xf numFmtId="0" fontId="37" fillId="0" borderId="0" xfId="0" applyFont="1" applyNumberFormat="1">
      <alignment vertical="center"/>
    </xf>
    <xf numFmtId="49" fontId="37" fillId="34" borderId="0" xfId="0" applyFont="1" applyFill="1" applyNumberFormat="1">
      <alignment horizontal="center" vertical="center" wrapText="1"/>
    </xf>
    <xf numFmtId="49" fontId="37" fillId="34" borderId="27" xfId="0" applyFont="1" applyFill="1" applyBorder="1" applyNumberFormat="1">
      <alignment horizontal="center" vertical="center" wrapText="1"/>
    </xf>
    <xf numFmtId="0" fontId="25" fillId="0" borderId="0" xfId="0" applyFont="1" applyNumberFormat="1">
      <alignment horizontal="center" vertical="center" wrapText="1"/>
    </xf>
    <xf numFmtId="0" fontId="37" fillId="0" borderId="12" xfId="0" applyFont="1" applyBorder="1" applyNumberFormat="1">
      <alignment horizontal="center" vertical="center"/>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xf>
    <xf numFmtId="49"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19" fillId="0" borderId="12" xfId="0" applyFont="1" applyBorder="1" applyNumberFormat="1">
      <alignment horizontal="left" vertical="top" wrapText="1"/>
    </xf>
    <xf numFmtId="0" fontId="19" fillId="39"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19" fillId="0" borderId="19" xfId="0" applyFont="1" applyBorder="1" applyNumberFormat="1">
      <alignment horizontal="left" vertical="center" wrapText="1"/>
    </xf>
    <xf numFmtId="49" fontId="19"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19" fillId="0" borderId="20" xfId="0" applyFont="1" applyBorder="1" applyNumberFormat="1">
      <alignment horizontal="left" vertical="center" wrapText="1"/>
    </xf>
    <xf numFmtId="0" fontId="19" fillId="0" borderId="0" xfId="0" applyFont="1" applyNumberFormat="1">
      <alignment horizontal="left" vertical="center" indent="1"/>
    </xf>
    <xf numFmtId="0" fontId="0" fillId="0" borderId="0" xfId="0" applyFont="1" applyNumberFormat="1">
      <alignment vertical="center"/>
    </xf>
    <xf numFmtId="0" fontId="19" fillId="39"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19" fillId="0" borderId="0" xfId="0" applyFont="1" applyNumberFormat="1">
      <alignment horizontal="left" vertical="center" wrapText="1"/>
    </xf>
    <xf numFmtId="49" fontId="19"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29" fillId="0" borderId="0" xfId="0" applyFont="1" applyNumberFormat="1">
      <alignment horizontal="left" vertical="center"/>
    </xf>
    <xf numFmtId="0" fontId="29" fillId="0" borderId="24"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horizontal="left" vertical="top"/>
    </xf>
    <xf numFmtId="49" fontId="19" fillId="0" borderId="0" xfId="0" applyFont="1" applyNumberFormat="1">
      <alignment horizontal="center"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19" fillId="39" borderId="23" xfId="0" applyFont="1" applyFill="1" applyBorder="1" applyNumberFormat="1">
      <alignment horizontal="center" vertical="top" wrapText="1"/>
    </xf>
    <xf numFmtId="0" fontId="29" fillId="0" borderId="30" xfId="0" applyFont="1" applyBorder="1" applyNumberFormat="1">
      <alignment horizontal="left" vertical="center"/>
    </xf>
    <xf numFmtId="0" fontId="29" fillId="0" borderId="27" xfId="0" applyFont="1" applyBorder="1" applyNumberFormat="1">
      <alignment horizontal="left" vertical="center"/>
    </xf>
    <xf numFmtId="0" fontId="0" fillId="0" borderId="27" xfId="0" applyFont="1" applyBorder="1" applyNumberFormat="1">
      <alignment vertical="center"/>
    </xf>
    <xf numFmtId="0" fontId="29" fillId="0" borderId="29" xfId="0" applyFont="1" applyBorder="1" applyNumberFormat="1">
      <alignment horizontal="left" vertical="center"/>
    </xf>
    <xf numFmtId="0" fontId="0" fillId="0" borderId="0" xfId="0" applyFont="1" applyNumberFormat="1">
      <alignment vertical="center"/>
    </xf>
    <xf numFmtId="49" fontId="19" fillId="0" borderId="0" xfId="0" applyFont="1" applyNumberFormat="1">
      <alignment horizontal="left" vertical="center" indent="1"/>
    </xf>
    <xf numFmtId="0" fontId="19" fillId="39" borderId="12" xfId="0" applyFont="1" applyFill="1" applyBorder="1" applyNumberFormat="1">
      <alignment horizontal="left" vertical="top" wrapText="1"/>
    </xf>
    <xf numFmtId="0" fontId="0" fillId="0" borderId="12" xfId="0" applyFont="1" applyBorder="1" applyNumberFormat="1">
      <alignment horizontal="center" vertical="center"/>
    </xf>
    <xf numFmtId="49" fontId="19" fillId="35" borderId="12" xfId="0" applyFont="1" applyFill="1" applyBorder="1" applyNumberFormat="1">
      <alignment horizontal="left" vertical="center" wrapText="1"/>
      <protection locked="0"/>
    </xf>
    <xf numFmtId="49" fontId="19" fillId="39" borderId="17"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0" fillId="34" borderId="12" xfId="0" applyFont="1" applyFill="1" applyBorder="1" applyNumberFormat="1">
      <alignment horizontal="left" vertical="center" wrapText="1"/>
    </xf>
    <xf numFmtId="49" fontId="0" fillId="34" borderId="12" xfId="0" applyFont="1" applyFill="1" applyBorder="1" applyNumberFormat="1">
      <alignment horizontal="left" vertical="center" wrapText="1"/>
    </xf>
    <xf numFmtId="49" fontId="19" fillId="39" borderId="12" xfId="0" applyFont="1" applyFill="1" applyBorder="1" applyNumberFormat="1">
      <alignment horizontal="center" vertical="center" wrapText="1"/>
    </xf>
    <xf numFmtId="49" fontId="19" fillId="39" borderId="36" xfId="0" applyFont="1" applyFill="1" applyBorder="1" applyNumberFormat="1">
      <alignment horizontal="center" vertical="center" wrapText="1"/>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49" fontId="0" fillId="39" borderId="12" xfId="0" applyFont="1" applyFill="1" applyBorder="1" applyNumberFormat="1">
      <alignment horizontal="left" vertical="top"/>
    </xf>
    <xf numFmtId="49" fontId="0" fillId="0" borderId="12" xfId="0" applyFont="1" applyBorder="1" applyNumberFormat="1">
      <alignment vertical="top"/>
    </xf>
    <xf numFmtId="49" fontId="0" fillId="35" borderId="12" xfId="0" applyFont="1" applyFill="1" applyBorder="1" applyNumberFormat="1">
      <alignment horizontal="left" vertical="top"/>
      <protection locked="0"/>
    </xf>
    <xf numFmtId="49" fontId="19" fillId="39" borderId="23" xfId="0" applyFont="1" applyFill="1" applyBorder="1" applyNumberFormat="1">
      <alignment horizontal="center" vertical="center" wrapText="1"/>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29" fillId="36" borderId="13" xfId="0" applyFont="1" applyFill="1" applyBorder="1" applyNumberFormat="1">
      <alignment horizontal="lef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29" fillId="36" borderId="13" xfId="0" applyFont="1" applyFill="1" applyBorder="1" applyNumberFormat="1">
      <alignment horizontal="lef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29" fillId="36" borderId="13" xfId="0" applyFont="1" applyFill="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0" fontId="0" fillId="0" borderId="17" xfId="0" applyFont="1" applyBorder="1" applyNumberFormat="1">
      <alignment horizontal="center" vertical="top"/>
    </xf>
    <xf numFmtId="0" fontId="19" fillId="0" borderId="17" xfId="0" applyFont="1" applyBorder="1" applyNumberFormat="1">
      <alignment horizontal="left" vertical="top" wrapText="1"/>
    </xf>
    <xf numFmtId="0" fontId="0" fillId="0" borderId="36" xfId="0" applyFont="1" applyBorder="1" applyNumberFormat="1">
      <alignment horizontal="center" vertical="top"/>
    </xf>
    <xf numFmtId="0" fontId="19" fillId="0" borderId="36" xfId="0" applyFont="1" applyBorder="1" applyNumberFormat="1">
      <alignment horizontal="left" vertical="top" wrapText="1"/>
    </xf>
    <xf numFmtId="0" fontId="0" fillId="0" borderId="23" xfId="0" applyFont="1" applyBorder="1" applyNumberFormat="1">
      <alignment horizontal="center" vertical="top"/>
    </xf>
    <xf numFmtId="0" fontId="19" fillId="0" borderId="23" xfId="0" applyFont="1" applyBorder="1" applyNumberFormat="1">
      <alignment horizontal="left" vertical="top"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horizontal="center" vertical="center" wrapText="1"/>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horizontal="center" vertical="center" wrapText="1"/>
    </xf>
    <xf numFmtId="0" fontId="0"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49" fontId="37" fillId="0" borderId="0" xfId="0" applyFont="1" applyNumberFormat="1">
      <alignment horizontal="center" vertical="center"/>
    </xf>
    <xf numFmtId="49" fontId="36" fillId="0" borderId="0" xfId="0" applyFont="1" applyNumberFormat="1">
      <alignment horizontal="center" vertical="center"/>
    </xf>
    <xf numFmtId="49" fontId="57" fillId="0" borderId="0" xfId="0" applyFont="1" applyNumberFormat="1">
      <alignment vertical="top"/>
    </xf>
    <xf numFmtId="49" fontId="0" fillId="0" borderId="0" xfId="0" applyFont="1" applyNumberFormat="1">
      <alignment vertical="top"/>
    </xf>
    <xf numFmtId="49" fontId="20" fillId="0" borderId="0" xfId="0" applyFont="1" applyNumberFormat="1">
      <alignment vertical="top"/>
    </xf>
    <xf numFmtId="0" fontId="20" fillId="0" borderId="0" xfId="0" applyFont="1" applyNumberFormat="1">
      <alignment vertical="center" wrapText="1"/>
    </xf>
    <xf numFmtId="0" fontId="19" fillId="0" borderId="0" xfId="0" applyFont="1" applyNumberFormat="1">
      <alignment vertical="center" wrapText="1"/>
    </xf>
    <xf numFmtId="0" fontId="25" fillId="0" borderId="0" xfId="0" applyFont="1" applyNumberFormat="1">
      <alignment horizontal="center" vertical="center" wrapText="1"/>
    </xf>
    <xf numFmtId="0" fontId="19" fillId="0" borderId="19" xfId="0" applyFont="1" applyBorder="1" applyNumberFormat="1">
      <alignment horizontal="left" vertical="center" wrapText="1" indent="1"/>
    </xf>
    <xf numFmtId="0" fontId="35" fillId="0" borderId="0" xfId="0" applyFont="1" applyNumberFormat="1">
      <alignment horizontal="left" vertical="center" wrapText="1" indent="1"/>
    </xf>
    <xf numFmtId="0" fontId="31" fillId="0" borderId="0" xfId="0" applyFont="1" applyNumberFormat="1">
      <alignment vertical="center"/>
    </xf>
    <xf numFmtId="0" fontId="103" fillId="0" borderId="0" xfId="0" applyFont="1" applyNumberFormat="1">
      <alignment vertical="center" wrapText="1"/>
    </xf>
    <xf numFmtId="0" fontId="104" fillId="0" borderId="0" xfId="0" applyFont="1" applyNumberFormat="1">
      <alignment vertical="center" wrapText="1"/>
    </xf>
    <xf numFmtId="0" fontId="31"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vertical="center" wrapText="1"/>
    </xf>
    <xf numFmtId="0" fontId="19" fillId="0" borderId="27" xfId="0" applyFont="1" applyBorder="1" applyNumberFormat="1">
      <alignment horizontal="left" vertical="center" wrapText="1" indent="1"/>
    </xf>
    <xf numFmtId="0" fontId="19" fillId="0" borderId="37"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24"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30" xfId="0" applyFont="1" applyBorder="1" applyNumberFormat="1">
      <alignment horizontal="center" vertical="center" wrapText="1"/>
    </xf>
    <xf numFmtId="0" fontId="19" fillId="0" borderId="29"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49" fontId="19" fillId="0" borderId="0" xfId="0" applyFont="1" applyNumberFormat="1">
      <alignment vertical="top"/>
    </xf>
    <xf numFmtId="49" fontId="19" fillId="0" borderId="12" xfId="0" applyFont="1" applyBorder="1" applyNumberFormat="1">
      <alignment horizontal="center" vertical="center"/>
    </xf>
    <xf numFmtId="0" fontId="19" fillId="0" borderId="12" xfId="0" applyFont="1" applyBorder="1" applyNumberFormat="1">
      <alignment horizontal="left" vertical="center" wrapText="1"/>
    </xf>
    <xf numFmtId="49" fontId="19" fillId="39" borderId="17" xfId="0" applyFont="1" applyFill="1" applyBorder="1" applyNumberFormat="1">
      <alignment horizontal="center" vertical="center" wrapText="1"/>
    </xf>
    <xf numFmtId="49" fontId="19" fillId="0" borderId="37" xfId="0" applyFont="1" applyBorder="1" applyNumberFormat="1">
      <alignment vertical="center" wrapText="1"/>
    </xf>
    <xf numFmtId="0" fontId="19" fillId="0" borderId="19" xfId="0" applyFont="1" applyBorder="1" applyNumberFormat="1">
      <alignment horizontal="center" vertical="center"/>
    </xf>
    <xf numFmtId="49" fontId="19" fillId="0" borderId="19" xfId="0" applyFont="1" applyBorder="1" applyNumberFormat="1">
      <alignment horizontal="left" vertical="center" wrapText="1"/>
    </xf>
    <xf numFmtId="49" fontId="19" fillId="0" borderId="19" xfId="0" applyFont="1" applyBorder="1" applyNumberFormat="1">
      <alignmen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19" xfId="0" applyFont="1" applyBorder="1" applyNumberFormat="1">
      <alignment horizontal="center" vertical="center" wrapText="1"/>
    </xf>
    <xf numFmtId="0" fontId="19"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19" fillId="0" borderId="19" xfId="0" applyFont="1" applyBorder="1" applyNumberFormat="1">
      <alignment vertical="center" wrapText="1"/>
    </xf>
    <xf numFmtId="49" fontId="19" fillId="39" borderId="36" xfId="0" applyFont="1" applyFill="1" applyBorder="1" applyNumberFormat="1">
      <alignment horizontal="center" vertical="center" wrapText="1"/>
    </xf>
    <xf numFmtId="49" fontId="19" fillId="0" borderId="22" xfId="0" applyFont="1" applyBorder="1" applyNumberFormat="1">
      <alignment vertical="center" wrapText="1"/>
    </xf>
    <xf numFmtId="0" fontId="19" fillId="0" borderId="0" xfId="0" applyFont="1" applyNumberFormat="1">
      <alignment horizontal="center" vertical="center"/>
    </xf>
    <xf numFmtId="0" fontId="19" fillId="0" borderId="0" xfId="0" applyFont="1" applyNumberFormat="1">
      <alignment horizontal="left" vertical="center" wrapText="1"/>
    </xf>
    <xf numFmtId="49" fontId="19" fillId="0" borderId="0" xfId="0" applyFont="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49" fontId="19" fillId="0" borderId="0" xfId="0" applyFont="1" applyNumberFormat="1">
      <alignment horizontal="center" vertical="center" wrapText="1"/>
    </xf>
    <xf numFmtId="0" fontId="19" fillId="0" borderId="0" xfId="0" applyFont="1" applyNumberFormat="1">
      <alignment horizontal="left" vertical="center" wrapText="1"/>
    </xf>
    <xf numFmtId="0" fontId="29" fillId="0" borderId="0" xfId="0" applyFont="1" applyNumberFormat="1">
      <alignment horizontal="left" vertical="center"/>
    </xf>
    <xf numFmtId="0" fontId="29" fillId="0" borderId="0" xfId="0" applyFont="1" applyNumberFormat="1">
      <alignment horizontal="left" vertical="center"/>
    </xf>
    <xf numFmtId="0" fontId="29" fillId="0" borderId="24" xfId="0" applyFont="1" applyBorder="1" applyNumberFormat="1">
      <alignment horizontal="left" vertical="center"/>
    </xf>
    <xf numFmtId="49" fontId="19" fillId="0" borderId="0" xfId="0" applyFont="1" applyNumberFormat="1">
      <alignment horizontal="center" vertical="center" wrapText="1"/>
    </xf>
    <xf numFmtId="49" fontId="25" fillId="0" borderId="0" xfId="0" applyFont="1" applyNumberFormat="1">
      <alignment horizontal="center" vertical="center" wrapText="1"/>
    </xf>
    <xf numFmtId="0" fontId="29" fillId="0" borderId="0" xfId="0" applyFont="1" applyNumberFormat="1">
      <alignment vertical="center"/>
    </xf>
    <xf numFmtId="0" fontId="29" fillId="0" borderId="22" xfId="0" applyFont="1" applyBorder="1" applyNumberFormat="1">
      <alignment horizontal="left" vertical="center"/>
    </xf>
    <xf numFmtId="49" fontId="19" fillId="0" borderId="17" xfId="0" applyFont="1" applyBorder="1" applyNumberFormat="1">
      <alignment horizontal="center" vertical="center"/>
    </xf>
    <xf numFmtId="0" fontId="19" fillId="0" borderId="17" xfId="0" applyFont="1" applyBorder="1" applyNumberFormat="1">
      <alignment horizontal="left" vertical="center" wrapText="1"/>
    </xf>
    <xf numFmtId="0" fontId="19" fillId="0" borderId="37" xfId="0" applyFont="1" applyBorder="1" applyNumberFormat="1">
      <alignment horizontal="left" vertical="center" wrapText="1"/>
    </xf>
    <xf numFmtId="49" fontId="57" fillId="0" borderId="30" xfId="0" applyFont="1" applyBorder="1" applyNumberFormat="1">
      <alignment vertical="top"/>
    </xf>
    <xf numFmtId="49" fontId="57" fillId="0" borderId="27" xfId="0" applyFont="1" applyBorder="1" applyNumberFormat="1">
      <alignment vertical="top"/>
    </xf>
    <xf numFmtId="0" fontId="29" fillId="0" borderId="27" xfId="0" applyFont="1" applyBorder="1" applyNumberFormat="1">
      <alignment horizontal="left" vertical="center"/>
    </xf>
    <xf numFmtId="0" fontId="29" fillId="0" borderId="29" xfId="0" applyFont="1" applyBorder="1" applyNumberFormat="1">
      <alignment horizontal="left" vertical="center"/>
    </xf>
    <xf numFmtId="0" fontId="19" fillId="0" borderId="0" xfId="0" applyFont="1" applyNumberFormat="1">
      <alignment horizontal="left" vertical="center" wrapText="1"/>
    </xf>
    <xf numFmtId="0" fontId="19" fillId="0" borderId="14" xfId="0" applyFont="1" applyBorder="1" applyNumberFormat="1">
      <alignment horizontal="left" vertical="center" wrapText="1"/>
    </xf>
    <xf numFmtId="0" fontId="19" fillId="34" borderId="0" xfId="0" applyFont="1" applyFill="1" applyNumberFormat="1"/>
    <xf numFmtId="0" fontId="51" fillId="34" borderId="0" xfId="0" applyFont="1" applyFill="1" applyNumberFormat="1"/>
    <xf numFmtId="0" fontId="37" fillId="34" borderId="0" xfId="0" applyFont="1" applyFill="1" applyNumberFormat="1"/>
    <xf numFmtId="0" fontId="51" fillId="34" borderId="0" xfId="0" applyFont="1" applyFill="1" applyNumberFormat="1">
      <alignment horizontal="center"/>
    </xf>
    <xf numFmtId="0" fontId="80" fillId="0" borderId="0" xfId="0" applyFont="1" applyNumberFormat="1">
      <alignment vertical="center"/>
    </xf>
    <xf numFmtId="0" fontId="79" fillId="0" borderId="0" xfId="0" applyFont="1" applyNumberFormat="1">
      <alignment vertical="center"/>
    </xf>
    <xf numFmtId="0" fontId="60" fillId="34" borderId="0" xfId="0" applyFont="1" applyFill="1" applyNumberFormat="1">
      <alignment horizontal="right" vertical="center"/>
    </xf>
    <xf numFmtId="0" fontId="19" fillId="34" borderId="0" xfId="0" applyFont="1" applyFill="1" applyNumberFormat="1">
      <alignment vertical="center" wrapText="1"/>
    </xf>
    <xf numFmtId="0" fontId="37" fillId="34" borderId="0" xfId="0" applyFont="1" applyFill="1" applyNumberFormat="1">
      <alignment vertical="center" wrapText="1"/>
    </xf>
    <xf numFmtId="0" fontId="19" fillId="34" borderId="0" xfId="0" applyFont="1" applyFill="1" applyNumberFormat="1">
      <alignment horizontal="center" vertical="center" wrapText="1"/>
    </xf>
    <xf numFmtId="0" fontId="83" fillId="34" borderId="0" xfId="0" applyFont="1" applyFill="1" applyNumberFormat="1">
      <alignment horizontal="left" vertical="center" wrapText="1"/>
    </xf>
    <xf numFmtId="49"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24" fillId="34" borderId="0" xfId="0" applyFont="1" applyFill="1" applyNumberFormat="1">
      <alignment horizontal="center" vertical="center"/>
    </xf>
    <xf numFmtId="49" fontId="37" fillId="0" borderId="12" xfId="0" applyFont="1" applyBorder="1" applyNumberFormat="1">
      <alignment horizontal="center" vertical="center"/>
    </xf>
    <xf numFmtId="0" fontId="37" fillId="0" borderId="12" xfId="0" applyFont="1" applyBorder="1" applyNumberFormat="1">
      <alignment vertical="center" wrapText="1"/>
    </xf>
    <xf numFmtId="0" fontId="37" fillId="0" borderId="12" xfId="0" applyFont="1" applyBorder="1" applyNumberFormat="1">
      <alignment horizontal="left" vertical="center" wrapText="1"/>
    </xf>
    <xf numFmtId="0" fontId="55" fillId="34" borderId="0" xfId="0" applyFont="1" applyFill="1" applyNumberFormat="1"/>
    <xf numFmtId="49" fontId="0" fillId="34" borderId="12" xfId="0" applyFont="1" applyFill="1" applyBorder="1" applyNumberFormat="1">
      <alignment horizontal="center" vertical="center"/>
    </xf>
    <xf numFmtId="0" fontId="0" fillId="34" borderId="12" xfId="0" applyFont="1" applyFill="1" applyBorder="1" applyNumberFormat="1">
      <alignment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vertical="center" wrapText="1"/>
    </xf>
    <xf numFmtId="0" fontId="0" fillId="34" borderId="12" xfId="0" applyFont="1" applyFill="1" applyBorder="1" applyNumberFormat="1">
      <alignment horizontal="left" vertical="center" wrapText="1" indent="1"/>
    </xf>
    <xf numFmtId="49" fontId="0" fillId="38" borderId="12" xfId="0" applyFont="1" applyFill="1" applyBorder="1" applyNumberFormat="1">
      <alignment horizontal="left" vertical="center" wrapText="1"/>
      <protection locked="0"/>
    </xf>
    <xf numFmtId="0" fontId="37" fillId="0" borderId="12" xfId="0" applyFont="1" applyBorder="1" applyNumberFormat="1">
      <alignment horizontal="left" vertical="center" wrapText="1" indent="1"/>
    </xf>
    <xf numFmtId="0" fontId="19" fillId="34" borderId="0" xfId="0" applyFont="1" applyFill="1" applyNumberFormat="1">
      <alignment horizontal="center" vertical="center" wrapText="1"/>
    </xf>
    <xf numFmtId="0" fontId="19" fillId="34" borderId="24" xfId="0" applyFont="1" applyFill="1" applyBorder="1" applyNumberFormat="1">
      <alignment horizontal="center" vertical="center" wrapText="1"/>
    </xf>
    <xf numFmtId="0" fontId="0" fillId="34" borderId="12" xfId="0" applyFont="1" applyFill="1" applyBorder="1" applyNumberFormat="1">
      <alignment horizontal="center" vertical="center"/>
    </xf>
    <xf numFmtId="0" fontId="80" fillId="0" borderId="0" xfId="0" applyFont="1" applyNumberFormat="1">
      <alignment vertical="center" wrapText="1"/>
    </xf>
    <xf numFmtId="0" fontId="0" fillId="34" borderId="12" xfId="0" applyFont="1" applyFill="1" applyBorder="1" applyNumberFormat="1">
      <alignment horizontal="left" vertical="center" wrapText="1" indent="2"/>
    </xf>
    <xf numFmtId="49" fontId="0" fillId="38" borderId="12" xfId="0" applyFont="1" applyFill="1" applyBorder="1" applyNumberFormat="1">
      <alignment horizontal="left" vertical="center" wrapText="1"/>
      <protection locked="0"/>
    </xf>
    <xf numFmtId="49" fontId="37" fillId="34" borderId="12" xfId="0" applyFont="1" applyFill="1" applyBorder="1" applyNumberFormat="1">
      <alignment horizontal="center" vertical="center"/>
    </xf>
    <xf numFmtId="0" fontId="37" fillId="34" borderId="12" xfId="0" applyFont="1" applyFill="1" applyBorder="1" applyNumberFormat="1">
      <alignment vertical="center" wrapText="1"/>
    </xf>
    <xf numFmtId="0" fontId="37" fillId="0" borderId="12" xfId="0" applyFont="1" applyBorder="1" applyNumberFormat="1">
      <alignment horizontal="center" vertical="center" wrapText="1"/>
    </xf>
    <xf numFmtId="0" fontId="37" fillId="34" borderId="12" xfId="0" applyFont="1" applyFill="1" applyBorder="1" applyNumberFormat="1">
      <alignment horizontal="left" vertical="center" wrapText="1" indent="1"/>
    </xf>
    <xf numFmtId="0" fontId="37" fillId="34" borderId="12" xfId="0" applyFont="1" applyFill="1" applyBorder="1" applyNumberFormat="1">
      <alignment horizontal="left" vertical="center" wrapText="1" indent="2"/>
    </xf>
    <xf numFmtId="49" fontId="37" fillId="0" borderId="12" xfId="0" applyFont="1" applyBorder="1" applyNumberFormat="1">
      <alignment horizontal="left" vertical="center" wrapText="1"/>
    </xf>
    <xf numFmtId="49" fontId="37" fillId="0" borderId="12" xfId="0" applyFont="1" applyBorder="1" applyNumberFormat="1">
      <alignment horizontal="left" vertical="center" wrapText="1"/>
    </xf>
    <xf numFmtId="0" fontId="0" fillId="34" borderId="12" xfId="0" applyFont="1" applyFill="1" applyBorder="1" applyNumberFormat="1">
      <alignment horizontal="left" vertical="center" wrapText="1"/>
    </xf>
    <xf numFmtId="49" fontId="0" fillId="35" borderId="12" xfId="0" applyFont="1" applyFill="1" applyBorder="1" applyNumberFormat="1">
      <alignment horizontal="left" vertical="center" wrapText="1"/>
      <protection locked="0"/>
    </xf>
    <xf numFmtId="0" fontId="0" fillId="34" borderId="17" xfId="0" applyFont="1" applyFill="1" applyBorder="1" applyNumberFormat="1">
      <alignment horizontal="left" vertical="center" wrapText="1"/>
    </xf>
    <xf numFmtId="0" fontId="19" fillId="34"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xf>
    <xf numFmtId="0" fontId="19" fillId="34" borderId="36" xfId="0" applyFont="1" applyFill="1" applyBorder="1" applyNumberFormat="1">
      <alignment horizontal="left" vertical="top" wrapText="1"/>
    </xf>
    <xf numFmtId="0" fontId="25" fillId="34" borderId="0" xfId="0" applyFont="1" applyFill="1" applyNumberFormat="1">
      <alignment horizontal="center" vertical="center" wrapText="1"/>
    </xf>
    <xf numFmtId="49" fontId="0" fillId="38"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0" fontId="19" fillId="36" borderId="14" xfId="0" applyFont="1" applyFill="1" applyBorder="1" applyNumberFormat="1">
      <alignment horizontal="center"/>
    </xf>
    <xf numFmtId="0" fontId="60" fillId="36" borderId="13" xfId="0" applyFont="1" applyFill="1" applyBorder="1" applyNumberFormat="1">
      <alignment horizontal="left" vertical="center"/>
    </xf>
    <xf numFmtId="0" fontId="19" fillId="34" borderId="23" xfId="0" applyFont="1" applyFill="1" applyBorder="1" applyNumberFormat="1">
      <alignment horizontal="left" vertical="top" wrapText="1"/>
    </xf>
    <xf numFmtId="0" fontId="41" fillId="34" borderId="0" xfId="0" applyFont="1" applyFill="1" applyNumberFormat="1"/>
    <xf numFmtId="49" fontId="19" fillId="38" borderId="12" xfId="0" applyFont="1" applyFill="1" applyBorder="1" applyNumberFormat="1" quotePrefix="1">
      <alignment horizontal="left" vertical="center" wrapText="1"/>
      <protection locked="0"/>
    </xf>
    <xf numFmtId="49" fontId="19" fillId="35" borderId="12" xfId="0" applyFont="1" applyFill="1" applyBorder="1" applyNumberFormat="1">
      <alignment horizontal="left" vertical="center" wrapText="1"/>
      <protection locked="0"/>
    </xf>
    <xf numFmtId="49" fontId="19" fillId="39" borderId="12" xfId="0" applyFont="1" applyFill="1" applyBorder="1" applyNumberFormat="1">
      <alignment horizontal="left" vertical="center" wrapText="1"/>
    </xf>
    <xf numFmtId="49" fontId="19" fillId="34" borderId="0" xfId="0" applyFont="1" applyFill="1" applyNumberFormat="1">
      <alignment horizontal="center" vertical="center" wrapText="1"/>
    </xf>
    <xf numFmtId="0" fontId="19" fillId="34" borderId="24" xfId="0" applyFont="1" applyFill="1" applyBorder="1" applyNumberFormat="1">
      <alignment vertical="center" wrapText="1"/>
    </xf>
    <xf numFmtId="49" fontId="19" fillId="39" borderId="12" xfId="0" applyFont="1" applyFill="1" applyBorder="1" applyNumberFormat="1">
      <alignment horizontal="left" vertical="center" wrapText="1"/>
    </xf>
    <xf numFmtId="0" fontId="0" fillId="34" borderId="14" xfId="0" applyFont="1" applyFill="1" applyBorder="1" applyNumberFormat="1">
      <alignment horizontal="left" vertical="center" wrapText="1" indent="1"/>
    </xf>
    <xf numFmtId="49" fontId="19" fillId="39" borderId="14" xfId="0" applyFont="1" applyFill="1" applyBorder="1" applyNumberFormat="1">
      <alignment horizontal="left" vertical="center" wrapText="1"/>
    </xf>
    <xf numFmtId="0" fontId="0" fillId="34" borderId="12" xfId="0" applyFont="1" applyFill="1" applyBorder="1" applyNumberFormat="1">
      <alignment vertical="top" wrapText="1"/>
    </xf>
    <xf numFmtId="0" fontId="60" fillId="36" borderId="15" xfId="0" applyFont="1" applyFill="1" applyBorder="1" applyNumberFormat="1">
      <alignment horizontal="left" vertical="center"/>
    </xf>
    <xf numFmtId="49" fontId="19" fillId="34" borderId="0" xfId="0" applyFont="1" applyFill="1" applyNumberFormat="1">
      <alignment horizontal="center" vertical="center" wrapText="1"/>
    </xf>
    <xf numFmtId="0" fontId="0" fillId="34" borderId="14" xfId="0" applyFont="1" applyFill="1" applyBorder="1" applyNumberFormat="1">
      <alignment horizontal="left" vertical="center" wrapText="1"/>
    </xf>
    <xf numFmtId="0" fontId="0" fillId="34" borderId="23" xfId="0" applyFont="1" applyFill="1" applyBorder="1" applyNumberFormat="1">
      <alignment vertical="center" wrapText="1"/>
    </xf>
    <xf numFmtId="0" fontId="66" fillId="34" borderId="0" xfId="0" applyFont="1" applyFill="1" applyNumberFormat="1"/>
    <xf numFmtId="0" fontId="19" fillId="0" borderId="0" xfId="0" applyFont="1" applyNumberFormat="1">
      <alignment vertical="top" wrapText="1"/>
    </xf>
    <xf numFmtId="0" fontId="37" fillId="0" borderId="0" xfId="0" applyFont="1" applyNumberFormat="1">
      <alignment vertical="center" wrapText="1"/>
    </xf>
    <xf numFmtId="0" fontId="34" fillId="0" borderId="0" xfId="0" applyFont="1" applyNumberFormat="1">
      <alignment horizontal="right" vertical="top" wrapText="1"/>
    </xf>
    <xf numFmtId="0" fontId="34" fillId="0" borderId="0" xfId="0" applyFont="1" applyNumberFormat="1">
      <alignment horizontal="left" vertical="top" wrapText="1" indent="1"/>
    </xf>
    <xf numFmtId="0" fontId="34" fillId="0" borderId="0" xfId="0" applyFont="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7" fillId="34" borderId="0" xfId="0" applyFont="1" applyFill="1" applyNumberFormat="1">
      <alignment horizontal="right" vertical="center"/>
    </xf>
    <xf numFmtId="0" fontId="68" fillId="34" borderId="0" xfId="0" applyFont="1" applyFill="1" applyNumberFormat="1">
      <alignment vertical="center"/>
    </xf>
    <xf numFmtId="0" fontId="67" fillId="34" borderId="0" xfId="0" applyFont="1" applyFill="1" applyNumberFormat="1">
      <alignment horizontal="right" vertical="top"/>
    </xf>
    <xf numFmtId="0" fontId="68" fillId="34" borderId="0" xfId="0" applyFont="1" applyFill="1" applyNumberFormat="1">
      <alignment vertical="center" wrapText="1"/>
    </xf>
    <xf numFmtId="0" fontId="0" fillId="34" borderId="0" xfId="0" applyFont="1" applyFill="1" applyNumberFormat="1"/>
    <xf numFmtId="0" fontId="0" fillId="34" borderId="0" xfId="0" applyFont="1" applyFill="1" applyNumberFormat="1">
      <alignment horizontal="center"/>
    </xf>
    <xf numFmtId="0" fontId="36" fillId="0" borderId="0" xfId="0" applyFont="1" applyNumberFormat="1">
      <alignment horizontal="center" vertical="center" wrapText="1"/>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25" fillId="34" borderId="0" xfId="0" applyFont="1" applyFill="1" applyNumberFormat="1">
      <alignment horizontal="center" vertical="center" wrapText="1"/>
    </xf>
    <xf numFmtId="0" fontId="35" fillId="0" borderId="0" xfId="0" applyFont="1" applyNumberFormat="1">
      <alignment horizontal="left" vertical="center" wrapText="1" indent="3"/>
    </xf>
    <xf numFmtId="0" fontId="54" fillId="0" borderId="0" xfId="0" applyFont="1" applyNumberFormat="1">
      <alignment horizontal="center" vertical="center" wrapText="1"/>
    </xf>
    <xf numFmtId="0" fontId="54" fillId="0" borderId="0" xfId="0" applyFont="1" applyNumberFormat="1">
      <alignment vertical="center"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50" fillId="0" borderId="0" xfId="0" applyFont="1" applyNumberFormat="1">
      <alignment vertical="center" wrapText="1"/>
    </xf>
    <xf numFmtId="0" fontId="48" fillId="0" borderId="0" xfId="0" applyFont="1" applyNumberFormat="1">
      <alignment vertical="center" wrapText="1"/>
    </xf>
    <xf numFmtId="0" fontId="69" fillId="34" borderId="0" xfId="0" applyFont="1" applyFill="1" applyNumberFormat="1">
      <alignment horizontal="center" vertical="center" wrapText="1"/>
    </xf>
    <xf numFmtId="0" fontId="50" fillId="0" borderId="0" xfId="0" applyFont="1" applyNumberFormat="1">
      <alignment horizontal="left" vertical="center" wrapText="1" indent="1"/>
    </xf>
    <xf numFmtId="0" fontId="19" fillId="0" borderId="0" xfId="0" applyFont="1" applyNumberFormat="1">
      <alignment horizontal="right" vertical="center"/>
    </xf>
    <xf numFmtId="0" fontId="37"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24" fillId="34" borderId="0" xfId="0" applyFont="1" applyFill="1" applyNumberFormat="1">
      <alignment horizontal="center" vertical="center" wrapText="1"/>
    </xf>
    <xf numFmtId="49" fontId="24" fillId="34" borderId="0" xfId="0" applyFont="1" applyFill="1" applyNumberFormat="1">
      <alignment horizontal="center" vertical="center" wrapText="1"/>
    </xf>
    <xf numFmtId="0" fontId="19" fillId="0" borderId="0" xfId="0" applyFont="1" applyNumberFormat="1">
      <alignment vertical="center" wrapText="1"/>
    </xf>
    <xf numFmtId="0" fontId="70" fillId="34" borderId="0" xfId="0" applyFont="1" applyFill="1" applyNumberFormat="1">
      <alignment horizontal="center" vertical="center" wrapText="1"/>
    </xf>
    <xf numFmtId="49" fontId="63" fillId="0" borderId="17" xfId="0" applyFont="1" applyBorder="1" applyNumberFormat="1">
      <alignment horizontal="left" vertical="center" wrapText="1"/>
    </xf>
    <xf numFmtId="49" fontId="63"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5"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xf>
    <xf numFmtId="49" fontId="24" fillId="34" borderId="12" xfId="0" applyFont="1" applyFill="1" applyBorder="1" applyNumberFormat="1">
      <alignment horizontal="center" vertical="center" wrapText="1"/>
    </xf>
    <xf numFmtId="4" fontId="0" fillId="38" borderId="12"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 fontId="0" fillId="38" borderId="13" xfId="0" applyFont="1" applyFill="1" applyBorder="1" applyNumberFormat="1">
      <alignment horizontal="right" vertical="center" wrapText="1"/>
      <protection locked="0"/>
    </xf>
    <xf numFmtId="0" fontId="0" fillId="35"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39" fillId="36" borderId="14" xfId="0" applyFont="1" applyFill="1" applyBorder="1" applyNumberFormat="1">
      <alignment horizontal="center" vertical="center"/>
    </xf>
    <xf numFmtId="0" fontId="29" fillId="36" borderId="15" xfId="0" applyFont="1" applyFill="1" applyBorder="1" applyNumberFormat="1">
      <alignment vertical="center"/>
    </xf>
    <xf numFmtId="49" fontId="29" fillId="36" borderId="15" xfId="0" applyFont="1" applyFill="1" applyBorder="1" applyNumberFormat="1">
      <alignment vertical="center"/>
    </xf>
    <xf numFmtId="49" fontId="60" fillId="36" borderId="15" xfId="0" applyFont="1" applyFill="1" applyBorder="1" applyNumberFormat="1">
      <alignment vertical="center"/>
    </xf>
    <xf numFmtId="49" fontId="60" fillId="36" borderId="13" xfId="0" applyFont="1" applyFill="1" applyBorder="1" applyNumberFormat="1">
      <alignment vertical="center"/>
    </xf>
    <xf numFmtId="0" fontId="0" fillId="0" borderId="23" xfId="0" applyFont="1" applyBorder="1" applyNumberFormat="1">
      <alignment horizontal="left" vertical="top" wrapText="1"/>
    </xf>
    <xf numFmtId="0" fontId="20" fillId="0" borderId="0" xfId="0" applyFont="1" applyNumberFormat="1">
      <alignment vertical="center" wrapText="1"/>
    </xf>
    <xf numFmtId="0" fontId="25" fillId="0" borderId="0" xfId="0" applyFont="1" applyNumberFormat="1">
      <alignment horizontal="center" vertical="center" wrapText="1"/>
    </xf>
    <xf numFmtId="0" fontId="19" fillId="0" borderId="0" xfId="0" applyFont="1" applyNumberFormat="1">
      <alignment vertical="center" wrapText="1"/>
    </xf>
    <xf numFmtId="0" fontId="31" fillId="0" borderId="0" xfId="0" applyFont="1" applyNumberFormat="1">
      <alignment vertical="center" wrapText="1"/>
    </xf>
    <xf numFmtId="0" fontId="19" fillId="0" borderId="0" xfId="0" applyFont="1" applyNumberFormat="1">
      <alignment vertical="center" wrapText="1"/>
    </xf>
    <xf numFmtId="0" fontId="25" fillId="34" borderId="0" xfId="0" applyFont="1" applyFill="1" applyNumberFormat="1">
      <alignment horizontal="center" vertical="center" wrapText="1"/>
    </xf>
    <xf numFmtId="49" fontId="0" fillId="0" borderId="37" xfId="0" applyFont="1" applyBorder="1" applyNumberFormat="1">
      <alignment horizontal="center" vertical="center" wrapText="1"/>
    </xf>
    <xf numFmtId="0" fontId="19" fillId="39" borderId="19" xfId="0" applyFont="1" applyFill="1" applyBorder="1" applyNumberFormat="1">
      <alignment horizontal="left" vertical="center" wrapText="1"/>
    </xf>
    <xf numFmtId="0" fontId="25"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19" fillId="38" borderId="12" xfId="0" applyFont="1" applyFill="1" applyBorder="1" applyNumberFormat="1">
      <alignment horizontal="left" vertical="center" wrapText="1"/>
      <protection locked="0"/>
    </xf>
    <xf numFmtId="3" fontId="19" fillId="38" borderId="12" xfId="0" applyFont="1" applyFill="1" applyBorder="1" applyNumberFormat="1">
      <alignment horizontal="right" vertical="center" wrapText="1"/>
      <protection locked="0"/>
    </xf>
    <xf numFmtId="0" fontId="37" fillId="0" borderId="0" xfId="0" applyFont="1" applyNumberFormat="1">
      <alignment vertical="center" wrapText="1"/>
    </xf>
    <xf numFmtId="0" fontId="37" fillId="0" borderId="0" xfId="0" applyFont="1" applyNumberFormat="1">
      <alignment vertical="center"/>
    </xf>
    <xf numFmtId="49" fontId="0" fillId="0" borderId="30" xfId="0" applyFont="1" applyBorder="1" applyNumberFormat="1">
      <alignment horizontal="center" vertical="center" wrapText="1"/>
    </xf>
    <xf numFmtId="0" fontId="19" fillId="39" borderId="27" xfId="0" applyFont="1" applyFill="1" applyBorder="1" applyNumberFormat="1">
      <alignment horizontal="left" vertical="center" wrapText="1"/>
    </xf>
    <xf numFmtId="0" fontId="78" fillId="0" borderId="0" xfId="0" applyFont="1" applyNumberFormat="1">
      <alignment vertical="center" wrapText="1"/>
    </xf>
    <xf numFmtId="0" fontId="37" fillId="0" borderId="0" xfId="0" applyFont="1" applyNumberFormat="1">
      <alignment vertical="center" wrapText="1"/>
    </xf>
    <xf numFmtId="0" fontId="25" fillId="34" borderId="0" xfId="0" applyFont="1" applyFill="1" applyNumberFormat="1">
      <alignment horizontal="center" vertical="center" wrapText="1"/>
    </xf>
    <xf numFmtId="0" fontId="19" fillId="0" borderId="19" xfId="0" applyFont="1" applyBorder="1" applyNumberFormat="1">
      <alignment horizontal="left" vertical="top" wrapText="1" indent="1"/>
    </xf>
    <xf numFmtId="0" fontId="54"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vertical="center" wrapText="1"/>
    </xf>
    <xf numFmtId="0" fontId="19" fillId="0" borderId="23" xfId="0" applyFont="1" applyBorder="1" applyNumberFormat="1">
      <alignment horizontal="center" vertical="center" wrapText="1"/>
    </xf>
    <xf numFmtId="0" fontId="19" fillId="0" borderId="0" xfId="0" applyFont="1" applyNumberFormat="1">
      <alignment vertical="center" wrapText="1"/>
    </xf>
    <xf numFmtId="0" fontId="25"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20"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35" fillId="0" borderId="0" xfId="0" applyFont="1" applyNumberFormat="1">
      <alignment horizontal="center" vertical="center" wrapText="1"/>
    </xf>
    <xf numFmtId="4" fontId="50" fillId="0" borderId="0" xfId="0" applyFont="1" applyNumberFormat="1">
      <alignment horizontal="right" vertical="center" wrapText="1"/>
    </xf>
    <xf numFmtId="0" fontId="19"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4" fillId="34" borderId="15" xfId="0" applyFont="1" applyFill="1" applyBorder="1" applyNumberFormat="1">
      <alignment horizontal="center" vertical="center" wrapText="1"/>
    </xf>
    <xf numFmtId="49" fontId="24" fillId="34" borderId="15" xfId="0" applyFont="1" applyFill="1" applyBorder="1" applyNumberFormat="1">
      <alignment horizontal="center" vertical="center" wrapText="1"/>
    </xf>
    <xf numFmtId="0" fontId="25" fillId="34" borderId="0" xfId="0" applyFont="1" applyFill="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19" fillId="0" borderId="0" xfId="0" applyFont="1" applyNumberFormat="1">
      <alignment vertical="top"/>
    </xf>
    <xf numFmtId="0" fontId="25" fillId="34" borderId="24" xfId="0" applyFont="1" applyFill="1" applyBorder="1" applyNumberFormat="1">
      <alignment vertical="top" wrapText="1"/>
    </xf>
    <xf numFmtId="14"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49" fontId="43" fillId="36"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37" fillId="0" borderId="0" xfId="0" applyFont="1" applyNumberFormat="1">
      <alignment horizontal="left" vertical="center" wrapText="1"/>
    </xf>
    <xf numFmtId="49" fontId="37" fillId="0" borderId="0" xfId="0" applyFont="1" applyNumberFormat="1">
      <alignment horizontal="left" vertical="center" wrapText="1"/>
    </xf>
    <xf numFmtId="0" fontId="25" fillId="34" borderId="0" xfId="0" applyFont="1" applyFill="1" applyNumberFormat="1">
      <alignment vertical="top" wrapText="1"/>
    </xf>
    <xf numFmtId="0" fontId="37" fillId="34" borderId="23" xfId="0" applyFont="1" applyFill="1" applyBorder="1" applyNumberFormat="1">
      <alignment horizontal="center" vertical="center" wrapText="1"/>
    </xf>
    <xf numFmtId="14" fontId="19" fillId="39" borderId="23" xfId="0" applyFont="1" applyFill="1" applyBorder="1" applyNumberFormat="1">
      <alignment horizontal="left" vertical="center" wrapText="1"/>
    </xf>
    <xf numFmtId="14" fontId="19" fillId="39" borderId="12" xfId="0" applyFont="1" applyFill="1" applyBorder="1" applyNumberFormat="1">
      <alignment horizontal="center" vertical="center" wrapText="1"/>
    </xf>
    <xf numFmtId="49" fontId="43" fillId="38" borderId="12" xfId="0" applyFont="1" applyFill="1" applyBorder="1" applyNumberFormat="1">
      <alignment horizontal="left" vertical="center" wrapText="1"/>
      <protection locked="0"/>
    </xf>
    <xf numFmtId="49" fontId="39" fillId="36" borderId="15" xfId="0" applyFont="1" applyFill="1" applyBorder="1" applyNumberFormat="1">
      <alignment horizontal="center" vertical="center"/>
    </xf>
    <xf numFmtId="49" fontId="60" fillId="36" borderId="15" xfId="0" applyFont="1" applyFill="1" applyBorder="1" applyNumberFormat="1">
      <alignment horizontal="left" vertical="center" indent="1"/>
    </xf>
    <xf numFmtId="49" fontId="60" fillId="36" borderId="13" xfId="0" applyFont="1" applyFill="1" applyBorder="1" applyNumberFormat="1">
      <alignment horizontal="left" vertical="center" indent="1"/>
    </xf>
    <xf numFmtId="0" fontId="69" fillId="0" borderId="0" xfId="0" applyFont="1" applyNumberFormat="1">
      <alignment horizontal="center" vertical="center" wrapText="1"/>
    </xf>
    <xf numFmtId="0" fontId="34" fillId="0" borderId="0" xfId="0" applyFont="1" applyNumberFormat="1">
      <alignment vertical="top" wrapText="1"/>
    </xf>
    <xf numFmtId="0" fontId="19" fillId="0" borderId="0" xfId="0" applyFont="1" applyNumberFormat="1">
      <alignment horizontal="right" vertical="top" wrapText="1"/>
    </xf>
    <xf numFmtId="0" fontId="34" fillId="0" borderId="0" xfId="0" applyFont="1" applyNumberFormat="1">
      <alignment vertical="top"/>
    </xf>
    <xf numFmtId="0" fontId="19" fillId="0" borderId="0" xfId="0" applyFont="1" applyNumberFormat="1">
      <alignment vertical="center" wrapText="1"/>
    </xf>
    <xf numFmtId="0" fontId="36" fillId="0" borderId="0" xfId="0" applyFont="1" applyNumberFormat="1">
      <alignment horizontal="left" vertical="center" indent="1"/>
    </xf>
    <xf numFmtId="0" fontId="36" fillId="0" borderId="12" xfId="0" applyFont="1" applyBorder="1" applyNumberFormat="1">
      <alignment horizontal="center" vertical="center"/>
    </xf>
    <xf numFmtId="0" fontId="36" fillId="0" borderId="0" xfId="0" applyFont="1" applyNumberFormat="1">
      <alignment horizontal="center" vertical="center"/>
    </xf>
    <xf numFmtId="0" fontId="36" fillId="0" borderId="0" xfId="0" applyFont="1" applyNumberFormat="1">
      <alignment horizontal="left" vertical="center" wrapText="1"/>
    </xf>
    <xf numFmtId="49" fontId="19" fillId="0" borderId="0" xfId="0" applyFont="1" applyNumberFormat="1">
      <alignment vertical="center" wrapText="1"/>
    </xf>
    <xf numFmtId="49" fontId="19" fillId="0" borderId="0" xfId="0" applyFont="1" applyNumberFormat="1">
      <alignment vertical="top"/>
    </xf>
    <xf numFmtId="49" fontId="19" fillId="0" borderId="24" xfId="0" applyFont="1" applyBorder="1" applyNumberFormat="1">
      <alignment vertical="top"/>
    </xf>
    <xf numFmtId="0" fontId="19" fillId="34" borderId="12" xfId="0" applyFont="1" applyFill="1" applyBorder="1" applyNumberFormat="1">
      <alignment horizontal="left" vertical="center" wrapText="1"/>
    </xf>
    <xf numFmtId="0" fontId="19" fillId="0" borderId="12" xfId="0" applyFont="1" applyBorder="1" applyNumberFormat="1">
      <alignment vertical="center" wrapText="1"/>
    </xf>
    <xf numFmtId="0" fontId="19" fillId="0" borderId="12" xfId="0" applyFont="1" applyBorder="1" applyNumberFormat="1">
      <alignment horizontal="left" vertical="center" wrapText="1" indent="6"/>
    </xf>
    <xf numFmtId="0" fontId="19" fillId="33" borderId="14" xfId="0" applyFont="1" applyFill="1" applyBorder="1" applyNumberFormat="1">
      <alignment horizontal="left" vertical="center" wrapText="1"/>
    </xf>
    <xf numFmtId="0" fontId="19" fillId="33" borderId="15" xfId="0" applyFont="1" applyFill="1" applyBorder="1" applyNumberFormat="1">
      <alignment horizontal="left" vertical="center" wrapText="1"/>
    </xf>
    <xf numFmtId="0" fontId="19" fillId="33" borderId="13" xfId="0" applyFont="1" applyFill="1" applyBorder="1" applyNumberFormat="1">
      <alignment horizontal="left" vertical="center" wrapText="1"/>
    </xf>
    <xf numFmtId="0" fontId="34" fillId="0" borderId="12" xfId="0" applyFont="1" applyBorder="1" applyNumberFormat="1">
      <alignment vertical="top" wrapText="1"/>
    </xf>
    <xf numFmtId="0" fontId="36" fillId="0" borderId="14" xfId="0" applyFont="1" applyBorder="1" applyNumberFormat="1">
      <alignment horizontal="center" vertical="center"/>
    </xf>
    <xf numFmtId="0" fontId="19" fillId="0" borderId="0" xfId="0" applyFont="1" applyNumberFormat="1">
      <alignment horizontal="center" vertical="center" wrapText="1"/>
    </xf>
    <xf numFmtId="0" fontId="31" fillId="34" borderId="0" xfId="0" applyFont="1" applyFill="1" applyNumberFormat="1">
      <alignment horizontal="center" vertical="center" wrapText="1"/>
    </xf>
    <xf numFmtId="0" fontId="19" fillId="0" borderId="24" xfId="0" applyFont="1" applyBorder="1" applyNumberFormat="1">
      <alignment vertical="center" wrapText="1"/>
    </xf>
    <xf numFmtId="0" fontId="19" fillId="34" borderId="12" xfId="0" applyFont="1" applyFill="1" applyBorder="1" applyNumberFormat="1">
      <alignment horizontal="left" vertical="center" wrapText="1" indent="1"/>
    </xf>
    <xf numFmtId="0" fontId="25" fillId="0" borderId="0" xfId="0" applyFont="1" applyNumberFormat="1">
      <alignment vertical="center" wrapText="1"/>
    </xf>
    <xf numFmtId="0" fontId="19" fillId="34" borderId="12" xfId="0" applyFont="1" applyFill="1" applyBorder="1" applyNumberFormat="1">
      <alignment horizontal="left" vertical="center" wrapText="1" indent="2"/>
    </xf>
    <xf numFmtId="0" fontId="19" fillId="34" borderId="12" xfId="0" applyFont="1" applyFill="1" applyBorder="1" applyNumberFormat="1">
      <alignment horizontal="left" vertical="center" wrapText="1" indent="3"/>
    </xf>
    <xf numFmtId="0" fontId="36" fillId="0" borderId="12" xfId="0" applyFont="1" applyBorder="1" applyNumberFormat="1">
      <alignment horizontal="center" vertical="center" wrapText="1"/>
    </xf>
    <xf numFmtId="0" fontId="36" fillId="0" borderId="0" xfId="0" applyFont="1" applyNumberFormat="1">
      <alignment vertical="center" wrapText="1"/>
    </xf>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37" fillId="0" borderId="24" xfId="0" applyFont="1" applyBorder="1" applyNumberFormat="1">
      <alignment horizontal="center" vertical="center" wrapText="1"/>
    </xf>
    <xf numFmtId="0" fontId="19" fillId="34" borderId="12" xfId="0" applyFont="1" applyFill="1" applyBorder="1" applyNumberFormat="1">
      <alignment horizontal="left" vertical="center" wrapText="1" indent="4"/>
    </xf>
    <xf numFmtId="0" fontId="19" fillId="39" borderId="14" xfId="0" applyFont="1" applyFill="1" applyBorder="1" applyNumberFormat="1">
      <alignment horizontal="left" vertical="center" wrapText="1"/>
    </xf>
    <xf numFmtId="0" fontId="19" fillId="39" borderId="15" xfId="0" applyFont="1" applyFill="1" applyBorder="1" applyNumberFormat="1">
      <alignment horizontal="left" vertical="center" wrapText="1"/>
    </xf>
    <xf numFmtId="0" fontId="19" fillId="39" borderId="13" xfId="0" applyFont="1" applyFill="1" applyBorder="1" applyNumberFormat="1">
      <alignment horizontal="left" vertical="center" wrapText="1"/>
    </xf>
    <xf numFmtId="0" fontId="36" fillId="0" borderId="14" xfId="0" applyFont="1" applyBorder="1" applyNumberFormat="1">
      <alignment horizontal="center" vertical="center" wrapText="1"/>
    </xf>
    <xf numFmtId="0" fontId="36" fillId="0" borderId="0" xfId="0" applyFont="1" applyNumberFormat="1">
      <alignment vertical="center" wrapText="1"/>
    </xf>
    <xf numFmtId="0" fontId="37" fillId="0" borderId="24" xfId="0" applyFont="1" applyBorder="1" applyNumberFormat="1">
      <alignment vertical="center" wrapText="1"/>
    </xf>
    <xf numFmtId="0" fontId="19" fillId="34" borderId="12" xfId="0" applyFont="1" applyFill="1" applyBorder="1" applyNumberFormat="1">
      <alignment horizontal="left" vertical="center" wrapText="1" indent="5"/>
    </xf>
    <xf numFmtId="0" fontId="19" fillId="39" borderId="12" xfId="0" applyFont="1" applyFill="1" applyBorder="1" applyNumberFormat="1">
      <alignment horizontal="left" vertical="center" wrapText="1" indent="6"/>
    </xf>
    <xf numFmtId="4" fontId="19" fillId="35" borderId="12" xfId="0" applyFont="1" applyFill="1" applyBorder="1" applyNumberFormat="1">
      <alignment horizontal="right" vertical="center" wrapText="1"/>
      <protection locked="0"/>
    </xf>
    <xf numFmtId="4" fontId="19" fillId="0" borderId="12" xfId="0" applyFont="1" applyBorder="1" applyNumberFormat="1">
      <alignment horizontal="right" vertical="center" wrapText="1"/>
    </xf>
    <xf numFmtId="172" fontId="19" fillId="35" borderId="12" xfId="0" applyFont="1" applyFill="1" applyBorder="1" applyNumberFormat="1">
      <alignment horizontal="right" vertical="center" wrapText="1"/>
      <protection locked="0"/>
    </xf>
    <xf numFmtId="174" fontId="0" fillId="38" borderId="12" xfId="0" applyFont="1" applyFill="1" applyBorder="1" applyNumberFormat="1">
      <alignment horizontal="center" vertical="center" wrapText="1"/>
      <protection locked="0"/>
    </xf>
    <xf numFmtId="0" fontId="34" fillId="0" borderId="17" xfId="0" applyFont="1" applyBorder="1" applyNumberFormat="1">
      <alignment horizontal="left" vertical="top" wrapText="1"/>
    </xf>
    <xf numFmtId="49" fontId="19" fillId="0" borderId="12" xfId="0" applyFont="1" applyBorder="1" applyNumberFormat="1">
      <alignment horizontal="left" vertical="center" wrapText="1"/>
    </xf>
    <xf numFmtId="4" fontId="37" fillId="0" borderId="12" xfId="0" applyFont="1" applyBorder="1" applyNumberFormat="1">
      <alignment horizontal="center" vertical="center" wrapText="1"/>
    </xf>
    <xf numFmtId="49" fontId="0" fillId="38" borderId="12" xfId="0" applyFont="1" applyFill="1" applyBorder="1" applyNumberFormat="1">
      <alignment horizontal="center" vertical="center" wrapText="1"/>
      <protection locked="0"/>
    </xf>
    <xf numFmtId="0" fontId="34" fillId="0" borderId="36" xfId="0" applyFont="1" applyBorder="1" applyNumberFormat="1">
      <alignment horizontal="left" vertical="top" wrapText="1"/>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6"/>
    </xf>
    <xf numFmtId="49" fontId="19" fillId="36" borderId="13" xfId="0" applyFont="1" applyFill="1" applyBorder="1" applyNumberFormat="1">
      <alignment horizontal="center" vertical="center" wrapText="1"/>
    </xf>
    <xf numFmtId="0" fontId="34" fillId="0" borderId="23" xfId="0" applyFont="1" applyBorder="1" applyNumberFormat="1">
      <alignment horizontal="left" vertical="top" wrapText="1"/>
    </xf>
    <xf numFmtId="49" fontId="29" fillId="36" borderId="15" xfId="0" applyFont="1" applyFill="1" applyBorder="1" applyNumberFormat="1">
      <alignment horizontal="left" vertical="center" indent="5"/>
    </xf>
    <xf numFmtId="49" fontId="0"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28" fillId="0" borderId="0" xfId="0" applyFont="1" applyNumberFormat="1">
      <alignment vertical="top"/>
    </xf>
    <xf numFmtId="49" fontId="29" fillId="36" borderId="15" xfId="0" applyFont="1" applyFill="1" applyBorder="1" applyNumberFormat="1">
      <alignment horizontal="left" vertical="center" indent="4"/>
    </xf>
    <xf numFmtId="0" fontId="37" fillId="0" borderId="0" xfId="0" applyFont="1" applyNumberFormat="1">
      <alignment vertical="center" wrapText="1"/>
    </xf>
    <xf numFmtId="0" fontId="37" fillId="0" borderId="0" xfId="0" applyFont="1" applyNumberFormat="1">
      <alignment horizontal="left" vertical="center" indent="1"/>
    </xf>
    <xf numFmtId="0" fontId="37" fillId="0" borderId="0" xfId="0" applyFont="1" applyNumberFormat="1">
      <alignment horizontal="center" vertical="center"/>
    </xf>
    <xf numFmtId="0" fontId="37" fillId="0" borderId="0" xfId="0" applyFont="1" applyNumberFormat="1">
      <alignment horizontal="left" vertical="center" wrapText="1"/>
    </xf>
    <xf numFmtId="49" fontId="37" fillId="0" borderId="0" xfId="0" applyFont="1" applyNumberFormat="1">
      <alignment vertical="top"/>
    </xf>
    <xf numFmtId="49" fontId="97" fillId="0" borderId="0" xfId="0" applyFont="1" applyNumberFormat="1">
      <alignment vertical="top"/>
    </xf>
    <xf numFmtId="49" fontId="87" fillId="0" borderId="19" xfId="0" applyFont="1" applyBorder="1" applyNumberFormat="1">
      <alignment horizontal="left" vertical="center"/>
    </xf>
    <xf numFmtId="49" fontId="37" fillId="0" borderId="19" xfId="0" applyFont="1" applyBorder="1" applyNumberFormat="1">
      <alignment horizontal="left" vertical="center" indent="3"/>
    </xf>
    <xf numFmtId="49" fontId="37" fillId="0" borderId="19" xfId="0" applyFont="1" applyBorder="1" applyNumberFormat="1">
      <alignment horizontal="center" vertical="center" wrapText="1"/>
    </xf>
    <xf numFmtId="49" fontId="37" fillId="0" borderId="0" xfId="0" applyFont="1" applyNumberFormat="1">
      <alignment horizontal="left" vertical="center"/>
    </xf>
    <xf numFmtId="49" fontId="87" fillId="0" borderId="0" xfId="0" applyFont="1" applyNumberFormat="1">
      <alignment horizontal="left" vertical="center"/>
    </xf>
    <xf numFmtId="49" fontId="37" fillId="0" borderId="0" xfId="0" applyFont="1" applyNumberFormat="1">
      <alignment horizontal="left" vertical="center" indent="2"/>
    </xf>
    <xf numFmtId="49" fontId="37" fillId="0" borderId="0" xfId="0" applyFont="1" applyNumberFormat="1">
      <alignment horizontal="center" vertical="center" wrapText="1"/>
    </xf>
    <xf numFmtId="49" fontId="37" fillId="0" borderId="0" xfId="0" applyFont="1" applyNumberFormat="1">
      <alignment horizontal="left" vertical="center" indent="1"/>
    </xf>
    <xf numFmtId="49" fontId="19" fillId="0" borderId="0" xfId="0" applyFont="1" applyNumberFormat="1">
      <alignment vertical="center" wrapText="1"/>
    </xf>
    <xf numFmtId="4" fontId="36" fillId="0" borderId="12" xfId="0" applyFont="1" applyBorder="1" applyNumberFormat="1">
      <alignment horizontal="right" vertical="center" wrapText="1"/>
    </xf>
    <xf numFmtId="172" fontId="36" fillId="0" borderId="12" xfId="0" applyFont="1" applyBorder="1" applyNumberFormat="1">
      <alignment horizontal="right" vertical="center" wrapText="1"/>
    </xf>
    <xf numFmtId="174" fontId="36" fillId="0" borderId="12" xfId="0" applyFont="1" applyBorder="1" applyNumberFormat="1">
      <alignment horizontal="center" vertical="center" wrapText="1"/>
    </xf>
    <xf numFmtId="49" fontId="36" fillId="0" borderId="12" xfId="0" applyFont="1" applyBorder="1" applyNumberFormat="1">
      <alignment horizontal="center" vertical="center" wrapText="1"/>
    </xf>
    <xf numFmtId="0" fontId="36" fillId="0" borderId="0" xfId="0" applyFont="1" applyNumberFormat="1">
      <alignment vertical="center" wrapText="1"/>
    </xf>
    <xf numFmtId="0" fontId="36" fillId="0" borderId="0" xfId="0" applyFont="1" applyNumberFormat="1">
      <alignment horizontal="center" vertical="center" wrapText="1"/>
    </xf>
    <xf numFmtId="49" fontId="36" fillId="0" borderId="0" xfId="0" applyFont="1" applyNumberFormat="1">
      <alignment vertical="center" wrapText="1"/>
    </xf>
    <xf numFmtId="49" fontId="36" fillId="0" borderId="12" xfId="0" applyFont="1" applyBorder="1" applyNumberFormat="1">
      <alignment vertical="center" wrapText="1"/>
    </xf>
    <xf numFmtId="0" fontId="59" fillId="0" borderId="0" xfId="0" applyFont="1" applyNumberFormat="1">
      <alignment vertical="center" wrapText="1"/>
    </xf>
    <xf numFmtId="0" fontId="36" fillId="0" borderId="0" xfId="0" applyFont="1" applyNumberFormat="1">
      <alignment horizontal="left" vertical="center" wrapText="1"/>
    </xf>
    <xf numFmtId="0" fontId="28" fillId="34" borderId="0" xfId="0" applyFont="1" applyFill="1" applyNumberFormat="1">
      <alignment vertical="center" wrapText="1"/>
    </xf>
    <xf numFmtId="0" fontId="19" fillId="34" borderId="0" xfId="0" applyFont="1" applyFill="1" applyNumberFormat="1">
      <alignment horizontal="left" vertical="center" wrapText="1"/>
    </xf>
    <xf numFmtId="0" fontId="19" fillId="34" borderId="0" xfId="0" applyFont="1" applyFill="1" applyNumberFormat="1">
      <alignment vertical="center" wrapText="1"/>
    </xf>
    <xf numFmtId="0" fontId="19" fillId="0" borderId="19" xfId="0" applyFont="1" applyBorder="1" applyNumberFormat="1">
      <alignment horizontal="left" vertical="top" wrapText="1" indent="1"/>
    </xf>
    <xf numFmtId="0" fontId="35" fillId="0" borderId="0" xfId="0" applyFont="1" applyNumberFormat="1">
      <alignment vertical="center" wrapText="1"/>
    </xf>
    <xf numFmtId="0" fontId="19" fillId="0" borderId="27" xfId="0" applyFont="1" applyBorder="1" applyNumberFormat="1">
      <alignment horizontal="left" vertical="center" wrapText="1" indent="1"/>
    </xf>
    <xf numFmtId="0" fontId="39" fillId="34" borderId="0" xfId="0" applyFont="1" applyFill="1" applyNumberFormat="1">
      <alignment horizontal="center" vertical="center" wrapText="1"/>
    </xf>
    <xf numFmtId="0" fontId="0" fillId="0" borderId="0" xfId="0" applyFont="1" applyNumberFormat="1">
      <alignment vertical="center"/>
    </xf>
    <xf numFmtId="0" fontId="36" fillId="0" borderId="0" xfId="0" applyFont="1" applyNumberFormat="1">
      <alignment vertical="center"/>
    </xf>
    <xf numFmtId="0" fontId="36" fillId="0" borderId="0" xfId="0" applyFont="1" applyNumberFormat="1">
      <alignment horizontal="center" vertical="center"/>
    </xf>
    <xf numFmtId="0" fontId="0" fillId="34" borderId="12" xfId="0" applyFont="1" applyFill="1" applyBorder="1" applyNumberFormat="1">
      <alignment horizontal="right" vertical="center" wrapText="1" indent="1"/>
    </xf>
    <xf numFmtId="0" fontId="0" fillId="0" borderId="15" xfId="0" applyFont="1" applyBorder="1" applyNumberFormat="1">
      <alignment vertical="center"/>
    </xf>
    <xf numFmtId="0" fontId="19" fillId="33" borderId="12" xfId="0" applyFont="1" applyFill="1" applyBorder="1" applyNumberFormat="1">
      <alignment horizontal="left" vertical="center" wrapText="1" indent="1"/>
    </xf>
    <xf numFmtId="0" fontId="19" fillId="0" borderId="0" xfId="0" applyFont="1" applyNumberFormat="1">
      <alignment vertical="center" wrapText="1"/>
    </xf>
    <xf numFmtId="0" fontId="58" fillId="0" borderId="0" xfId="0" applyFont="1" applyNumberFormat="1">
      <alignment vertical="center"/>
    </xf>
    <xf numFmtId="0" fontId="37" fillId="0" borderId="0" xfId="0" applyFont="1" applyNumberFormat="1">
      <alignment vertical="center"/>
    </xf>
    <xf numFmtId="174" fontId="19" fillId="33" borderId="12" xfId="0" applyFont="1" applyFill="1" applyBorder="1" applyNumberFormat="1">
      <alignment horizontal="left" vertical="center" wrapText="1" indent="1"/>
    </xf>
    <xf numFmtId="49" fontId="19" fillId="0" borderId="0" xfId="0" applyFont="1" applyNumberFormat="1">
      <alignment vertical="center" wrapText="1"/>
    </xf>
    <xf numFmtId="0" fontId="19" fillId="0" borderId="0" xfId="0" applyFont="1" applyNumberFormat="1">
      <alignment horizontal="right" vertical="center" wrapText="1"/>
    </xf>
    <xf numFmtId="0" fontId="37" fillId="0" borderId="0" xfId="0" applyFont="1" applyNumberFormat="1">
      <alignment vertical="center" wrapText="1"/>
    </xf>
    <xf numFmtId="0" fontId="19" fillId="34" borderId="27" xfId="0" applyFont="1" applyFill="1" applyBorder="1" applyNumberFormat="1">
      <alignment vertical="center" wrapText="1"/>
    </xf>
    <xf numFmtId="0" fontId="25" fillId="0" borderId="27" xfId="0" applyFont="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17" xfId="0" applyFont="1" applyBorder="1" applyNumberFormat="1">
      <alignmen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49" fontId="29" fillId="36" borderId="17" xfId="0" applyFont="1" applyFill="1" applyBorder="1" applyNumberFormat="1">
      <alignment horizontal="center" vertical="center" textRotation="90" wrapText="1"/>
    </xf>
    <xf numFmtId="0" fontId="19" fillId="0" borderId="36" xfId="0" applyFont="1" applyBorder="1" applyNumberFormat="1">
      <alignment vertical="center" wrapText="1"/>
    </xf>
    <xf numFmtId="0" fontId="19" fillId="0" borderId="17" xfId="0" applyFont="1" applyBorder="1" applyNumberFormat="1">
      <alignment horizontal="center" vertical="center" wrapText="1"/>
    </xf>
    <xf numFmtId="0" fontId="36" fillId="0" borderId="17"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5" xfId="0" applyFont="1" applyBorder="1" applyNumberFormat="1">
      <alignment horizontal="center" vertical="center" wrapText="1"/>
    </xf>
    <xf numFmtId="0" fontId="19" fillId="34" borderId="36" xfId="0" applyFont="1" applyFill="1" applyBorder="1" applyNumberFormat="1">
      <alignment horizontal="center" vertical="center" wrapText="1"/>
    </xf>
    <xf numFmtId="49" fontId="29" fillId="36" borderId="36" xfId="0" applyFont="1" applyFill="1" applyBorder="1" applyNumberFormat="1">
      <alignment horizontal="center" vertical="center" textRotation="90" wrapText="1"/>
    </xf>
    <xf numFmtId="0" fontId="36" fillId="0" borderId="0" xfId="0" applyFont="1" applyNumberFormat="1">
      <alignment vertical="center"/>
    </xf>
    <xf numFmtId="0" fontId="19" fillId="0" borderId="23" xfId="0" applyFont="1" applyBorder="1" applyNumberFormat="1">
      <alignment vertical="center" wrapText="1"/>
    </xf>
    <xf numFmtId="0" fontId="19" fillId="0" borderId="23" xfId="0" applyFont="1" applyBorder="1" applyNumberFormat="1">
      <alignment horizontal="center" vertical="center" wrapText="1"/>
    </xf>
    <xf numFmtId="0" fontId="36"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19" fillId="34"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29" fillId="36" borderId="23" xfId="0" applyFont="1" applyFill="1" applyBorder="1" applyNumberFormat="1">
      <alignment horizontal="center" vertical="center" textRotation="90" wrapText="1"/>
    </xf>
    <xf numFmtId="49" fontId="63" fillId="0" borderId="0" xfId="0" applyFont="1" applyNumberFormat="1">
      <alignment vertical="center" wrapText="1"/>
    </xf>
    <xf numFmtId="0" fontId="96" fillId="34" borderId="0" xfId="0" applyFont="1" applyFill="1" applyNumberFormat="1">
      <alignment vertical="center" wrapText="1"/>
    </xf>
    <xf numFmtId="0" fontId="97" fillId="34" borderId="0" xfId="0" applyFont="1" applyFill="1" applyNumberFormat="1">
      <alignment vertical="center" wrapText="1"/>
    </xf>
    <xf numFmtId="49" fontId="70" fillId="34" borderId="19" xfId="0" applyFont="1" applyFill="1" applyBorder="1" applyNumberFormat="1">
      <alignment horizontal="left" vertical="center" wrapText="1"/>
    </xf>
    <xf numFmtId="49" fontId="70" fillId="34" borderId="19" xfId="0" applyFont="1" applyFill="1" applyBorder="1" applyNumberFormat="1">
      <alignment horizontal="center" vertical="center" wrapText="1"/>
    </xf>
    <xf numFmtId="0" fontId="37"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174" fontId="0" fillId="38" borderId="17" xfId="0" applyFont="1" applyFill="1" applyBorder="1" applyNumberFormat="1">
      <alignment horizontal="center" vertical="center" wrapText="1"/>
      <protection locked="0"/>
    </xf>
    <xf numFmtId="4" fontId="19" fillId="0" borderId="17" xfId="0" applyFont="1" applyBorder="1" applyNumberFormat="1">
      <alignment horizontal="right" vertical="center" wrapText="1"/>
    </xf>
    <xf numFmtId="49" fontId="19" fillId="0" borderId="12" xfId="0" applyFont="1" applyBorder="1" applyNumberFormat="1">
      <alignment horizontal="left" vertical="center" wrapText="1"/>
    </xf>
    <xf numFmtId="49" fontId="0" fillId="38" borderId="23" xfId="0" applyFont="1" applyFill="1" applyBorder="1" applyNumberFormat="1">
      <alignment horizontal="center" vertical="center" wrapText="1"/>
      <protection locked="0"/>
    </xf>
    <xf numFmtId="4" fontId="19" fillId="0" borderId="23" xfId="0" applyFont="1" applyBorder="1" applyNumberFormat="1">
      <alignment horizontal="right" vertical="center" wrapText="1"/>
    </xf>
    <xf numFmtId="0" fontId="37" fillId="0" borderId="0" xfId="0" applyFont="1" applyNumberFormat="1">
      <alignment horizontal="left" vertical="center" indent="1"/>
    </xf>
    <xf numFmtId="0" fontId="37" fillId="0" borderId="0" xfId="0" applyFont="1" applyNumberFormat="1">
      <alignment horizontal="center" vertical="center"/>
    </xf>
    <xf numFmtId="49" fontId="37" fillId="0" borderId="0" xfId="0" applyFont="1" applyNumberFormat="1">
      <alignment vertical="top"/>
    </xf>
    <xf numFmtId="49" fontId="97" fillId="0" borderId="0" xfId="0" applyFont="1" applyNumberFormat="1">
      <alignment vertical="top"/>
    </xf>
    <xf numFmtId="0" fontId="19" fillId="0" borderId="0" xfId="0" applyFont="1" applyNumberFormat="1">
      <alignment horizontal="right" vertical="top" wrapText="1"/>
    </xf>
    <xf numFmtId="0" fontId="19" fillId="0" borderId="0" xfId="0" applyFont="1" applyNumberFormat="1">
      <alignment horizontal="left" vertical="top" wrapText="1"/>
    </xf>
    <xf numFmtId="49" fontId="19" fillId="0" borderId="0" xfId="0" applyFont="1" applyNumberFormat="1">
      <alignment vertical="center" wrapText="1"/>
    </xf>
    <xf numFmtId="49" fontId="19" fillId="0" borderId="0" xfId="0" applyFont="1" applyNumberFormat="1">
      <alignment vertical="center" wrapText="1"/>
    </xf>
    <xf numFmtId="0" fontId="28" fillId="0" borderId="0" xfId="0" applyFont="1" applyNumberFormat="1">
      <alignment vertical="center" wrapText="1"/>
    </xf>
    <xf numFmtId="0" fontId="19" fillId="0" borderId="0" xfId="0" applyFont="1" applyNumberFormat="1">
      <alignment horizontal="left"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172" fontId="19" fillId="0" borderId="12" xfId="0" applyFont="1" applyBorder="1" applyNumberFormat="1">
      <alignment horizontal="right" vertical="center" wrapText="1"/>
    </xf>
    <xf numFmtId="0" fontId="0" fillId="34" borderId="19" xfId="0" applyFont="1" applyFill="1" applyBorder="1" applyNumberFormat="1">
      <alignment horizontal="center" vertical="center" wrapText="1"/>
    </xf>
    <xf numFmtId="0" fontId="37"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0" fontId="37" fillId="0" borderId="12" xfId="0" applyFont="1" applyBorder="1" applyNumberFormat="1">
      <alignment vertical="center" wrapText="1"/>
    </xf>
    <xf numFmtId="0" fontId="19" fillId="0" borderId="0" xfId="0" applyFont="1" applyNumberFormat="1">
      <alignment vertical="center"/>
    </xf>
    <xf numFmtId="0" fontId="37" fillId="0" borderId="23" xfId="0" applyFont="1" applyBorder="1" applyNumberFormat="1">
      <alignment horizontal="center" vertical="center" wrapText="1"/>
    </xf>
    <xf numFmtId="0" fontId="19" fillId="0" borderId="30" xfId="0" applyFont="1" applyBorder="1" applyNumberFormat="1">
      <alignment horizontal="center" vertical="center" wrapText="1"/>
    </xf>
    <xf numFmtId="0" fontId="37"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0" xfId="0" applyFont="1" applyFill="1" applyNumberFormat="1">
      <alignment horizontal="center" vertical="center" wrapText="1"/>
    </xf>
    <xf numFmtId="0" fontId="37" fillId="0" borderId="12" xfId="0" applyFont="1" applyBorder="1" applyNumberFormat="1">
      <alignment horizontal="left" vertical="center" wrapText="1"/>
    </xf>
    <xf numFmtId="0" fontId="37" fillId="0" borderId="12" xfId="0" applyFont="1" applyBorder="1" applyNumberFormat="1">
      <alignment horizontal="left" vertical="center" wrapText="1" indent="4"/>
    </xf>
    <xf numFmtId="0" fontId="37" fillId="0" borderId="12" xfId="0" applyFont="1" applyBorder="1" applyNumberFormat="1">
      <alignment horizontal="left" vertical="center" wrapText="1" indent="6"/>
    </xf>
    <xf numFmtId="0" fontId="37" fillId="0" borderId="14" xfId="0" applyFont="1" applyBorder="1" applyNumberFormat="1">
      <alignment horizontal="left" vertical="center" wrapText="1"/>
    </xf>
    <xf numFmtId="0" fontId="37" fillId="0" borderId="15" xfId="0" applyFont="1" applyBorder="1" applyNumberFormat="1">
      <alignment horizontal="left" vertical="center" wrapText="1"/>
    </xf>
    <xf numFmtId="0" fontId="37" fillId="0" borderId="13" xfId="0" applyFont="1" applyBorder="1" applyNumberFormat="1">
      <alignment horizontal="left" vertical="center" wrapText="1"/>
    </xf>
    <xf numFmtId="0" fontId="37" fillId="0" borderId="12" xfId="0" applyFont="1" applyBorder="1" applyNumberFormat="1">
      <alignment vertical="top" wrapText="1"/>
    </xf>
    <xf numFmtId="49" fontId="87" fillId="0" borderId="14" xfId="0" applyFont="1" applyBorder="1" applyNumberFormat="1">
      <alignment horizontal="left" vertical="center"/>
    </xf>
    <xf numFmtId="49" fontId="37" fillId="0" borderId="15" xfId="0" applyFont="1" applyBorder="1" applyNumberFormat="1">
      <alignment horizontal="left" vertical="center" indent="4"/>
    </xf>
    <xf numFmtId="49" fontId="37" fillId="0" borderId="15" xfId="0" applyFont="1" applyBorder="1" applyNumberFormat="1">
      <alignment horizontal="center" vertical="center" wrapText="1"/>
    </xf>
    <xf numFmtId="49" fontId="37" fillId="0" borderId="13" xfId="0" applyFont="1" applyBorder="1" applyNumberFormat="1">
      <alignment horizontal="center" vertical="center" wrapText="1"/>
    </xf>
    <xf numFmtId="49" fontId="37" fillId="0" borderId="0" xfId="0" applyFont="1" applyNumberFormat="1">
      <alignment vertical="center" wrapText="1"/>
    </xf>
    <xf numFmtId="0" fontId="0" fillId="0" borderId="0" xfId="0" applyFont="1" applyNumberFormat="1">
      <alignment horizontal="left" vertical="top" wrapText="1"/>
    </xf>
    <xf numFmtId="0" fontId="36" fillId="0" borderId="0" xfId="0" applyFont="1" applyNumberFormat="1">
      <alignment vertical="top" wrapText="1"/>
    </xf>
    <xf numFmtId="0" fontId="19" fillId="0" borderId="19" xfId="0" applyFont="1" applyBorder="1" applyNumberFormat="1">
      <alignment horizontal="left" vertical="center" wrapText="1" indent="1"/>
    </xf>
    <xf numFmtId="0" fontId="19" fillId="0" borderId="0" xfId="0" applyFont="1" applyNumberFormat="1">
      <alignment vertical="center" wrapText="1"/>
    </xf>
    <xf numFmtId="0" fontId="19" fillId="0" borderId="12" xfId="0" applyFont="1" applyBorder="1" applyNumberFormat="1">
      <alignment horizontal="center" vertical="center"/>
    </xf>
    <xf numFmtId="0" fontId="19" fillId="0" borderId="0" xfId="0" applyFont="1" applyNumberFormat="1">
      <alignment horizontal="center" vertical="center"/>
    </xf>
    <xf numFmtId="0" fontId="19" fillId="0" borderId="0" xfId="0" applyFont="1" applyNumberFormat="1">
      <alignment horizontal="left" vertical="center" wrapText="1"/>
    </xf>
    <xf numFmtId="0" fontId="19" fillId="33" borderId="14" xfId="0" applyFont="1" applyFill="1" applyBorder="1" applyNumberFormat="1">
      <alignment horizontal="left" vertical="center" wrapText="1"/>
    </xf>
    <xf numFmtId="0" fontId="19" fillId="33" borderId="15" xfId="0" applyFont="1" applyFill="1" applyBorder="1" applyNumberFormat="1">
      <alignment horizontal="left" vertical="center" wrapText="1"/>
    </xf>
    <xf numFmtId="0" fontId="19" fillId="33" borderId="13" xfId="0" applyFont="1" applyFill="1" applyBorder="1" applyNumberFormat="1">
      <alignment horizontal="left" vertical="center" wrapText="1"/>
    </xf>
    <xf numFmtId="0" fontId="19" fillId="0" borderId="14" xfId="0" applyFont="1" applyBorder="1" applyNumberFormat="1">
      <alignment horizontal="center" vertical="center"/>
    </xf>
    <xf numFmtId="0" fontId="37" fillId="0" borderId="14" xfId="0" applyFont="1" applyBorder="1" applyNumberFormat="1">
      <alignment horizontal="left" vertical="center" wrapText="1"/>
    </xf>
    <xf numFmtId="0" fontId="37" fillId="0" borderId="15" xfId="0" applyFont="1" applyBorder="1" applyNumberFormat="1">
      <alignment horizontal="left" vertical="center" wrapText="1"/>
    </xf>
    <xf numFmtId="0" fontId="37" fillId="0" borderId="13" xfId="0" applyFont="1" applyBorder="1" applyNumberFormat="1">
      <alignment horizontal="left" vertical="center" wrapText="1"/>
    </xf>
    <xf numFmtId="0" fontId="19" fillId="39" borderId="20" xfId="0" applyFont="1" applyFill="1" applyBorder="1" applyNumberFormat="1">
      <alignment horizontal="left" vertical="center" wrapText="1"/>
    </xf>
    <xf numFmtId="0" fontId="19" fillId="39" borderId="14" xfId="0" applyFont="1" applyFill="1" applyBorder="1" applyNumberFormat="1">
      <alignment horizontal="left" vertical="center" wrapText="1"/>
    </xf>
    <xf numFmtId="0" fontId="19" fillId="39" borderId="15" xfId="0" applyFont="1" applyFill="1" applyBorder="1" applyNumberFormat="1">
      <alignment horizontal="left" vertical="center" wrapText="1"/>
    </xf>
    <xf numFmtId="0" fontId="19" fillId="39" borderId="19" xfId="0" applyFont="1" applyFill="1" applyBorder="1" applyNumberFormat="1">
      <alignment horizontal="left" vertical="center" wrapText="1"/>
    </xf>
    <xf numFmtId="0" fontId="19" fillId="39" borderId="20" xfId="0" applyFont="1" applyFill="1" applyBorder="1" applyNumberFormat="1">
      <alignment horizontal="left" vertical="center" wrapText="1"/>
    </xf>
    <xf numFmtId="0" fontId="19" fillId="0" borderId="0" xfId="0" applyFont="1" applyNumberFormat="1">
      <alignment horizontal="center" vertical="center" wrapText="1"/>
    </xf>
    <xf numFmtId="172" fontId="19" fillId="35" borderId="14" xfId="0" applyFont="1" applyFill="1" applyBorder="1" applyNumberFormat="1">
      <alignment horizontal="right" vertical="center" wrapText="1"/>
      <protection locked="0"/>
    </xf>
    <xf numFmtId="4" fontId="19" fillId="35" borderId="13" xfId="0" applyFont="1" applyFill="1" applyBorder="1" applyNumberFormat="1">
      <alignment horizontal="right" vertical="center" wrapText="1"/>
      <protection locked="0"/>
    </xf>
    <xf numFmtId="4" fontId="19" fillId="35" borderId="12" xfId="0" applyFont="1" applyFill="1" applyBorder="1" applyNumberFormat="1">
      <alignment horizontal="right" vertical="center" wrapText="1"/>
      <protection locked="0"/>
    </xf>
    <xf numFmtId="172" fontId="19" fillId="35" borderId="14" xfId="0" applyFont="1" applyFill="1" applyBorder="1" applyNumberFormat="1">
      <alignment horizontal="right" vertical="center" wrapText="1"/>
      <protection locked="0"/>
    </xf>
    <xf numFmtId="174" fontId="0" fillId="38" borderId="12" xfId="0" applyFont="1" applyFill="1" applyBorder="1" applyNumberFormat="1">
      <alignment horizontal="center" vertical="center" wrapText="1"/>
      <protection locked="0"/>
    </xf>
    <xf numFmtId="0" fontId="34" fillId="0" borderId="17" xfId="0" applyFont="1" applyBorder="1" applyNumberFormat="1">
      <alignment vertical="top" wrapText="1"/>
    </xf>
    <xf numFmtId="0" fontId="19" fillId="35" borderId="12" xfId="0" applyFont="1" applyFill="1" applyBorder="1" applyNumberFormat="1">
      <alignment horizontal="left" vertical="center" wrapText="1" indent="7"/>
      <protection locked="0"/>
    </xf>
    <xf numFmtId="49" fontId="0" fillId="38" borderId="12" xfId="0" applyFont="1" applyFill="1" applyBorder="1" applyNumberFormat="1">
      <alignment horizontal="center" vertical="center" wrapText="1"/>
      <protection locked="0"/>
    </xf>
    <xf numFmtId="4" fontId="19" fillId="0" borderId="12" xfId="0" applyFont="1" applyBorder="1" applyNumberFormat="1">
      <alignment horizontal="right" vertical="center" wrapText="1"/>
    </xf>
    <xf numFmtId="49" fontId="0" fillId="38" borderId="12" xfId="0" applyFont="1" applyFill="1" applyBorder="1" applyNumberFormat="1">
      <alignment horizontal="center" vertical="center" wrapText="1"/>
      <protection locked="0"/>
    </xf>
    <xf numFmtId="4" fontId="37" fillId="0" borderId="14" xfId="0" applyFont="1" applyBorder="1" applyNumberFormat="1">
      <alignment horizontal="center" vertical="center" wrapText="1"/>
    </xf>
    <xf numFmtId="4" fontId="19" fillId="0" borderId="13" xfId="0" applyFont="1" applyBorder="1" applyNumberFormat="1">
      <alignment horizontal="right" vertical="center" wrapText="1"/>
    </xf>
    <xf numFmtId="4" fontId="37" fillId="0" borderId="14" xfId="0" applyFont="1" applyBorder="1" applyNumberFormat="1">
      <alignment horizontal="center" vertical="center" wrapText="1"/>
    </xf>
    <xf numFmtId="0" fontId="19" fillId="36" borderId="15" xfId="0" applyFont="1" applyFill="1" applyBorder="1" applyNumberFormat="1">
      <alignment horizontal="left" vertical="center" wrapText="1" indent="6"/>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9" fontId="19" fillId="36" borderId="27"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37" fillId="0" borderId="15" xfId="0" applyFont="1" applyBorder="1" applyNumberFormat="1">
      <alignment horizontal="center" vertical="center" wrapText="1"/>
    </xf>
    <xf numFmtId="0" fontId="63" fillId="0" borderId="0" xfId="0" applyFont="1" applyNumberFormat="1">
      <alignment horizontal="left" vertical="center" indent="1"/>
    </xf>
    <xf numFmtId="0" fontId="63" fillId="0" borderId="0" xfId="0" applyFont="1" applyNumberFormat="1">
      <alignment horizontal="center" vertical="center"/>
    </xf>
    <xf numFmtId="0" fontId="63" fillId="0" borderId="0" xfId="0" applyFont="1" applyNumberFormat="1">
      <alignment horizontal="left" vertical="center" wrapText="1"/>
    </xf>
    <xf numFmtId="0" fontId="63" fillId="0" borderId="0" xfId="0" applyFont="1" applyNumberFormat="1">
      <alignment vertical="center" wrapText="1"/>
    </xf>
    <xf numFmtId="49" fontId="37" fillId="0" borderId="19" xfId="0" applyFont="1" applyBorder="1" applyNumberFormat="1">
      <alignment horizontal="center" vertical="center" wrapText="1"/>
    </xf>
    <xf numFmtId="49" fontId="63" fillId="0" borderId="0" xfId="0" applyFont="1" applyNumberFormat="1">
      <alignment horizontal="left" vertical="center"/>
    </xf>
    <xf numFmtId="49" fontId="37" fillId="0" borderId="0" xfId="0" applyFont="1" applyNumberFormat="1">
      <alignment horizontal="center" vertical="center" wrapText="1"/>
    </xf>
    <xf numFmtId="0" fontId="19" fillId="0" borderId="0" xfId="0" applyFont="1" applyNumberFormat="1">
      <alignment horizontal="center" vertical="center" wrapText="1"/>
    </xf>
    <xf numFmtId="49" fontId="19" fillId="0" borderId="12" xfId="0" applyFont="1" applyBorder="1" applyNumberFormat="1">
      <alignment vertical="center" wrapText="1"/>
    </xf>
    <xf numFmtId="0" fontId="36" fillId="0" borderId="0" xfId="0" applyFont="1" applyNumberFormat="1">
      <alignment vertical="center" wrapText="1"/>
    </xf>
    <xf numFmtId="49" fontId="36" fillId="0" borderId="12" xfId="0" applyFont="1" applyBorder="1" applyNumberFormat="1">
      <alignment vertical="center" wrapText="1"/>
    </xf>
    <xf numFmtId="0" fontId="36" fillId="0" borderId="0" xfId="0" applyFont="1" applyNumberFormat="1">
      <alignment vertical="center"/>
    </xf>
    <xf numFmtId="0" fontId="19" fillId="0" borderId="19" xfId="0" applyFont="1" applyBorder="1" applyNumberFormat="1">
      <alignment horizontal="left" vertical="top" wrapText="1" indent="1"/>
    </xf>
    <xf numFmtId="0" fontId="19" fillId="0" borderId="27" xfId="0" applyFont="1" applyBorder="1" applyNumberFormat="1">
      <alignment horizontal="left" vertical="center" wrapText="1" indent="1"/>
    </xf>
    <xf numFmtId="0" fontId="39" fillId="34" borderId="0" xfId="0" applyFont="1" applyFill="1" applyNumberFormat="1">
      <alignment horizontal="center" vertical="center" wrapText="1"/>
    </xf>
    <xf numFmtId="0" fontId="19" fillId="0" borderId="0" xfId="0" applyFont="1" applyNumberFormat="1">
      <alignment vertical="center"/>
    </xf>
    <xf numFmtId="0" fontId="19" fillId="0" borderId="0" xfId="0" applyFont="1" applyNumberFormat="1">
      <alignment horizontal="center" vertical="center"/>
    </xf>
    <xf numFmtId="0" fontId="19" fillId="33" borderId="12" xfId="0" applyFont="1" applyFill="1" applyBorder="1" applyNumberFormat="1">
      <alignment horizontal="left" vertical="center" wrapText="1" indent="1"/>
    </xf>
    <xf numFmtId="174" fontId="19" fillId="33" borderId="12" xfId="0" applyFont="1" applyFill="1" applyBorder="1" applyNumberFormat="1">
      <alignment horizontal="left" vertical="center" wrapText="1" indent="1"/>
    </xf>
    <xf numFmtId="0" fontId="37" fillId="0" borderId="0" xfId="0" applyFont="1" applyNumberFormat="1">
      <alignment vertical="center" wrapText="1"/>
    </xf>
    <xf numFmtId="0" fontId="25" fillId="0" borderId="27" xfId="0" applyFont="1" applyBorder="1" applyNumberFormat="1">
      <alignment horizontal="center" vertical="center" wrapText="1"/>
    </xf>
    <xf numFmtId="0" fontId="19" fillId="0" borderId="12" xfId="0" applyFont="1" applyBorder="1" applyNumberFormat="1">
      <alignment horizontal="center" vertical="center" wrapText="1"/>
    </xf>
    <xf numFmtId="0" fontId="0" fillId="34" borderId="14" xfId="0" applyFont="1" applyFill="1" applyBorder="1" applyNumberFormat="1">
      <alignment horizontal="center" vertical="center" wrapText="1"/>
    </xf>
    <xf numFmtId="0" fontId="0" fillId="34" borderId="19"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0" borderId="19"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19" xfId="0" applyFont="1" applyBorder="1" applyNumberFormat="1">
      <alignment horizontal="center" vertical="center" wrapText="1"/>
    </xf>
    <xf numFmtId="0" fontId="19" fillId="0" borderId="20" xfId="0" applyFont="1" applyBorder="1" applyNumberFormat="1">
      <alignment horizontal="center" vertical="center" wrapText="1"/>
    </xf>
    <xf numFmtId="0" fontId="19" fillId="34" borderId="36" xfId="0" applyFont="1" applyFill="1" applyBorder="1" applyNumberFormat="1">
      <alignment horizontal="center" vertical="center" wrapText="1"/>
    </xf>
    <xf numFmtId="0" fontId="19"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19" fillId="0" borderId="27" xfId="0" applyFont="1" applyBorder="1" applyNumberFormat="1">
      <alignment horizontal="center" vertical="center" wrapText="1"/>
    </xf>
    <xf numFmtId="0" fontId="19" fillId="0" borderId="29" xfId="0" applyFont="1" applyBorder="1" applyNumberFormat="1">
      <alignment horizontal="center" vertical="center" wrapText="1"/>
    </xf>
    <xf numFmtId="0" fontId="19"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19" fillId="0" borderId="30" xfId="0" applyFont="1" applyBorder="1" applyNumberFormat="1">
      <alignment horizontal="center" vertical="center" wrapText="1"/>
    </xf>
    <xf numFmtId="0" fontId="19" fillId="0" borderId="27" xfId="0" applyFont="1" applyBorder="1" applyNumberFormat="1">
      <alignment horizontal="center" vertical="center" wrapText="1"/>
    </xf>
    <xf numFmtId="0" fontId="19"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19" fillId="34" borderId="23"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0" xfId="0" applyFont="1" applyFill="1" applyNumberFormat="1">
      <alignment horizontal="center" vertical="center" wrapText="1"/>
    </xf>
    <xf numFmtId="0" fontId="19" fillId="0" borderId="12" xfId="0" applyFont="1" applyBorder="1" applyNumberFormat="1">
      <alignment horizontal="center" vertical="center"/>
    </xf>
    <xf numFmtId="0" fontId="63" fillId="0" borderId="0" xfId="0" applyFont="1" applyNumberFormat="1">
      <alignment horizontal="left" vertical="center" indent="1"/>
    </xf>
    <xf numFmtId="0" fontId="19" fillId="0" borderId="14" xfId="0" applyFont="1" applyBorder="1" applyNumberFormat="1">
      <alignment horizontal="center" vertical="center"/>
    </xf>
    <xf numFmtId="0" fontId="63" fillId="0" borderId="0" xfId="0" applyFont="1" applyNumberFormat="1">
      <alignment horizontal="center" vertical="center"/>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0" fillId="0" borderId="0" xfId="0" applyFont="1" applyNumberFormat="1">
      <alignment vertical="top"/>
    </xf>
    <xf numFmtId="0" fontId="19" fillId="0" borderId="0" xfId="0" applyFont="1" applyNumberFormat="1">
      <alignment horizontal="left" vertical="center" indent="1"/>
    </xf>
    <xf numFmtId="0" fontId="19" fillId="0" borderId="14" xfId="0" applyFont="1" applyBorder="1" applyNumberFormat="1">
      <alignment horizontal="center" vertical="center"/>
    </xf>
    <xf numFmtId="0" fontId="19" fillId="0" borderId="14" xfId="0" applyFont="1" applyBorder="1" applyNumberFormat="1">
      <alignment horizontal="center" vertical="center" wrapText="1"/>
    </xf>
    <xf numFmtId="0" fontId="19" fillId="0" borderId="0" xfId="0" applyFont="1" applyNumberFormat="1">
      <alignment horizontal="center" vertical="center"/>
    </xf>
    <xf numFmtId="49" fontId="19" fillId="0" borderId="0" xfId="0" applyFont="1" applyNumberFormat="1">
      <alignment vertical="center" wrapText="1"/>
    </xf>
    <xf numFmtId="0" fontId="37" fillId="0" borderId="0" xfId="0" applyFont="1" applyNumberFormat="1">
      <alignment horizontal="center" vertical="center" wrapText="1"/>
    </xf>
    <xf numFmtId="0" fontId="24" fillId="0" borderId="0" xfId="0" applyFont="1" applyNumberFormat="1">
      <alignment horizontal="center" vertical="center" wrapText="1"/>
    </xf>
    <xf numFmtId="0" fontId="37" fillId="0" borderId="24" xfId="0" applyFont="1" applyBorder="1" applyNumberFormat="1">
      <alignment vertical="center" wrapText="1"/>
    </xf>
    <xf numFmtId="0" fontId="19" fillId="34" borderId="12" xfId="0" applyFont="1" applyFill="1" applyBorder="1" applyNumberFormat="1">
      <alignment horizontal="left" vertical="center" wrapText="1"/>
    </xf>
    <xf numFmtId="0" fontId="19" fillId="34" borderId="12" xfId="0" applyFont="1" applyFill="1" applyBorder="1" applyNumberFormat="1">
      <alignment horizontal="left" vertical="center" wrapText="1" indent="5"/>
    </xf>
    <xf numFmtId="0" fontId="19" fillId="0" borderId="12" xfId="0" applyFont="1" applyBorder="1" applyNumberFormat="1">
      <alignment horizontal="left" vertical="center" wrapText="1" indent="6"/>
    </xf>
    <xf numFmtId="0" fontId="19" fillId="39" borderId="13" xfId="0" applyFont="1" applyFill="1" applyBorder="1" applyNumberFormat="1">
      <alignment horizontal="left" vertical="center" wrapText="1"/>
    </xf>
    <xf numFmtId="0" fontId="34" fillId="0" borderId="12" xfId="0" applyFont="1" applyBorder="1" applyNumberFormat="1">
      <alignment vertical="top" wrapText="1"/>
    </xf>
    <xf numFmtId="0" fontId="37" fillId="0" borderId="0" xfId="0" applyFont="1" applyNumberFormat="1">
      <alignment vertical="center"/>
    </xf>
    <xf numFmtId="49" fontId="0" fillId="0" borderId="0" xfId="0" applyFont="1" applyNumberFormat="1">
      <alignment vertical="top"/>
    </xf>
    <xf numFmtId="0" fontId="19" fillId="0" borderId="0" xfId="0" applyFont="1" applyNumberFormat="1">
      <alignment horizontal="center" vertical="center" wrapText="1"/>
    </xf>
    <xf numFmtId="0" fontId="19" fillId="39" borderId="12" xfId="0" applyFont="1" applyFill="1" applyBorder="1" applyNumberFormat="1">
      <alignment horizontal="left" vertical="center" wrapText="1" indent="6"/>
    </xf>
    <xf numFmtId="4" fontId="19" fillId="35" borderId="13" xfId="0" applyFont="1" applyFill="1" applyBorder="1" applyNumberFormat="1">
      <alignment horizontal="right" vertical="center" wrapText="1"/>
      <protection locked="0"/>
    </xf>
    <xf numFmtId="172" fontId="19" fillId="35" borderId="12" xfId="0" applyFont="1" applyFill="1" applyBorder="1" applyNumberFormat="1">
      <alignment horizontal="right" vertical="center" wrapText="1"/>
      <protection locked="0"/>
    </xf>
    <xf numFmtId="0" fontId="34" fillId="0" borderId="17" xfId="0" applyFont="1" applyBorder="1" applyNumberFormat="1">
      <alignment vertical="top" wrapText="1"/>
    </xf>
    <xf numFmtId="49" fontId="0" fillId="0" borderId="0" xfId="0" applyFont="1" applyNumberFormat="1">
      <alignment vertical="top"/>
    </xf>
    <xf numFmtId="0" fontId="19" fillId="35" borderId="12" xfId="0" applyFont="1" applyFill="1" applyBorder="1" applyNumberFormat="1">
      <alignment horizontal="left" vertical="center" wrapText="1" indent="7"/>
      <protection locked="0"/>
    </xf>
    <xf numFmtId="0" fontId="34" fillId="0" borderId="17" xfId="0" applyFont="1" applyBorder="1" applyNumberFormat="1">
      <alignment horizontal="left" vertical="top" wrapText="1"/>
    </xf>
    <xf numFmtId="49" fontId="0" fillId="0" borderId="0" xfId="0" applyFont="1" applyNumberFormat="1">
      <alignment vertical="top"/>
    </xf>
    <xf numFmtId="49" fontId="19" fillId="0" borderId="12" xfId="0" applyFont="1" applyBorder="1" applyNumberFormat="1">
      <alignment horizontal="left" vertical="center" wrapText="1"/>
    </xf>
    <xf numFmtId="4" fontId="19" fillId="0" borderId="13" xfId="0" applyFont="1" applyBorder="1" applyNumberFormat="1">
      <alignment horizontal="right" vertical="center" wrapText="1"/>
    </xf>
    <xf numFmtId="4" fontId="37" fillId="0" borderId="12" xfId="0" applyFont="1" applyBorder="1" applyNumberFormat="1">
      <alignment horizontal="center" vertical="center" wrapText="1"/>
    </xf>
    <xf numFmtId="0" fontId="34" fillId="0" borderId="36" xfId="0" applyFont="1" applyBorder="1" applyNumberFormat="1">
      <alignment horizontal="left" vertical="top" wrapText="1"/>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6"/>
    </xf>
    <xf numFmtId="0" fontId="19" fillId="36" borderId="15" xfId="0" applyFont="1" applyFill="1" applyBorder="1" applyNumberFormat="1">
      <alignment horizontal="left" vertical="center" wrapText="1" indent="6"/>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9" fontId="0" fillId="0" borderId="0" xfId="0" applyFont="1" applyNumberFormat="1">
      <alignment vertical="top"/>
    </xf>
    <xf numFmtId="0" fontId="37" fillId="0" borderId="24" xfId="0" applyFont="1" applyBorder="1" applyNumberFormat="1">
      <alignment horizontal="center" vertical="center" wrapText="1"/>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5"/>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13" xfId="0" applyFont="1" applyFill="1" applyBorder="1" applyNumberFormat="1">
      <alignment horizontal="center" vertical="center" wrapText="1"/>
    </xf>
    <xf numFmtId="0" fontId="34" fillId="0" borderId="23" xfId="0" applyFont="1" applyBorder="1" applyNumberFormat="1">
      <alignment horizontal="left" vertical="top"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6"/>
    </xf>
    <xf numFmtId="0" fontId="19" fillId="36" borderId="15" xfId="0" applyFont="1" applyFill="1" applyBorder="1" applyNumberFormat="1">
      <alignment horizontal="left" vertical="center" wrapText="1" indent="6"/>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5"/>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13"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0" fontId="19" fillId="0" borderId="0" xfId="0" applyFont="1" applyNumberFormat="1">
      <alignment horizontal="left" vertical="top" wrapText="1"/>
    </xf>
    <xf numFmtId="49" fontId="36" fillId="0" borderId="0" xfId="0" applyFont="1" applyNumberFormat="1">
      <alignment vertical="center" wrapText="1"/>
    </xf>
    <xf numFmtId="0" fontId="36"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7" fillId="0" borderId="12" xfId="0" applyFont="1" applyBorder="1" applyNumberFormat="1">
      <alignment horizontal="left" vertical="center" wrapText="1" indent="5"/>
    </xf>
    <xf numFmtId="0" fontId="37" fillId="0" borderId="24" xfId="0" applyFont="1" applyBorder="1" applyNumberFormat="1">
      <alignment horizontal="center" vertical="top" wrapText="1"/>
    </xf>
    <xf numFmtId="0" fontId="19" fillId="34" borderId="17" xfId="0" applyFont="1" applyFill="1" applyBorder="1" applyNumberFormat="1">
      <alignment horizontal="left" vertical="center" wrapText="1"/>
    </xf>
    <xf numFmtId="49" fontId="19" fillId="38" borderId="17" xfId="0" applyFont="1" applyFill="1" applyBorder="1" applyNumberFormat="1">
      <alignment horizontal="left" vertical="center" wrapText="1" indent="6"/>
      <protection locked="0"/>
    </xf>
    <xf numFmtId="0" fontId="25" fillId="0" borderId="12" xfId="0" applyFont="1" applyBorder="1" applyNumberFormat="1">
      <alignment horizontal="center" vertical="center" wrapText="1"/>
    </xf>
    <xf numFmtId="49" fontId="19" fillId="39" borderId="12" xfId="0" applyFont="1" applyFill="1" applyBorder="1" applyNumberFormat="1">
      <alignment horizontal="left" vertical="center" wrapText="1" indent="1"/>
    </xf>
    <xf numFmtId="0" fontId="19" fillId="0" borderId="12" xfId="0" applyFont="1" applyBorder="1" applyNumberFormat="1">
      <alignment horizontal="left" vertical="center" wrapText="1" indent="4"/>
    </xf>
    <xf numFmtId="49" fontId="19" fillId="34" borderId="12" xfId="0" applyFont="1" applyFill="1" applyBorder="1" applyNumberFormat="1">
      <alignment horizontal="center" vertical="center" wrapText="1"/>
    </xf>
    <xf numFmtId="0" fontId="19" fillId="39" borderId="12" xfId="0" applyFont="1" applyFill="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49" fontId="19" fillId="39" borderId="12" xfId="0" applyFont="1" applyFill="1" applyBorder="1" applyNumberFormat="1">
      <alignment horizontal="center" vertical="center" wrapText="1"/>
    </xf>
    <xf numFmtId="0" fontId="19" fillId="34" borderId="36" xfId="0" applyFont="1" applyFill="1" applyBorder="1" applyNumberFormat="1">
      <alignment horizontal="left" vertical="center" wrapText="1"/>
    </xf>
    <xf numFmtId="49" fontId="19" fillId="38" borderId="36" xfId="0" applyFont="1" applyFill="1" applyBorder="1" applyNumberFormat="1">
      <alignment horizontal="left" vertical="center" wrapText="1" indent="6"/>
      <protection locked="0"/>
    </xf>
    <xf numFmtId="172" fontId="19" fillId="36" borderId="13" xfId="0" applyFont="1" applyFill="1" applyBorder="1" applyNumberFormat="1">
      <alignment horizontal="right" vertical="center" wrapText="1"/>
    </xf>
    <xf numFmtId="49" fontId="29" fillId="36" borderId="14" xfId="0" applyFont="1" applyFill="1" applyBorder="1" applyNumberFormat="1">
      <alignment horizontal="left" vertical="center"/>
    </xf>
    <xf numFmtId="172" fontId="19" fillId="36" borderId="15" xfId="0" applyFont="1" applyFill="1" applyBorder="1" applyNumberFormat="1">
      <alignment horizontal="right" vertical="center" wrapText="1"/>
    </xf>
    <xf numFmtId="4" fontId="19" fillId="0" borderId="36" xfId="0" applyFont="1" applyBorder="1" applyNumberFormat="1">
      <alignment horizontal="right" vertical="center" wrapText="1"/>
    </xf>
    <xf numFmtId="49" fontId="29" fillId="36" borderId="14" xfId="0" applyFont="1" applyFill="1" applyBorder="1" applyNumberFormat="1">
      <alignment horizontal="left" vertical="center" indent="1"/>
    </xf>
    <xf numFmtId="0" fontId="19" fillId="34" borderId="23" xfId="0" applyFont="1" applyFill="1" applyBorder="1" applyNumberFormat="1">
      <alignment horizontal="left" vertical="center" wrapText="1"/>
    </xf>
    <xf numFmtId="49" fontId="19" fillId="38" borderId="23" xfId="0" applyFont="1" applyFill="1" applyBorder="1" applyNumberFormat="1">
      <alignment horizontal="left" vertical="center" wrapText="1" indent="6"/>
      <protection locked="0"/>
    </xf>
    <xf numFmtId="4" fontId="37" fillId="36" borderId="13" xfId="0" applyFont="1" applyFill="1" applyBorder="1" applyNumberFormat="1">
      <alignment horizontal="center" vertical="center" wrapText="1"/>
    </xf>
    <xf numFmtId="49" fontId="29" fillId="36" borderId="14" xfId="0" applyFont="1" applyFill="1" applyBorder="1" applyNumberFormat="1">
      <alignment vertical="center" wrapText="1"/>
    </xf>
    <xf numFmtId="49" fontId="29" fillId="36" borderId="15" xfId="0" applyFont="1" applyFill="1" applyBorder="1" applyNumberFormat="1">
      <alignment vertical="center" wrapText="1"/>
    </xf>
    <xf numFmtId="49" fontId="37" fillId="0" borderId="24" xfId="0" applyFont="1" applyBorder="1" applyNumberFormat="1">
      <alignment vertical="top"/>
    </xf>
    <xf numFmtId="0" fontId="101" fillId="0" borderId="0" xfId="0" applyFont="1" applyNumberFormat="1">
      <alignment horizontal="center" vertical="center" wrapText="1"/>
    </xf>
    <xf numFmtId="49" fontId="37" fillId="0" borderId="0" xfId="0" applyFont="1" applyNumberFormat="1">
      <alignment horizontal="center" vertical="center" wrapText="1"/>
    </xf>
    <xf numFmtId="49" fontId="37" fillId="0" borderId="0" xfId="0" applyFont="1" applyNumberFormat="1">
      <alignment horizontal="left" vertical="center" wrapText="1" indent="1"/>
    </xf>
    <xf numFmtId="0" fontId="37" fillId="0" borderId="0" xfId="0" applyFont="1" applyNumberFormat="1">
      <alignment horizontal="left" vertical="center" wrapText="1" indent="4"/>
    </xf>
    <xf numFmtId="0" fontId="37" fillId="0" borderId="24" xfId="0" applyFont="1" applyBorder="1" applyNumberFormat="1">
      <alignment horizontal="left" vertical="center" wrapText="1" indent="1"/>
    </xf>
    <xf numFmtId="4" fontId="37" fillId="0" borderId="12" xfId="0" applyFont="1" applyBorder="1" applyNumberFormat="1">
      <alignment horizontal="right" vertical="center" wrapText="1"/>
    </xf>
    <xf numFmtId="172" fontId="37" fillId="0" borderId="12" xfId="0" applyFont="1" applyBorder="1" applyNumberFormat="1">
      <alignment horizontal="right" vertical="center" wrapText="1"/>
    </xf>
    <xf numFmtId="174" fontId="37"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0" fontId="36" fillId="0" borderId="0" xfId="0" applyFont="1" applyNumberFormat="1">
      <alignment horizontal="left" vertical="center"/>
    </xf>
    <xf numFmtId="49" fontId="36" fillId="0" borderId="0" xfId="0" applyFont="1" applyNumberFormat="1">
      <alignment horizontal="left" vertical="center"/>
    </xf>
    <xf numFmtId="0" fontId="36" fillId="0" borderId="0" xfId="0" applyFont="1" applyNumberFormat="1">
      <alignment horizontal="left" vertical="center"/>
    </xf>
    <xf numFmtId="0" fontId="59" fillId="0" borderId="0" xfId="0" applyFont="1" applyNumberFormat="1">
      <alignment horizontal="left" vertical="center"/>
    </xf>
    <xf numFmtId="0" fontId="37" fillId="0" borderId="0" xfId="0" applyFont="1" applyNumberFormat="1">
      <alignment horizontal="left" vertical="center"/>
    </xf>
    <xf numFmtId="0" fontId="59" fillId="34" borderId="0" xfId="0" applyFont="1" applyFill="1" applyNumberFormat="1">
      <alignment vertical="center" wrapText="1"/>
    </xf>
    <xf numFmtId="0" fontId="19" fillId="34" borderId="3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24" xfId="0" applyFont="1" applyFill="1" applyBorder="1" applyNumberFormat="1">
      <alignment horizontal="center" vertical="center" wrapText="1"/>
    </xf>
    <xf numFmtId="0" fontId="19" fillId="38" borderId="12" xfId="0" applyFont="1" applyFill="1" applyBorder="1" applyNumberFormat="1">
      <alignment horizontal="center" vertical="center" wrapText="1"/>
      <protection locked="0"/>
    </xf>
    <xf numFmtId="0" fontId="19" fillId="34" borderId="12"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0" fillId="34" borderId="30"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9" xfId="0" applyFont="1" applyFill="1" applyBorder="1" applyNumberFormat="1">
      <alignment horizontal="center" vertical="center" wrapText="1"/>
    </xf>
    <xf numFmtId="0" fontId="19" fillId="34" borderId="23" xfId="0" applyFont="1" applyFill="1" applyBorder="1" applyNumberFormat="1">
      <alignment horizontal="center" vertical="center" wrapText="1"/>
    </xf>
    <xf numFmtId="49" fontId="19" fillId="0" borderId="12" xfId="0" applyFont="1" applyBorder="1" applyNumberFormat="1">
      <alignment horizontal="left" vertical="center" wrapText="1" indent="1"/>
    </xf>
    <xf numFmtId="0" fontId="19" fillId="0" borderId="12" xfId="0" applyFont="1" applyBorder="1" applyNumberFormat="1">
      <alignment horizontal="left" vertical="center" wrapText="1" indent="1"/>
    </xf>
    <xf numFmtId="49" fontId="19" fillId="36" borderId="14" xfId="0" applyFont="1" applyFill="1" applyBorder="1" applyNumberFormat="1">
      <alignment horizontal="center" vertical="center" wrapText="1"/>
    </xf>
    <xf numFmtId="49" fontId="63" fillId="0" borderId="24" xfId="0" applyFont="1" applyBorder="1" applyNumberFormat="1">
      <alignment vertical="top"/>
    </xf>
    <xf numFmtId="0" fontId="19" fillId="0" borderId="0" xfId="0" applyFont="1" applyNumberFormat="1">
      <alignment horizontal="left" vertical="top"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0" fontId="19" fillId="35" borderId="14" xfId="0" applyFont="1" applyFill="1" applyBorder="1" applyNumberFormat="1">
      <alignment horizontal="left" vertical="center" wrapText="1"/>
      <protection locked="0"/>
    </xf>
    <xf numFmtId="0" fontId="19" fillId="35" borderId="15" xfId="0" applyFont="1" applyFill="1" applyBorder="1" applyNumberFormat="1">
      <alignment horizontal="left" vertical="center" wrapText="1"/>
      <protection locked="0"/>
    </xf>
    <xf numFmtId="0" fontId="19" fillId="35" borderId="13" xfId="0" applyFont="1" applyFill="1" applyBorder="1" applyNumberFormat="1">
      <alignment horizontal="left" vertical="center" wrapText="1"/>
      <protection locked="0"/>
    </xf>
    <xf numFmtId="49" fontId="19" fillId="35" borderId="14" xfId="0" applyFont="1" applyFill="1" applyBorder="1" applyNumberFormat="1">
      <alignment horizontal="left" vertical="center" wrapText="1"/>
      <protection locked="0"/>
    </xf>
    <xf numFmtId="49" fontId="19" fillId="35" borderId="15" xfId="0" applyFont="1" applyFill="1" applyBorder="1" applyNumberFormat="1">
      <alignment horizontal="left" vertical="center" wrapText="1"/>
      <protection locked="0"/>
    </xf>
    <xf numFmtId="49" fontId="19" fillId="35" borderId="13"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indent="6"/>
      <protection locked="0"/>
    </xf>
    <xf numFmtId="4" fontId="19" fillId="0" borderId="37" xfId="0" applyFont="1" applyBorder="1" applyNumberFormat="1">
      <alignment horizontal="right" vertical="center" wrapText="1"/>
    </xf>
    <xf numFmtId="0" fontId="34" fillId="0" borderId="12" xfId="0" applyFont="1" applyBorder="1" applyNumberFormat="1">
      <alignment horizontal="left" vertical="top" wrapText="1"/>
    </xf>
    <xf numFmtId="49" fontId="19" fillId="0" borderId="12" xfId="0" applyFont="1" applyBorder="1" applyNumberFormat="1">
      <alignment horizontal="left" vertical="center" wrapText="1"/>
    </xf>
    <xf numFmtId="4" fontId="19"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49" fontId="29" fillId="36" borderId="15" xfId="0" applyFont="1" applyFill="1" applyBorder="1" applyNumberFormat="1">
      <alignment horizontal="left" vertical="center" indent="3"/>
    </xf>
    <xf numFmtId="0" fontId="37" fillId="0" borderId="0" xfId="0" applyFont="1" applyNumberFormat="1">
      <alignment horizontal="center" vertical="center"/>
    </xf>
    <xf numFmtId="0" fontId="36" fillId="0" borderId="0" xfId="0" applyFont="1" applyNumberFormat="1">
      <alignment horizontal="center" vertical="center" wrapText="1"/>
    </xf>
    <xf numFmtId="0" fontId="100" fillId="0" borderId="0" xfId="0" applyFont="1" applyNumberFormat="1">
      <alignment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49" fontId="19" fillId="0" borderId="0" xfId="0" applyFont="1" applyNumberFormat="1">
      <alignment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center" vertical="center"/>
    </xf>
    <xf numFmtId="0" fontId="36" fillId="0" borderId="0" xfId="0" applyFont="1" applyNumberFormat="1">
      <alignment horizontal="center"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vertical="center" wrapText="1"/>
    </xf>
    <xf numFmtId="0" fontId="19" fillId="34" borderId="12" xfId="0" applyFont="1" applyFill="1" applyBorder="1" applyNumberFormat="1">
      <alignment horizontal="left" vertical="center" wrapText="1"/>
    </xf>
    <xf numFmtId="0" fontId="101" fillId="0" borderId="0" xfId="0" applyFont="1" applyNumberFormat="1">
      <alignment vertical="center" wrapText="1"/>
    </xf>
    <xf numFmtId="0" fontId="101" fillId="34" borderId="0" xfId="0" applyFont="1" applyFill="1" applyNumberFormat="1">
      <alignment horizontal="center" vertical="center" wrapText="1"/>
    </xf>
    <xf numFmtId="0" fontId="37" fillId="34" borderId="12" xfId="0" applyFont="1" applyFill="1" applyBorder="1" applyNumberFormat="1">
      <alignment horizontal="left" vertical="center" wrapText="1" indent="3"/>
    </xf>
    <xf numFmtId="0" fontId="37" fillId="0" borderId="0" xfId="0" applyFont="1" applyNumberFormat="1">
      <alignment horizontal="center" vertical="center" wrapText="1"/>
    </xf>
    <xf numFmtId="49" fontId="19" fillId="35" borderId="17" xfId="0" applyFont="1" applyFill="1" applyBorder="1" applyNumberFormat="1">
      <alignment horizontal="left" vertical="center" wrapText="1" indent="6"/>
      <protection locked="0"/>
    </xf>
    <xf numFmtId="4" fontId="19" fillId="38" borderId="12" xfId="0" applyFont="1" applyFill="1" applyBorder="1" applyNumberFormat="1">
      <alignment horizontal="left" vertical="center" wrapText="1" indent="1"/>
      <protection locked="0"/>
    </xf>
    <xf numFmtId="49" fontId="19" fillId="39" borderId="12" xfId="0" applyFont="1" applyFill="1" applyBorder="1" applyNumberFormat="1">
      <alignment horizontal="left" vertical="center" wrapText="1" indent="1"/>
      <protection locked="0"/>
    </xf>
    <xf numFmtId="4" fontId="19" fillId="38" borderId="12" xfId="0" applyFont="1" applyFill="1" applyBorder="1" applyNumberFormat="1">
      <alignment horizontal="center" vertical="center" wrapText="1"/>
      <protection locked="0"/>
    </xf>
    <xf numFmtId="49" fontId="19" fillId="39" borderId="20"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49" fontId="19" fillId="35" borderId="36" xfId="0" applyFont="1" applyFill="1" applyBorder="1" applyNumberFormat="1">
      <alignment horizontal="left" vertical="center" wrapText="1" indent="6"/>
      <protection locked="0"/>
    </xf>
    <xf numFmtId="49" fontId="19" fillId="39" borderId="29" xfId="0" applyFont="1" applyFill="1" applyBorder="1" applyNumberFormat="1">
      <alignment horizontal="center" vertical="center" wrapText="1"/>
    </xf>
    <xf numFmtId="49" fontId="29" fillId="36" borderId="27" xfId="0" applyFont="1" applyFill="1" applyBorder="1" applyNumberFormat="1">
      <alignment horizontal="left" vertical="center"/>
    </xf>
    <xf numFmtId="49" fontId="19" fillId="35" borderId="23" xfId="0" applyFont="1" applyFill="1" applyBorder="1" applyNumberFormat="1">
      <alignment horizontal="left" vertical="center" wrapText="1" indent="6"/>
      <protection locked="0"/>
    </xf>
    <xf numFmtId="0" fontId="37" fillId="0" borderId="0" xfId="0" applyFont="1" applyNumberFormat="1">
      <alignment horizontal="center" vertical="center"/>
    </xf>
    <xf numFmtId="0" fontId="37" fillId="0" borderId="0" xfId="0" applyFont="1" applyNumberFormat="1">
      <alignment horizontal="left" vertical="center" wrapText="1" indent="1"/>
    </xf>
    <xf numFmtId="0" fontId="19" fillId="34" borderId="12" xfId="0" applyFont="1" applyFill="1" applyBorder="1" applyNumberFormat="1">
      <alignment horizontal="center" vertical="center" wrapText="1"/>
    </xf>
    <xf numFmtId="0" fontId="37" fillId="0" borderId="19" xfId="0" applyFont="1" applyBorder="1" applyNumberFormat="1">
      <alignment horizontal="left" vertical="center" wrapText="1"/>
    </xf>
    <xf numFmtId="0" fontId="19" fillId="0" borderId="0" xfId="0" applyFont="1" applyNumberFormat="1">
      <alignment horizontal="left" vertical="top" wrapText="1"/>
    </xf>
    <xf numFmtId="0" fontId="36" fillId="0" borderId="0" xfId="0" applyFont="1" applyNumberFormat="1">
      <alignment horizontal="center"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center" vertical="center"/>
    </xf>
    <xf numFmtId="0" fontId="36" fillId="0" borderId="0" xfId="0" applyFont="1" applyNumberFormat="1">
      <alignment horizontal="center"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vertical="center" wrapText="1"/>
    </xf>
    <xf numFmtId="49" fontId="19" fillId="39"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49" fontId="37" fillId="0" borderId="12" xfId="0" applyFont="1" applyBorder="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49" fontId="37" fillId="0" borderId="0" xfId="0" applyFont="1" applyNumberFormat="1">
      <alignment horizontal="center" vertical="center" wrapText="1"/>
    </xf>
    <xf numFmtId="49" fontId="19" fillId="0" borderId="0" xfId="0" applyFont="1" applyNumberFormat="1">
      <alignment horizontal="center" vertical="center" wrapText="1"/>
    </xf>
    <xf numFmtId="0" fontId="19" fillId="0" borderId="28" xfId="0" applyFont="1" applyBorder="1" applyNumberFormat="1">
      <alignment horizontal="center" vertical="center" wrapText="1"/>
    </xf>
    <xf numFmtId="0" fontId="19" fillId="38" borderId="12" xfId="0" applyFont="1" applyFill="1" applyBorder="1" applyNumberFormat="1">
      <alignment horizontal="left" vertical="center" wrapText="1" indent="2"/>
      <protection locked="0"/>
    </xf>
    <xf numFmtId="0" fontId="19" fillId="0" borderId="12" xfId="0" applyFont="1" applyBorder="1" applyNumberFormat="1">
      <alignment horizontal="center" vertical="center" wrapText="1"/>
    </xf>
    <xf numFmtId="0" fontId="19" fillId="0" borderId="12" xfId="0" applyFont="1" applyBorder="1" applyNumberFormat="1">
      <alignment vertical="center" wrapText="1"/>
    </xf>
    <xf numFmtId="0" fontId="74" fillId="0" borderId="0" xfId="0" applyFont="1" applyNumberFormat="1">
      <alignment vertical="center" wrapText="1"/>
    </xf>
    <xf numFmtId="0" fontId="37" fillId="0" borderId="0" xfId="0" applyFont="1" applyNumberFormat="1">
      <alignment vertical="center" wrapText="1"/>
    </xf>
    <xf numFmtId="0" fontId="37" fillId="0" borderId="28" xfId="0" applyFont="1" applyBorder="1" applyNumberFormat="1">
      <alignment horizontal="center" vertical="center" wrapText="1"/>
    </xf>
    <xf numFmtId="0" fontId="37" fillId="0" borderId="12" xfId="0" applyFont="1" applyBorder="1" applyNumberFormat="1">
      <alignment horizontal="left" vertical="center" wrapText="1" indent="2"/>
    </xf>
    <xf numFmtId="0" fontId="37" fillId="0" borderId="12" xfId="0" applyFont="1" applyBorder="1" applyNumberFormat="1">
      <alignment horizontal="center" vertical="center" wrapText="1"/>
    </xf>
    <xf numFmtId="0" fontId="37" fillId="0" borderId="12" xfId="0" applyFont="1" applyBorder="1" applyNumberFormat="1">
      <alignment vertical="center" wrapText="1"/>
    </xf>
    <xf numFmtId="0" fontId="19" fillId="0" borderId="12" xfId="0" applyFont="1" applyBorder="1" applyNumberFormat="1">
      <alignment horizontal="left" vertical="center" wrapText="1" indent="3"/>
    </xf>
    <xf numFmtId="49" fontId="19" fillId="38" borderId="12" xfId="0" applyFont="1" applyFill="1" applyBorder="1" applyNumberFormat="1">
      <alignment horizontal="center" vertical="center" wrapText="1"/>
      <protection locked="0"/>
    </xf>
    <xf numFmtId="4" fontId="19" fillId="35" borderId="12" xfId="0" applyFont="1" applyFill="1" applyBorder="1" applyNumberFormat="1">
      <alignment horizontal="right" vertical="center" wrapText="1"/>
      <protection locked="0"/>
    </xf>
    <xf numFmtId="0" fontId="19" fillId="35" borderId="12" xfId="0" applyFont="1" applyFill="1" applyBorder="1" applyNumberFormat="1">
      <alignment horizontal="left" vertical="center" wrapText="1"/>
      <protection locked="0"/>
    </xf>
    <xf numFmtId="49" fontId="81" fillId="0" borderId="0" xfId="0" applyFont="1" applyNumberFormat="1">
      <alignment horizontal="center" vertical="center" wrapText="1"/>
    </xf>
    <xf numFmtId="49" fontId="19" fillId="0" borderId="0" xfId="0" applyFont="1" applyNumberFormat="1">
      <alignment horizontal="center" vertical="top" wrapText="1"/>
    </xf>
    <xf numFmtId="0" fontId="19" fillId="0" borderId="12" xfId="0" applyFont="1" applyBorder="1" applyNumberFormat="1">
      <alignment horizontal="center" vertical="center" wrapText="1"/>
    </xf>
    <xf numFmtId="0" fontId="19" fillId="0" borderId="13" xfId="0" applyFont="1" applyBorder="1" applyNumberFormat="1">
      <alignment vertical="top" wrapText="1"/>
    </xf>
    <xf numFmtId="0" fontId="44" fillId="0" borderId="0" xfId="0" applyFont="1" applyNumberFormat="1">
      <alignment vertical="center" wrapText="1"/>
    </xf>
    <xf numFmtId="0" fontId="19" fillId="0" borderId="13" xfId="0" applyFont="1" applyBorder="1" applyNumberFormat="1">
      <alignment horizontal="center" vertical="center" wrapText="1"/>
    </xf>
    <xf numFmtId="173" fontId="19" fillId="35" borderId="12" xfId="0" applyFont="1" applyFill="1" applyBorder="1" applyNumberFormat="1">
      <alignment horizontal="right" vertical="center" wrapText="1"/>
      <protection locked="0"/>
    </xf>
    <xf numFmtId="0" fontId="19" fillId="0" borderId="20" xfId="0" applyFont="1" applyBorder="1" applyNumberFormat="1">
      <alignment vertical="center" wrapText="1"/>
    </xf>
    <xf numFmtId="0" fontId="20" fillId="0" borderId="0" xfId="0" applyFont="1" applyNumberFormat="1">
      <alignment vertical="center" wrapText="1"/>
    </xf>
    <xf numFmtId="0" fontId="35" fillId="0" borderId="0" xfId="0" applyFont="1" applyNumberFormat="1">
      <alignment vertical="center" wrapText="1"/>
    </xf>
    <xf numFmtId="0" fontId="19" fillId="0" borderId="0" xfId="0" applyFont="1" applyNumberFormat="1">
      <alignment horizontal="left" vertical="center" wrapText="1" indent="3"/>
    </xf>
    <xf numFmtId="0" fontId="37" fillId="0" borderId="0" xfId="0" applyFont="1" applyNumberFormat="1">
      <alignment vertical="center" wrapText="1"/>
    </xf>
    <xf numFmtId="0" fontId="87" fillId="34" borderId="0" xfId="0" applyFont="1" applyFill="1" applyNumberFormat="1">
      <alignment horizontal="right" vertical="center"/>
    </xf>
    <xf numFmtId="0" fontId="19" fillId="0" borderId="14" xfId="0" applyFont="1" applyBorder="1" applyNumberFormat="1">
      <alignment vertical="center" wrapText="1"/>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19" fillId="33" borderId="14" xfId="0" applyFont="1" applyFill="1" applyBorder="1" applyNumberFormat="1">
      <alignment horizontal="left" vertical="top" wrapText="1"/>
    </xf>
    <xf numFmtId="0" fontId="19" fillId="0" borderId="14" xfId="0" applyFont="1" applyBorder="1" applyNumberFormat="1">
      <alignment horizontal="right" vertical="center" wrapText="1"/>
    </xf>
    <xf numFmtId="0" fontId="19" fillId="0" borderId="15" xfId="0" applyFont="1" applyBorder="1" applyNumberFormat="1">
      <alignment horizontal="right"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left" vertical="center" wrapText="1"/>
    </xf>
    <xf numFmtId="0" fontId="19" fillId="0" borderId="12" xfId="0" applyFont="1" applyBorder="1" applyNumberFormat="1">
      <alignment horizontal="center" vertical="center" wrapText="1"/>
    </xf>
    <xf numFmtId="4" fontId="19" fillId="38" borderId="12" xfId="0" applyFont="1" applyFill="1" applyBorder="1" applyNumberFormat="1">
      <alignment horizontal="right" vertical="center" wrapText="1"/>
      <protection locked="0"/>
    </xf>
    <xf numFmtId="4" fontId="19" fillId="33" borderId="12" xfId="0" applyFont="1" applyFill="1" applyBorder="1" applyNumberFormat="1">
      <alignment horizontal="right" vertical="center" wrapText="1"/>
    </xf>
    <xf numFmtId="0" fontId="19" fillId="0" borderId="12" xfId="0" applyFont="1" applyBorder="1" applyNumberFormat="1">
      <alignment horizontal="left" vertical="center" wrapText="1" indent="1"/>
    </xf>
    <xf numFmtId="49" fontId="81" fillId="45" borderId="0" xfId="0" applyFont="1" applyFill="1" applyNumberFormat="1">
      <alignment horizontal="center" vertical="center" textRotation="90" wrapText="1"/>
    </xf>
    <xf numFmtId="0" fontId="63" fillId="0" borderId="0" xfId="0" applyFont="1" applyNumberFormat="1">
      <alignment vertical="center" wrapText="1"/>
    </xf>
    <xf numFmtId="0" fontId="63" fillId="0" borderId="0" xfId="0" applyFont="1" applyNumberFormat="1">
      <alignment horizontal="center" vertical="center" wrapText="1"/>
    </xf>
    <xf numFmtId="49" fontId="63" fillId="0" borderId="0" xfId="0" applyFont="1" applyNumberFormat="1">
      <alignment horizontal="center" vertical="center" wrapText="1"/>
    </xf>
    <xf numFmtId="49" fontId="63" fillId="0" borderId="28" xfId="0" applyFont="1" applyBorder="1" applyNumberFormat="1">
      <alignment horizontal="center" vertical="center" wrapText="1"/>
    </xf>
    <xf numFmtId="0" fontId="63" fillId="0" borderId="12" xfId="0" applyFont="1" applyBorder="1" applyNumberFormat="1">
      <alignment horizontal="left" vertical="center" wrapText="1" indent="2"/>
    </xf>
    <xf numFmtId="0" fontId="63" fillId="0" borderId="12" xfId="0" applyFont="1" applyBorder="1" applyNumberFormat="1">
      <alignment horizontal="center" vertical="center" wrapText="1"/>
    </xf>
    <xf numFmtId="0" fontId="63"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3" fillId="0" borderId="28" xfId="0" applyFont="1" applyBorder="1" applyNumberFormat="1">
      <alignment horizontal="center" vertical="center" wrapText="1"/>
    </xf>
    <xf numFmtId="0" fontId="63" fillId="0" borderId="12" xfId="0" applyFont="1" applyBorder="1" applyNumberFormat="1">
      <alignment horizontal="left" vertical="center" wrapText="1" indent="3"/>
    </xf>
    <xf numFmtId="4" fontId="63" fillId="0" borderId="12" xfId="0" applyFont="1" applyBorder="1" applyNumberFormat="1">
      <alignment horizontal="right" vertical="center" wrapText="1"/>
    </xf>
    <xf numFmtId="0" fontId="25" fillId="0" borderId="0" xfId="0" applyFont="1" applyNumberFormat="1">
      <alignment horizontal="center" vertical="center" wrapText="1"/>
    </xf>
    <xf numFmtId="49" fontId="19" fillId="36" borderId="14" xfId="0" applyFont="1" applyFill="1" applyBorder="1" applyNumberFormat="1">
      <alignment vertical="center" wrapText="1"/>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0" fontId="19" fillId="0" borderId="12" xfId="0" applyFont="1" applyBorder="1" applyNumberFormat="1">
      <alignment horizontal="left" vertical="center" wrapText="1" indent="2"/>
    </xf>
    <xf numFmtId="14" fontId="19" fillId="0" borderId="0" xfId="0" applyFont="1" applyNumberFormat="1">
      <alignment horizontal="center" vertical="center" wrapText="1"/>
    </xf>
    <xf numFmtId="49" fontId="81" fillId="45" borderId="0" xfId="0" applyFont="1" applyFill="1" applyNumberFormat="1">
      <alignment horizontal="center" vertical="center" wrapText="1"/>
    </xf>
    <xf numFmtId="49" fontId="39" fillId="0" borderId="0" xfId="0" applyFont="1" applyNumberFormat="1">
      <alignment horizontal="center" vertical="center"/>
    </xf>
    <xf numFmtId="173" fontId="19" fillId="38" borderId="12" xfId="0" applyFont="1" applyFill="1" applyBorder="1" applyNumberFormat="1">
      <alignment horizontal="right" vertical="center" wrapText="1"/>
      <protection locked="0"/>
    </xf>
    <xf numFmtId="49" fontId="81" fillId="0" borderId="0" xfId="0" applyFont="1" applyNumberFormat="1">
      <alignment horizontal="left" vertical="center" wrapText="1"/>
    </xf>
    <xf numFmtId="0" fontId="37" fillId="0" borderId="0" xfId="0" applyFont="1" applyNumberFormat="1">
      <alignment horizontal="left" vertical="center" wrapText="1"/>
    </xf>
    <xf numFmtId="49" fontId="19" fillId="0" borderId="0" xfId="0" applyFont="1" applyNumberFormat="1">
      <alignment horizontal="left" vertical="center" wrapText="1"/>
    </xf>
    <xf numFmtId="0" fontId="44" fillId="0" borderId="0" xfId="0" applyFont="1" applyNumberFormat="1">
      <alignment horizontal="left" vertical="center" wrapText="1"/>
    </xf>
    <xf numFmtId="0" fontId="20" fillId="0" borderId="0" xfId="0" applyFont="1" applyNumberFormat="1">
      <alignment horizontal="left" vertical="center" wrapText="1"/>
    </xf>
    <xf numFmtId="49" fontId="19" fillId="39" borderId="12" xfId="0" applyFont="1" applyFill="1" applyBorder="1" applyNumberFormat="1">
      <alignment horizontal="left" vertical="center" wrapText="1"/>
    </xf>
    <xf numFmtId="0" fontId="19" fillId="0" borderId="17" xfId="0" applyFont="1" applyBorder="1" applyNumberFormat="1">
      <alignment horizontal="center" vertical="center" wrapText="1"/>
    </xf>
    <xf numFmtId="4" fontId="19" fillId="33" borderId="17" xfId="0" applyFont="1" applyFill="1" applyBorder="1" applyNumberFormat="1">
      <alignment horizontal="right" vertical="center" wrapText="1"/>
    </xf>
    <xf numFmtId="0" fontId="37" fillId="0" borderId="12" xfId="0" applyFont="1" applyBorder="1" applyNumberFormat="1">
      <alignment horizontal="left" vertical="center" wrapText="1" indent="3"/>
    </xf>
    <xf numFmtId="49" fontId="37" fillId="0" borderId="12" xfId="0" applyFont="1" applyBorder="1" applyNumberFormat="1">
      <alignment vertical="center" wrapText="1"/>
    </xf>
    <xf numFmtId="0" fontId="37" fillId="0" borderId="17" xfId="0" applyFont="1" applyBorder="1" applyNumberFormat="1">
      <alignment vertical="top" wrapText="1"/>
    </xf>
    <xf numFmtId="4" fontId="19" fillId="38" borderId="13" xfId="0" applyFont="1" applyFill="1" applyBorder="1" applyNumberFormat="1">
      <alignment horizontal="right" vertical="center" wrapText="1"/>
      <protection locked="0"/>
    </xf>
    <xf numFmtId="49" fontId="43" fillId="35" borderId="13" xfId="0" applyFont="1" applyFill="1" applyBorder="1" applyNumberFormat="1">
      <alignment horizontal="left" vertical="center" wrapText="1"/>
      <protection locked="0"/>
    </xf>
    <xf numFmtId="49" fontId="43" fillId="35" borderId="12" xfId="0" applyFont="1" applyFill="1" applyBorder="1" applyNumberFormat="1">
      <alignment horizontal="left" vertical="center" wrapText="1"/>
      <protection locked="0"/>
    </xf>
    <xf numFmtId="0" fontId="36" fillId="0" borderId="0" xfId="0" applyFont="1" applyNumberFormat="1">
      <alignment vertical="center" wrapText="1"/>
    </xf>
    <xf numFmtId="0" fontId="37" fillId="0" borderId="0" xfId="0" applyFont="1" applyNumberFormat="1">
      <alignment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173" fontId="19" fillId="38" borderId="13" xfId="0" applyFont="1" applyFill="1" applyBorder="1" applyNumberFormat="1">
      <alignment horizontal="right" vertical="center" wrapText="1"/>
      <protection locked="0"/>
    </xf>
    <xf numFmtId="0" fontId="74" fillId="0" borderId="0" xfId="0" applyFont="1" applyNumberFormat="1">
      <alignment vertical="center" wrapText="1"/>
    </xf>
    <xf numFmtId="0" fontId="44" fillId="0" borderId="0" xfId="0" applyFont="1" applyNumberFormat="1">
      <alignment vertical="center" wrapText="1"/>
    </xf>
    <xf numFmtId="0" fontId="20" fillId="0" borderId="0" xfId="0" applyFont="1" applyNumberFormat="1">
      <alignment vertical="center" wrapText="1"/>
    </xf>
    <xf numFmtId="49" fontId="39" fillId="0" borderId="0" xfId="0" applyFont="1" applyNumberFormat="1">
      <alignment horizontal="center" vertical="center"/>
    </xf>
    <xf numFmtId="0" fontId="19" fillId="0" borderId="0" xfId="0" applyFont="1" applyNumberFormat="1">
      <alignment vertical="center" wrapText="1"/>
    </xf>
    <xf numFmtId="173" fontId="19" fillId="33" borderId="13" xfId="0" applyFont="1" applyFill="1" applyBorder="1" applyNumberFormat="1">
      <alignment horizontal="right" vertical="center" wrapText="1"/>
    </xf>
    <xf numFmtId="173" fontId="19" fillId="33" borderId="12" xfId="0" applyFont="1" applyFill="1" applyBorder="1" applyNumberFormat="1">
      <alignment horizontal="right" vertical="center" wrapText="1"/>
    </xf>
    <xf numFmtId="49" fontId="81" fillId="45" borderId="0" xfId="0" applyFont="1" applyFill="1" applyNumberFormat="1">
      <alignment horizontal="center" vertical="center" textRotation="90" wrapText="1"/>
    </xf>
    <xf numFmtId="0" fontId="19" fillId="38" borderId="12" xfId="0" applyFont="1" applyFill="1" applyBorder="1" applyNumberFormat="1">
      <alignment horizontal="center" vertical="center" wrapText="1"/>
      <protection locked="0"/>
    </xf>
    <xf numFmtId="4" fontId="19" fillId="38" borderId="29" xfId="0" applyFont="1" applyFill="1" applyBorder="1" applyNumberFormat="1">
      <alignment horizontal="right" vertical="center" wrapText="1"/>
      <protection locked="0"/>
    </xf>
    <xf numFmtId="4" fontId="19" fillId="38" borderId="23" xfId="0" applyFont="1" applyFill="1" applyBorder="1" applyNumberFormat="1">
      <alignment horizontal="right" vertical="center" wrapText="1"/>
      <protection locked="0"/>
    </xf>
    <xf numFmtId="0" fontId="37" fillId="0" borderId="36" xfId="0" applyFont="1" applyBorder="1" applyNumberFormat="1">
      <alignment horizontal="left" vertical="center" wrapText="1" indent="1"/>
    </xf>
    <xf numFmtId="0" fontId="37" fillId="0" borderId="36" xfId="0" applyFont="1" applyBorder="1" applyNumberFormat="1">
      <alignment horizontal="center" vertical="center" wrapText="1"/>
    </xf>
    <xf numFmtId="0" fontId="37" fillId="0" borderId="17" xfId="0" applyFont="1" applyBorder="1" applyNumberFormat="1">
      <alignment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19" fillId="0" borderId="23" xfId="0" applyFont="1" applyBorder="1" applyNumberFormat="1">
      <alignment vertical="top" wrapText="1"/>
    </xf>
    <xf numFmtId="0" fontId="19" fillId="0" borderId="13"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20" xfId="0" applyFont="1" applyBorder="1" applyNumberFormat="1">
      <alignment horizontal="center" vertical="center" wrapText="1"/>
    </xf>
    <xf numFmtId="173" fontId="19" fillId="38" borderId="17" xfId="0" applyFont="1" applyFill="1" applyBorder="1" applyNumberFormat="1">
      <alignment horizontal="right" vertical="center" wrapText="1"/>
      <protection locked="0"/>
    </xf>
    <xf numFmtId="0" fontId="37" fillId="0" borderId="23" xfId="0" applyFont="1" applyBorder="1" applyNumberFormat="1">
      <alignment horizontal="left" vertical="center" wrapText="1" indent="1"/>
    </xf>
    <xf numFmtId="0" fontId="37" fillId="0" borderId="17" xfId="0" applyFont="1" applyBorder="1" applyNumberFormat="1">
      <alignment horizontal="center" vertical="center" wrapText="1"/>
    </xf>
    <xf numFmtId="0" fontId="25" fillId="0" borderId="0" xfId="0" applyFont="1" applyNumberFormat="1">
      <alignment horizontal="center"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0" fontId="19" fillId="0" borderId="23" xfId="0" applyFont="1" applyBorder="1" applyNumberFormat="1">
      <alignment vertical="top" wrapText="1"/>
    </xf>
    <xf numFmtId="49" fontId="29" fillId="36" borderId="15" xfId="0" applyFont="1" applyFill="1" applyBorder="1" applyNumberFormat="1">
      <alignment horizontal="left" vertical="center" indent="1"/>
    </xf>
    <xf numFmtId="0" fontId="37" fillId="0" borderId="17" xfId="0" applyFont="1" applyBorder="1" applyNumberFormat="1">
      <alignment horizontal="left" vertical="center" wrapText="1" indent="1"/>
    </xf>
    <xf numFmtId="49" fontId="43" fillId="35" borderId="12" xfId="0" applyFont="1" applyFill="1" applyBorder="1" applyNumberFormat="1">
      <alignment horizontal="left" vertical="center" wrapText="1"/>
      <protection locked="0"/>
    </xf>
    <xf numFmtId="0" fontId="19" fillId="0" borderId="0" xfId="0" applyFont="1" applyNumberFormat="1">
      <alignment vertical="top" wrapText="1"/>
    </xf>
    <xf numFmtId="0" fontId="19" fillId="0" borderId="0" xfId="0" applyFont="1" applyNumberFormat="1">
      <alignment horizontal="left" vertical="top" wrapText="1"/>
    </xf>
    <xf numFmtId="0" fontId="44" fillId="0" borderId="0" xfId="0" applyFont="1" applyNumberFormat="1">
      <alignment vertical="center"/>
    </xf>
    <xf numFmtId="0" fontId="81" fillId="0" borderId="0" xfId="0" applyFont="1" applyNumberFormat="1">
      <alignment vertical="center" wrapText="1"/>
    </xf>
    <xf numFmtId="0" fontId="19" fillId="0" borderId="0" xfId="0" applyFont="1" applyNumberFormat="1">
      <alignment vertical="center" wrapText="1"/>
    </xf>
    <xf numFmtId="0" fontId="19" fillId="0" borderId="19" xfId="0" applyFont="1" applyBorder="1" applyNumberFormat="1">
      <alignment vertical="center" wrapText="1"/>
    </xf>
    <xf numFmtId="0" fontId="19" fillId="0" borderId="0" xfId="0" applyFont="1" applyNumberFormat="1">
      <alignment horizontal="center" vertical="center" wrapText="1"/>
    </xf>
    <xf numFmtId="49" fontId="20" fillId="0" borderId="0" xfId="0" applyFont="1" applyNumberFormat="1">
      <alignment horizontal="center" vertical="center" wrapText="1"/>
    </xf>
    <xf numFmtId="0" fontId="19" fillId="0" borderId="27" xfId="0" applyFont="1" applyBorder="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0" fontId="39" fillId="0" borderId="0" xfId="0" applyFont="1" applyNumberFormat="1">
      <alignment horizontal="center" vertical="center" wrapText="1"/>
    </xf>
    <xf numFmtId="49" fontId="53" fillId="0" borderId="0" xfId="0" applyFont="1" applyNumberFormat="1">
      <alignment horizontal="center" vertical="center" wrapText="1"/>
    </xf>
    <xf numFmtId="0" fontId="63" fillId="0" borderId="0" xfId="0" applyFont="1" applyNumberFormat="1">
      <alignment horizontal="center" vertical="center" wrapText="1"/>
    </xf>
    <xf numFmtId="0" fontId="90" fillId="0" borderId="0" xfId="0" applyFont="1" applyNumberFormat="1">
      <alignment horizontal="center" vertical="center" wrapText="1"/>
    </xf>
    <xf numFmtId="0" fontId="91" fillId="34" borderId="0" xfId="0" applyFont="1" applyFill="1" applyNumberFormat="1">
      <alignment horizontal="right" vertical="center"/>
    </xf>
    <xf numFmtId="0" fontId="53" fillId="0" borderId="0" xfId="0" applyFont="1" applyNumberFormat="1">
      <alignment vertical="center" wrapText="1"/>
    </xf>
    <xf numFmtId="0" fontId="62" fillId="0" borderId="0" xfId="0" applyFont="1" applyNumberFormat="1">
      <alignment vertical="center" wrapText="1"/>
    </xf>
    <xf numFmtId="0" fontId="19" fillId="0" borderId="12" xfId="0" applyFont="1" applyBorder="1" applyNumberFormat="1">
      <alignment horizontal="center" vertical="center" wrapText="1"/>
    </xf>
    <xf numFmtId="49" fontId="37" fillId="0" borderId="0" xfId="0" applyFont="1" applyNumberFormat="1">
      <alignment horizontal="center" vertical="center" wrapText="1"/>
    </xf>
    <xf numFmtId="49" fontId="37" fillId="0" borderId="0" xfId="0" applyFont="1" applyNumberFormat="1">
      <alignment horizontal="center" vertical="center" wrapText="1"/>
    </xf>
    <xf numFmtId="49" fontId="20" fillId="0" borderId="0" xfId="0" applyFont="1" applyNumberFormat="1">
      <alignment horizontal="center" vertical="center" wrapText="1"/>
    </xf>
    <xf numFmtId="49" fontId="19" fillId="0" borderId="0" xfId="0" applyFont="1" applyNumberFormat="1">
      <alignment horizontal="center" vertical="center" wrapText="1"/>
    </xf>
    <xf numFmtId="4" fontId="19" fillId="0" borderId="0" xfId="0" applyFont="1" applyNumberFormat="1">
      <alignment horizontal="right" vertical="center" wrapText="1"/>
    </xf>
    <xf numFmtId="9" fontId="39" fillId="0" borderId="0" xfId="0" applyFont="1" applyNumberFormat="1">
      <alignment horizontal="center" vertical="center" wrapText="1"/>
    </xf>
    <xf numFmtId="0" fontId="62"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37"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3" borderId="12" xfId="0" applyFont="1" applyFill="1" applyBorder="1" applyNumberFormat="1">
      <alignment horizontal="left" vertical="center" wrapText="1" indent="1"/>
    </xf>
    <xf numFmtId="0" fontId="19" fillId="0" borderId="13" xfId="0" applyFont="1" applyBorder="1" applyNumberFormat="1">
      <alignment horizontal="left" vertical="center" wrapText="1" indent="1"/>
    </xf>
    <xf numFmtId="49" fontId="37" fillId="0" borderId="22" xfId="0" applyFont="1" applyBorder="1" applyNumberFormat="1">
      <alignment vertical="top"/>
    </xf>
    <xf numFmtId="49" fontId="37" fillId="0" borderId="0" xfId="0" applyFont="1" applyNumberFormat="1">
      <alignment vertical="top"/>
    </xf>
    <xf numFmtId="49" fontId="36"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0" fontId="36" fillId="0" borderId="0" xfId="0" applyFont="1" applyNumberFormat="1">
      <alignment horizontal="center" vertical="top"/>
    </xf>
    <xf numFmtId="49" fontId="36" fillId="0" borderId="0" xfId="0" applyFont="1" applyNumberFormat="1">
      <alignment vertical="top"/>
    </xf>
    <xf numFmtId="0" fontId="36"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49" fontId="37" fillId="0" borderId="36" xfId="0" applyFont="1" applyBorder="1" applyNumberFormat="1">
      <alignment horizontal="center" vertical="center" wrapText="1"/>
    </xf>
    <xf numFmtId="0" fontId="36" fillId="0" borderId="0" xfId="0" applyFont="1" applyNumberFormat="1">
      <alignment horizontal="center" vertical="center" wrapText="1"/>
    </xf>
    <xf numFmtId="0" fontId="19" fillId="0" borderId="23" xfId="0" applyFont="1" applyBorder="1" applyNumberFormat="1">
      <alignment horizontal="left" vertical="center" wrapText="1"/>
    </xf>
    <xf numFmtId="2" fontId="19" fillId="0" borderId="23" xfId="0" applyFont="1" applyBorder="1" applyNumberFormat="1">
      <alignment horizontal="center" vertical="center" wrapText="1"/>
    </xf>
    <xf numFmtId="0" fontId="19" fillId="0" borderId="12" xfId="0" applyFont="1" applyBorder="1" applyNumberFormat="1">
      <alignment horizontal="left" vertical="center" wrapText="1"/>
    </xf>
    <xf numFmtId="49" fontId="37" fillId="0" borderId="22" xfId="0" applyFont="1" applyBorder="1" applyNumberFormat="1">
      <alignment vertical="top"/>
    </xf>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0" fontId="37" fillId="0" borderId="22" xfId="0" applyFont="1" applyBorder="1" applyNumberFormat="1">
      <alignment vertical="center" wrapTex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0" fontId="19" fillId="0" borderId="23" xfId="0" applyFont="1" applyBorder="1" applyNumberFormat="1">
      <alignment horizontal="left" vertical="center" wrapText="1"/>
    </xf>
    <xf numFmtId="0" fontId="19" fillId="0" borderId="12" xfId="0" applyFont="1" applyBorder="1" applyNumberFormat="1">
      <alignment horizontal="left" vertical="center" wrapText="1"/>
    </xf>
    <xf numFmtId="0" fontId="36" fillId="0" borderId="0" xfId="0" applyFont="1" applyNumberFormat="1">
      <alignment horizontal="center" vertical="top"/>
    </xf>
    <xf numFmtId="0" fontId="37" fillId="0" borderId="0" xfId="0" applyFont="1" applyNumberFormat="1">
      <alignment horizontal="center" vertical="center" wrapText="1"/>
    </xf>
    <xf numFmtId="49" fontId="37" fillId="0" borderId="23" xfId="0" applyFont="1" applyBorder="1" applyNumberFormat="1">
      <alignment horizontal="center" vertical="center" wrapText="1"/>
    </xf>
    <xf numFmtId="49" fontId="29" fillId="0" borderId="19" xfId="0" applyFont="1" applyBorder="1" applyNumberFormat="1">
      <alignment horizontal="right" vertical="center"/>
    </xf>
    <xf numFmtId="0" fontId="19" fillId="0" borderId="0" xfId="0" applyFont="1" applyNumberFormat="1">
      <alignment horizontal="right" vertical="center" wrapText="1"/>
    </xf>
    <xf numFmtId="0" fontId="0" fillId="0" borderId="0" xfId="0" applyFont="1" applyNumberFormat="1">
      <alignment vertical="center"/>
    </xf>
    <xf numFmtId="0" fontId="34" fillId="0" borderId="0" xfId="0" applyFont="1" applyNumberFormat="1">
      <alignment horizontal="right" vertical="top" wrapText="1"/>
    </xf>
    <xf numFmtId="0" fontId="34" fillId="0" borderId="0" xfId="0" applyFont="1" applyNumberFormat="1">
      <alignment horizontal="left" vertical="top"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37" fillId="0" borderId="14" xfId="0" applyFont="1" applyBorder="1" applyNumberFormat="1">
      <alignment vertical="center" wrapText="1"/>
    </xf>
    <xf numFmtId="0" fontId="37" fillId="0" borderId="15" xfId="0" applyFont="1" applyBorder="1" applyNumberFormat="1">
      <alignment horizontal="right" vertical="center" wrapText="1" indent="1"/>
    </xf>
    <xf numFmtId="0" fontId="37" fillId="0" borderId="13" xfId="0" applyFont="1" applyBorder="1" applyNumberFormat="1">
      <alignment horizontal="right" vertical="center" wrapText="1" indent="1"/>
    </xf>
    <xf numFmtId="0" fontId="37" fillId="0" borderId="14" xfId="0" applyFont="1" applyBorder="1" applyNumberFormat="1">
      <alignment horizontal="left" vertical="top"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49" fontId="19" fillId="0" borderId="28" xfId="0" applyFont="1" applyBorder="1" applyNumberFormat="1">
      <alignment horizontal="center" vertical="center" wrapText="1"/>
    </xf>
    <xf numFmtId="0" fontId="19" fillId="0" borderId="12" xfId="0" applyFont="1" applyBorder="1" applyNumberFormat="1">
      <alignment horizontal="left" vertical="center" wrapText="1"/>
    </xf>
    <xf numFmtId="49" fontId="19" fillId="0" borderId="60" xfId="0" applyFont="1" applyBorder="1" applyNumberFormat="1">
      <alignment horizontal="center" vertical="center" wrapText="1"/>
    </xf>
    <xf numFmtId="0" fontId="19" fillId="0" borderId="12" xfId="0" applyFont="1" applyBorder="1" applyNumberFormat="1">
      <alignment horizontal="left" vertical="center" wrapText="1" indent="1"/>
    </xf>
    <xf numFmtId="0" fontId="19" fillId="0" borderId="13" xfId="0" applyFont="1" applyBorder="1" applyNumberFormat="1">
      <alignment horizontal="center" vertical="center" wrapText="1"/>
    </xf>
    <xf numFmtId="49" fontId="19" fillId="0" borderId="61" xfId="0" applyFont="1" applyBorder="1" applyNumberFormat="1">
      <alignment horizontal="center" vertical="center" wrapText="1"/>
    </xf>
    <xf numFmtId="0" fontId="19" fillId="0" borderId="13" xfId="0" applyFont="1" applyBorder="1" applyNumberFormat="1">
      <alignment horizontal="center" vertical="center" wrapText="1"/>
    </xf>
    <xf numFmtId="4" fontId="19" fillId="38" borderId="17" xfId="0" applyFont="1" applyFill="1" applyBorder="1" applyNumberFormat="1">
      <alignment horizontal="right" vertical="center" wrapText="1"/>
      <protection locked="0"/>
    </xf>
    <xf numFmtId="0" fontId="19" fillId="0" borderId="17" xfId="0" applyFont="1" applyBorder="1" applyNumberFormat="1">
      <alignment horizontal="center" vertical="center" wrapText="1"/>
    </xf>
    <xf numFmtId="49" fontId="29" fillId="36" borderId="19" xfId="0" applyFont="1" applyFill="1" applyBorder="1" applyNumberFormat="1">
      <alignment horizontal="left" vertical="center" indent="2"/>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19" fillId="0" borderId="59" xfId="0" applyFont="1" applyBorder="1" applyNumberFormat="1">
      <alignment horizontal="center" vertical="center" wrapText="1"/>
    </xf>
    <xf numFmtId="0" fontId="19" fillId="0" borderId="17" xfId="0" applyFont="1" applyBorder="1" applyNumberFormat="1">
      <alignment horizontal="left" vertical="center" wrapText="1" indent="1"/>
    </xf>
    <xf numFmtId="0" fontId="19"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36" fillId="0" borderId="0" xfId="0" applyFont="1" applyNumberFormat="1">
      <alignment horizontal="center" vertical="center" wrapText="1"/>
    </xf>
    <xf numFmtId="49" fontId="36" fillId="0" borderId="0" xfId="0" applyFont="1" applyNumberFormat="1">
      <alignment horizontal="center" vertical="center" wrapText="1"/>
    </xf>
    <xf numFmtId="0" fontId="37" fillId="0" borderId="27" xfId="0" applyFont="1" applyBorder="1" applyNumberFormat="1">
      <alignment vertical="center" wrapText="1"/>
    </xf>
    <xf numFmtId="0" fontId="19" fillId="33" borderId="14" xfId="0" applyFont="1" applyFill="1" applyBorder="1" applyNumberFormat="1">
      <alignment horizontal="left" vertical="top" wrapText="1"/>
    </xf>
    <xf numFmtId="0" fontId="19" fillId="33" borderId="13" xfId="0" applyFont="1" applyFill="1" applyBorder="1" applyNumberFormat="1">
      <alignment horizontal="left" vertical="top" wrapText="1"/>
    </xf>
    <xf numFmtId="49" fontId="36" fillId="0" borderId="0" xfId="0" applyFont="1" applyNumberFormat="1">
      <alignment horizontal="center" vertical="center" wrapText="1"/>
    </xf>
    <xf numFmtId="49" fontId="36" fillId="0" borderId="0" xfId="0" applyFont="1" applyNumberFormat="1">
      <alignment horizontal="center" vertical="center" wrapText="1"/>
    </xf>
    <xf numFmtId="0" fontId="19" fillId="0" borderId="0" xfId="0" applyFont="1" applyNumberFormat="1">
      <alignment horizontal="left" vertical="top" wrapText="1"/>
    </xf>
    <xf numFmtId="0" fontId="19" fillId="0" borderId="0" xfId="0" applyFont="1" applyNumberFormat="1">
      <alignment vertical="top"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0" xfId="0" applyFont="1" applyNumberFormat="1">
      <alignment horizontal="left" vertical="top" wrapText="1"/>
    </xf>
    <xf numFmtId="49" fontId="37" fillId="0" borderId="0" xfId="0" applyFont="1" applyNumberFormat="1">
      <alignment horizontal="center" vertical="center" wrapText="1"/>
    </xf>
    <xf numFmtId="0" fontId="37" fillId="0" borderId="0" xfId="0" applyFont="1" applyNumberFormat="1">
      <alignment horizontal="center" vertical="center" wrapText="1"/>
    </xf>
    <xf numFmtId="49" fontId="19" fillId="55" borderId="0" xfId="0" applyFont="1" applyFill="1" applyNumberFormat="1">
      <alignment horizontal="center" vertical="center" textRotation="90" wrapText="1"/>
    </xf>
    <xf numFmtId="49" fontId="19" fillId="0" borderId="12" xfId="0" applyFont="1" applyBorder="1" applyNumberFormat="1">
      <alignment horizontal="center" vertical="center" wrapText="1"/>
    </xf>
    <xf numFmtId="0" fontId="19" fillId="0" borderId="12" xfId="0" applyFont="1" applyBorder="1" applyNumberFormat="1">
      <alignment horizontal="left" vertical="center" wrapText="1"/>
    </xf>
    <xf numFmtId="4"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62" fillId="0" borderId="22" xfId="0" applyFont="1" applyBorder="1" applyNumberFormat="1">
      <alignment vertical="center" wrapText="1"/>
    </xf>
    <xf numFmtId="49"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19" fillId="0" borderId="12" xfId="0" applyFont="1" applyBorder="1" applyNumberFormat="1">
      <alignment horizontal="center" vertical="center" wrapText="1"/>
    </xf>
    <xf numFmtId="49" fontId="19" fillId="35" borderId="12" xfId="0" applyFont="1" applyFill="1" applyBorder="1" applyNumberFormat="1">
      <alignment horizontal="left" vertical="center" wrapText="1"/>
      <protection locked="0"/>
    </xf>
    <xf numFmtId="3" fontId="19" fillId="35" borderId="14" xfId="0" applyFont="1" applyFill="1" applyBorder="1" applyNumberFormat="1">
      <alignment horizontal="right" vertical="center" wrapText="1"/>
      <protection locked="0"/>
    </xf>
    <xf numFmtId="4" fontId="19" fillId="35" borderId="14" xfId="0" applyFont="1" applyFill="1" applyBorder="1" applyNumberFormat="1">
      <alignment horizontal="right" vertical="center" wrapText="1"/>
      <protection locked="0"/>
    </xf>
    <xf numFmtId="49" fontId="19" fillId="38" borderId="12" xfId="0" applyFont="1" applyFill="1" applyBorder="1" applyNumberFormat="1">
      <alignment horizontal="left" vertical="center" wrapText="1"/>
      <protection locked="0"/>
    </xf>
    <xf numFmtId="49" fontId="19" fillId="38" borderId="12" xfId="0" applyFont="1" applyFill="1" applyBorder="1" applyNumberFormat="1">
      <alignment horizontal="left" vertical="center" wrapText="1"/>
      <protection locked="0"/>
    </xf>
    <xf numFmtId="0" fontId="25" fillId="0" borderId="0" xfId="0" applyFont="1" applyNumberFormat="1">
      <alignment horizontal="center" vertical="center" wrapText="1"/>
    </xf>
    <xf numFmtId="0" fontId="19" fillId="0" borderId="17" xfId="0" applyFont="1" applyBorder="1" applyNumberFormat="1">
      <alignment horizontal="center" vertical="center" wrapText="1"/>
    </xf>
    <xf numFmtId="0" fontId="19" fillId="0" borderId="14" xfId="0" applyFont="1" applyBorder="1" applyNumberFormat="1">
      <alignment horizontal="center" vertical="center" wrapText="1"/>
    </xf>
    <xf numFmtId="0" fontId="73" fillId="0" borderId="0" xfId="0" applyFont="1" applyNumberFormat="1">
      <alignment vertical="center" wrapText="1"/>
    </xf>
    <xf numFmtId="0" fontId="19" fillId="0" borderId="12" xfId="0" applyFont="1" applyBorder="1" applyNumberFormat="1">
      <alignment horizontal="left" vertical="center" wrapText="1" indent="2"/>
    </xf>
    <xf numFmtId="3" fontId="34" fillId="35" borderId="12" xfId="0" applyFont="1" applyFill="1" applyBorder="1" applyNumberFormat="1">
      <alignment horizontal="right" vertical="center"/>
      <protection locked="0"/>
    </xf>
    <xf numFmtId="49" fontId="19" fillId="35" borderId="14" xfId="0" applyFont="1" applyFill="1" applyBorder="1" applyNumberFormat="1">
      <alignment horizontal="left" vertical="center" wrapText="1"/>
      <protection locked="0"/>
    </xf>
    <xf numFmtId="0" fontId="19" fillId="0" borderId="0" xfId="0" applyFont="1" applyNumberFormat="1">
      <alignment vertical="top" wrapText="1"/>
    </xf>
    <xf numFmtId="0" fontId="19" fillId="0" borderId="0" xfId="0" applyFont="1" applyNumberFormat="1">
      <alignment vertical="top"/>
    </xf>
    <xf numFmtId="49" fontId="36" fillId="0" borderId="0" xfId="0" applyFont="1" applyNumberFormat="1">
      <alignment horizontal="center" vertical="center" wrapText="1"/>
    </xf>
    <xf numFmtId="0" fontId="19" fillId="0" borderId="0" xfId="0" applyFont="1" applyNumberFormat="1">
      <alignment vertical="top" wrapText="1"/>
    </xf>
    <xf numFmtId="0" fontId="19" fillId="0" borderId="0" xfId="0" applyFont="1" applyNumberFormat="1">
      <alignment vertical="top"/>
    </xf>
    <xf numFmtId="49" fontId="43" fillId="0" borderId="12" xfId="0" applyFont="1" applyBorder="1" applyNumberFormat="1">
      <alignment horizontal="left" vertical="center" wrapText="1"/>
    </xf>
    <xf numFmtId="49" fontId="19" fillId="0" borderId="32" xfId="0" applyFont="1" applyBorder="1" applyNumberFormat="1">
      <alignment horizontal="center" vertical="center" wrapText="1"/>
    </xf>
    <xf numFmtId="0" fontId="19" fillId="0" borderId="32" xfId="0" applyFont="1" applyBorder="1" applyNumberFormat="1">
      <alignment horizontal="left" vertical="center" wrapText="1"/>
    </xf>
    <xf numFmtId="4" fontId="19" fillId="0" borderId="40" xfId="0" applyFont="1" applyBorder="1" applyNumberFormat="1">
      <alignment horizontal="center" vertical="center" wrapText="1"/>
    </xf>
    <xf numFmtId="49" fontId="43" fillId="0" borderId="30" xfId="0" applyFont="1" applyBorder="1" applyNumberFormat="1">
      <alignment horizontal="left" vertical="center" wrapText="1"/>
    </xf>
    <xf numFmtId="49" fontId="19" fillId="0" borderId="31" xfId="0" applyFont="1" applyBorder="1" applyNumberFormat="1">
      <alignment horizontal="center" vertical="center" wrapText="1"/>
    </xf>
    <xf numFmtId="0" fontId="19" fillId="0" borderId="33" xfId="0" applyFont="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43" fillId="0" borderId="14" xfId="0" applyFont="1" applyBorder="1" applyNumberFormat="1">
      <alignment horizontal="left" vertical="center" wrapText="1"/>
    </xf>
    <xf numFmtId="4" fontId="19" fillId="0" borderId="17" xfId="0" applyFont="1" applyBorder="1" applyNumberFormat="1">
      <alignment horizontal="center" vertical="center" wrapText="1"/>
    </xf>
    <xf numFmtId="4" fontId="19" fillId="38" borderId="35" xfId="0" applyFont="1" applyFill="1" applyBorder="1" applyNumberFormat="1">
      <alignment horizontal="right" vertical="center" wrapText="1"/>
      <protection locked="0"/>
    </xf>
    <xf numFmtId="0" fontId="19" fillId="0" borderId="33" xfId="0" applyFont="1" applyBorder="1" applyNumberFormat="1">
      <alignment horizontal="left" vertical="center" wrapText="1"/>
    </xf>
    <xf numFmtId="49" fontId="43" fillId="0" borderId="15" xfId="0" applyFont="1" applyBorder="1" applyNumberFormat="1">
      <alignment horizontal="left" vertical="center" wrapText="1"/>
    </xf>
    <xf numFmtId="0" fontId="19" fillId="0" borderId="31" xfId="0" applyFont="1" applyBorder="1" applyNumberFormat="1">
      <alignment horizontal="left" vertical="center" wrapText="1" indent="1"/>
    </xf>
    <xf numFmtId="4" fontId="19" fillId="0" borderId="32" xfId="0" applyFont="1" applyBorder="1" applyNumberFormat="1">
      <alignment horizontal="center" vertical="center" wrapText="1"/>
    </xf>
    <xf numFmtId="0" fontId="19" fillId="0" borderId="31" xfId="0" applyFont="1" applyBorder="1" applyNumberFormat="1">
      <alignment horizontal="left" vertical="center" wrapText="1"/>
    </xf>
    <xf numFmtId="0" fontId="19" fillId="0" borderId="31" xfId="0" applyFont="1" applyBorder="1" applyNumberFormat="1">
      <alignment horizontal="left" vertical="center" wrapText="1" indent="2"/>
    </xf>
    <xf numFmtId="4" fontId="19" fillId="0" borderId="31" xfId="0" applyFont="1" applyBorder="1" applyNumberFormat="1">
      <alignment horizontal="center" vertical="center" wrapText="1"/>
    </xf>
    <xf numFmtId="49" fontId="19" fillId="0" borderId="34" xfId="0" applyFont="1" applyBorder="1" applyNumberFormat="1">
      <alignment horizontal="center" vertical="center" wrapText="1"/>
    </xf>
    <xf numFmtId="49" fontId="43" fillId="38" borderId="12" xfId="0" applyFont="1" applyFill="1" applyBorder="1" applyNumberFormat="1">
      <alignment horizontal="left" vertical="center" wrapText="1"/>
      <protection locked="0"/>
    </xf>
    <xf numFmtId="0" fontId="19" fillId="0" borderId="35" xfId="0" applyFont="1" applyBorder="1" applyNumberFormat="1">
      <alignment horizontal="left" vertical="center" wrapText="1"/>
    </xf>
    <xf numFmtId="4" fontId="19" fillId="0" borderId="35" xfId="0" applyFont="1" applyBorder="1" applyNumberFormat="1">
      <alignment horizontal="center" vertical="center" wrapText="1"/>
    </xf>
    <xf numFmtId="49" fontId="43" fillId="0" borderId="37" xfId="0" applyFont="1" applyBorder="1" applyNumberFormat="1">
      <alignment horizontal="left" vertical="center" wrapText="1"/>
    </xf>
    <xf numFmtId="49" fontId="19" fillId="0" borderId="33" xfId="0" applyFont="1" applyBorder="1" applyNumberFormat="1">
      <alignment horizontal="center" vertical="center" wrapText="1"/>
    </xf>
    <xf numFmtId="4" fontId="19" fillId="38" borderId="14" xfId="0" applyFont="1" applyFill="1" applyBorder="1" applyNumberFormat="1">
      <alignment horizontal="right" vertical="center" wrapText="1"/>
      <protection locked="0"/>
    </xf>
    <xf numFmtId="4" fontId="19" fillId="38" borderId="33" xfId="0" applyFont="1" applyFill="1" applyBorder="1" applyNumberFormat="1">
      <alignment horizontal="right" vertical="center" wrapText="1"/>
      <protection locked="0"/>
    </xf>
    <xf numFmtId="4" fontId="19" fillId="0" borderId="33" xfId="0" applyFont="1" applyBorder="1" applyNumberFormat="1">
      <alignment horizontal="center" vertical="center" wrapText="1"/>
    </xf>
    <xf numFmtId="4" fontId="19" fillId="38" borderId="34" xfId="0" applyFont="1" applyFill="1" applyBorder="1" applyNumberFormat="1">
      <alignment horizontal="right" vertical="center" wrapText="1"/>
      <protection locked="0"/>
    </xf>
    <xf numFmtId="49" fontId="43" fillId="38" borderId="14" xfId="0" applyFont="1" applyFill="1" applyBorder="1" applyNumberFormat="1">
      <alignment horizontal="left" vertical="center" wrapText="1"/>
      <protection locked="0"/>
    </xf>
    <xf numFmtId="0" fontId="36" fillId="0" borderId="0" xfId="0" applyFont="1" applyNumberFormat="1">
      <alignment horizontal="center" vertical="center" wrapText="1"/>
    </xf>
    <xf numFmtId="49" fontId="19" fillId="0" borderId="0" xfId="0" applyFont="1" applyNumberFormat="1">
      <alignment vertical="center" wrapText="1"/>
    </xf>
    <xf numFmtId="0" fontId="25" fillId="0" borderId="24" xfId="0" applyFont="1" applyBorder="1" applyNumberFormat="1">
      <alignment horizontal="center" vertical="center" wrapText="1"/>
    </xf>
    <xf numFmtId="0" fontId="0" fillId="0" borderId="14" xfId="0" applyFont="1" applyBorder="1" applyNumberFormat="1">
      <alignment horizontal="center" vertical="center"/>
    </xf>
    <xf numFmtId="0" fontId="19" fillId="0" borderId="13" xfId="0" applyFont="1" applyBorder="1" applyNumberFormat="1">
      <alignment horizontal="center" vertical="center" wrapText="1"/>
    </xf>
    <xf numFmtId="174" fontId="0" fillId="35"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0" fontId="19" fillId="0" borderId="0" xfId="0" applyFont="1" applyNumberFormat="1">
      <alignment horizontal="left" vertical="center" wrapText="1"/>
    </xf>
    <xf numFmtId="0" fontId="19" fillId="33" borderId="14" xfId="0" applyFont="1" applyFill="1" applyBorder="1" applyNumberFormat="1">
      <alignment horizontal="left" vertical="top" wrapText="1" indent="1"/>
    </xf>
    <xf numFmtId="0" fontId="19" fillId="33" borderId="13" xfId="0" applyFont="1" applyFill="1" applyBorder="1" applyNumberFormat="1">
      <alignment horizontal="left" vertical="top" wrapText="1" indent="1"/>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0" fontId="24"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19" fillId="0" borderId="13" xfId="0" applyFont="1" applyBorder="1" applyNumberFormat="1">
      <alignment horizontal="center" vertical="center" wrapText="1"/>
    </xf>
    <xf numFmtId="0" fontId="19" fillId="36" borderId="14" xfId="0" applyFont="1" applyFill="1" applyBorder="1" applyNumberFormat="1">
      <alignment vertical="center" wrapText="1"/>
    </xf>
    <xf numFmtId="0" fontId="19" fillId="0" borderId="13" xfId="0" applyFont="1" applyBorder="1" applyNumberFormat="1">
      <alignment horizontal="center" vertical="center" wrapText="1"/>
    </xf>
    <xf numFmtId="0" fontId="19" fillId="36" borderId="19" xfId="0" applyFont="1" applyFill="1" applyBorder="1" applyNumberFormat="1">
      <alignment vertical="center" wrapText="1"/>
    </xf>
    <xf numFmtId="0" fontId="19" fillId="0" borderId="15" xfId="0" applyFont="1" applyBorder="1" applyNumberFormat="1">
      <alignment horizontal="center" vertical="center" wrapText="1"/>
    </xf>
    <xf numFmtId="49" fontId="19" fillId="39" borderId="12" xfId="0" applyFont="1" applyFill="1" applyBorder="1" applyNumberFormat="1">
      <alignment horizontal="center" vertical="center" wrapText="1"/>
    </xf>
    <xf numFmtId="49"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0" borderId="13" xfId="0" applyFont="1" applyBorder="1" applyNumberFormat="1">
      <alignment vertical="center" wrapText="1"/>
    </xf>
    <xf numFmtId="0" fontId="19" fillId="36" borderId="27" xfId="0" applyFont="1" applyFill="1" applyBorder="1" applyNumberFormat="1">
      <alignment vertical="center" wrapText="1"/>
    </xf>
    <xf numFmtId="0" fontId="24" fillId="0" borderId="0" xfId="0" applyFont="1" applyNumberFormat="1">
      <alignment horizontal="center" vertical="center" wrapText="1"/>
    </xf>
    <xf numFmtId="49" fontId="36" fillId="0" borderId="0" xfId="0" applyFont="1" applyNumberFormat="1">
      <alignment horizontal="center" vertical="center" wrapText="1"/>
    </xf>
    <xf numFmtId="0" fontId="19" fillId="0" borderId="0" xfId="0" applyFont="1" applyNumberFormat="1">
      <alignment vertical="center" wrapText="1"/>
    </xf>
    <xf numFmtId="49" fontId="36" fillId="0" borderId="0" xfId="0" applyFont="1" applyNumberFormat="1">
      <alignment horizontal="center" vertical="center" wrapText="1"/>
    </xf>
    <xf numFmtId="0" fontId="19" fillId="0" borderId="0" xfId="0" applyFont="1" applyNumberFormat="1">
      <alignment vertical="center" wrapText="1"/>
    </xf>
    <xf numFmtId="49" fontId="36" fillId="0" borderId="0" xfId="0" applyFont="1" applyNumberFormat="1">
      <alignment horizontal="center" vertical="center" wrapText="1"/>
    </xf>
    <xf numFmtId="49" fontId="88" fillId="0" borderId="0" xfId="0" applyFont="1" applyNumberFormat="1">
      <alignment horizontal="center"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49" fontId="37"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37" fillId="0" borderId="0" xfId="0" applyFont="1" applyNumberFormat="1">
      <alignment horizontal="center" vertical="center" wrapText="1"/>
    </xf>
    <xf numFmtId="49" fontId="19" fillId="0" borderId="14" xfId="0" applyFont="1" applyBorder="1" applyNumberFormat="1">
      <alignment horizontal="center" vertical="center" wrapText="1"/>
    </xf>
    <xf numFmtId="49" fontId="29" fillId="36" borderId="14" xfId="0" applyFont="1" applyFill="1" applyBorder="1" applyNumberFormat="1">
      <alignment horizontal="left" vertical="center" indent="1"/>
    </xf>
    <xf numFmtId="0" fontId="19" fillId="36" borderId="29" xfId="0" applyFont="1" applyFill="1" applyBorder="1" applyNumberFormat="1">
      <alignment vertical="center" wrapText="1"/>
    </xf>
    <xf numFmtId="0" fontId="36" fillId="0" borderId="0" xfId="0" applyFont="1" applyNumberFormat="1">
      <alignment vertical="center" wrapText="1"/>
    </xf>
    <xf numFmtId="0" fontId="36" fillId="0" borderId="0" xfId="0" applyFont="1" applyNumberFormat="1">
      <alignment vertical="center" wrapText="1"/>
    </xf>
    <xf numFmtId="0" fontId="36"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horizontal="left" vertical="center" wrapText="1" indent="3"/>
    </xf>
    <xf numFmtId="0" fontId="19" fillId="34" borderId="0" xfId="0" applyFont="1" applyFill="1" applyNumberFormat="1">
      <alignment vertical="center" wrapText="1"/>
    </xf>
    <xf numFmtId="0" fontId="19" fillId="34" borderId="39" xfId="0" applyFont="1" applyFill="1" applyBorder="1" applyNumberFormat="1">
      <alignment vertical="center" wrapText="1"/>
    </xf>
    <xf numFmtId="0" fontId="19" fillId="34" borderId="39" xfId="0" applyFont="1" applyFill="1" applyBorder="1" applyNumberFormat="1">
      <alignment vertical="center" wrapText="1"/>
    </xf>
    <xf numFmtId="49" fontId="60" fillId="0" borderId="39" xfId="0" applyFont="1" applyBorder="1" applyNumberFormat="1">
      <alignment vertical="top"/>
    </xf>
    <xf numFmtId="49" fontId="60" fillId="0" borderId="39" xfId="0" applyFont="1" applyBorder="1" applyNumberFormat="1">
      <alignment vertical="top"/>
    </xf>
    <xf numFmtId="0" fontId="39" fillId="34" borderId="39" xfId="0" applyFont="1" applyFill="1" applyBorder="1" applyNumberFormat="1">
      <alignment horizontal="center" wrapText="1"/>
    </xf>
    <xf numFmtId="0" fontId="39" fillId="34" borderId="39" xfId="0" applyFont="1" applyFill="1" applyBorder="1" applyNumberFormat="1">
      <alignment horizontal="center" wrapText="1"/>
    </xf>
    <xf numFmtId="0" fontId="19" fillId="34" borderId="39" xfId="0" applyFont="1" applyFill="1" applyBorder="1" applyNumberFormat="1">
      <alignment vertical="center" wrapText="1"/>
    </xf>
    <xf numFmtId="0" fontId="19" fillId="34" borderId="39" xfId="0" applyFont="1" applyFill="1" applyBorder="1" applyNumberFormat="1">
      <alignment vertical="center" wrapText="1"/>
    </xf>
    <xf numFmtId="49" fontId="19" fillId="0" borderId="0" xfId="0" applyFont="1" applyNumberFormat="1">
      <alignment vertical="top"/>
    </xf>
    <xf numFmtId="0" fontId="19" fillId="0" borderId="62" xfId="0" applyFont="1" applyBorder="1" applyNumberFormat="1">
      <alignment horizontal="center" vertical="center"/>
    </xf>
    <xf numFmtId="0" fontId="19" fillId="0" borderId="63" xfId="0" applyFont="1" applyBorder="1" applyNumberFormat="1">
      <alignment horizontal="center" vertical="center"/>
    </xf>
    <xf numFmtId="0" fontId="19" fillId="0" borderId="65" xfId="0" applyFont="1" applyBorder="1" applyNumberFormat="1">
      <alignment horizontal="center" vertical="center"/>
    </xf>
    <xf numFmtId="0" fontId="19" fillId="0" borderId="38" xfId="0" applyFont="1" applyBorder="1" applyNumberFormat="1">
      <alignment vertical="center" wrapText="1"/>
    </xf>
    <xf numFmtId="0" fontId="19" fillId="34" borderId="12"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0" xfId="0" applyFont="1" applyFill="1" applyBorder="1" applyNumberFormat="1">
      <alignment horizontal="center" vertical="center" wrapText="1"/>
    </xf>
    <xf numFmtId="0" fontId="19" fillId="0" borderId="0" xfId="0" applyFont="1" applyNumberFormat="1">
      <alignment vertical="center" wrapText="1"/>
    </xf>
    <xf numFmtId="0" fontId="19" fillId="34" borderId="0" xfId="0" applyFont="1" applyFill="1" applyNumberFormat="1">
      <alignment vertical="center" wrapText="1"/>
    </xf>
    <xf numFmtId="0" fontId="19" fillId="34" borderId="2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49" fontId="19" fillId="0" borderId="0" xfId="0" applyFont="1" applyNumberFormat="1">
      <alignment vertical="top"/>
    </xf>
    <xf numFmtId="0" fontId="19" fillId="0" borderId="0" xfId="0" applyFont="1" applyNumberFormat="1">
      <alignment vertical="center" wrapText="1"/>
    </xf>
    <xf numFmtId="49" fontId="88" fillId="0" borderId="0" xfId="0" applyFont="1" applyNumberFormat="1">
      <alignment horizontal="center" vertical="center" wrapText="1"/>
    </xf>
    <xf numFmtId="0" fontId="19" fillId="34" borderId="0" xfId="0" applyFont="1" applyFill="1" applyNumberFormat="1">
      <alignment vertical="center" wrapText="1"/>
    </xf>
    <xf numFmtId="0" fontId="0" fillId="0" borderId="12" xfId="0" applyFont="1" applyBorder="1" applyNumberFormat="1">
      <alignment horizontal="center" vertical="center" wrapText="1"/>
    </xf>
    <xf numFmtId="49" fontId="19" fillId="0" borderId="0" xfId="0" applyFont="1" applyNumberFormat="1">
      <alignment vertical="top"/>
    </xf>
    <xf numFmtId="0" fontId="19" fillId="34" borderId="3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xf>
    <xf numFmtId="0" fontId="19" fillId="0" borderId="0" xfId="0" applyFont="1" applyNumberFormat="1">
      <alignment vertical="center"/>
    </xf>
    <xf numFmtId="49" fontId="19" fillId="0" borderId="0" xfId="0" applyFont="1" applyNumberFormat="1">
      <alignment vertical="top"/>
    </xf>
    <xf numFmtId="49" fontId="19" fillId="0" borderId="0" xfId="0" applyFont="1" applyNumberFormat="1">
      <alignment vertical="top"/>
    </xf>
    <xf numFmtId="49" fontId="19" fillId="0" borderId="0" xfId="0" applyFont="1" applyNumberFormat="1">
      <alignment vertical="top"/>
    </xf>
    <xf numFmtId="0" fontId="19" fillId="0" borderId="0" xfId="0" applyFont="1" applyNumberFormat="1">
      <alignment horizontal="lef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34" borderId="0" xfId="0" applyFont="1" applyFill="1" applyNumberFormat="1">
      <alignment vertical="center" wrapText="1"/>
    </xf>
    <xf numFmtId="0" fontId="19" fillId="34" borderId="19" xfId="0" applyFont="1" applyFill="1" applyBorder="1" applyNumberFormat="1">
      <alignment vertical="center" wrapText="1"/>
    </xf>
    <xf numFmtId="49" fontId="19" fillId="0" borderId="0" xfId="0" applyFont="1" applyNumberFormat="1">
      <alignment vertical="top"/>
    </xf>
    <xf numFmtId="49" fontId="37" fillId="0" borderId="0" xfId="0" applyFont="1" applyNumberFormat="1">
      <alignment vertical="top"/>
    </xf>
    <xf numFmtId="0" fontId="37" fillId="0" borderId="39" xfId="0" applyFont="1" applyBorder="1" applyNumberFormat="1">
      <alignment vertical="center" wrapText="1"/>
    </xf>
    <xf numFmtId="0" fontId="19" fillId="0" borderId="75" xfId="0" applyFont="1" applyBorder="1" applyNumberFormat="1">
      <alignment horizontal="center" vertical="center"/>
    </xf>
    <xf numFmtId="0" fontId="19" fillId="0" borderId="43" xfId="0" applyFont="1" applyBorder="1" applyNumberFormat="1">
      <alignment horizontal="center" vertical="center"/>
    </xf>
    <xf numFmtId="0" fontId="19"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19" fillId="0" borderId="22" xfId="0" applyFont="1" applyBorder="1" applyNumberFormat="1">
      <alignment vertical="top"/>
    </xf>
    <xf numFmtId="49" fontId="0" fillId="0" borderId="36"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3" borderId="12" xfId="0" applyFont="1" applyFill="1" applyBorder="1" applyNumberFormat="1">
      <alignment horizontal="center" vertical="center"/>
    </xf>
    <xf numFmtId="0" fontId="19"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5"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34" fillId="0" borderId="0" xfId="0" applyFont="1" applyNumberFormat="1">
      <alignment vertical="center"/>
    </xf>
    <xf numFmtId="49" fontId="89"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xf>
    <xf numFmtId="49" fontId="89" fillId="0" borderId="0" xfId="0" applyFont="1" applyNumberFormat="1">
      <alignment vertical="center" wrapText="1"/>
    </xf>
    <xf numFmtId="49" fontId="34" fillId="0" borderId="0" xfId="0" applyFont="1" applyNumberFormat="1">
      <alignment vertical="center" wrapText="1"/>
    </xf>
    <xf numFmtId="49" fontId="34" fillId="0" borderId="0" xfId="0" applyFont="1" applyNumberFormat="1">
      <alignment vertical="top"/>
    </xf>
    <xf numFmtId="49" fontId="34" fillId="0" borderId="0" xfId="0" applyFont="1" applyNumberFormat="1">
      <alignment vertical="center" wrapText="1"/>
    </xf>
    <xf numFmtId="49" fontId="19" fillId="0" borderId="0" xfId="0" applyFont="1" applyNumberFormat="1">
      <alignment horizontal="center" vertical="top" wrapText="1"/>
    </xf>
    <xf numFmtId="49" fontId="20" fillId="0" borderId="0" xfId="0" applyFont="1" applyNumberFormat="1">
      <alignment horizontal="center" vertical="top" wrapText="1"/>
    </xf>
    <xf numFmtId="49" fontId="19" fillId="34" borderId="0" xfId="0" applyFont="1" applyFill="1" applyNumberFormat="1">
      <alignment horizontal="center" vertical="top" wrapText="1"/>
    </xf>
    <xf numFmtId="0" fontId="19" fillId="0" borderId="20" xfId="0" applyFont="1" applyBorder="1" applyNumberFormat="1">
      <alignment horizontal="left" vertical="top" wrapText="1"/>
    </xf>
    <xf numFmtId="49" fontId="19" fillId="0" borderId="0" xfId="0" applyFont="1" applyNumberFormat="1">
      <alignment horizontal="center" vertical="center" wrapText="1"/>
    </xf>
    <xf numFmtId="49" fontId="20" fillId="0" borderId="0" xfId="0" applyFont="1" applyNumberFormat="1">
      <alignment horizontal="center" vertical="center" wrapText="1"/>
    </xf>
    <xf numFmtId="49" fontId="19" fillId="34" borderId="0" xfId="0" applyFont="1" applyFill="1" applyNumberFormat="1">
      <alignment horizontal="center" vertical="center" wrapText="1"/>
    </xf>
    <xf numFmtId="49" fontId="34" fillId="0" borderId="0" xfId="0" applyFont="1" applyNumberFormat="1">
      <alignment horizontal="center" vertical="center" wrapText="1"/>
    </xf>
    <xf numFmtId="49" fontId="89" fillId="0" borderId="0" xfId="0" applyFont="1" applyNumberFormat="1">
      <alignment horizontal="center" vertical="center" wrapText="1"/>
    </xf>
    <xf numFmtId="49" fontId="34" fillId="0" borderId="0" xfId="0" applyFont="1" applyNumberFormat="1">
      <alignment horizontal="center" vertical="center" wrapText="1"/>
    </xf>
    <xf numFmtId="0" fontId="34" fillId="0" borderId="0" xfId="0" applyFont="1" applyNumberFormat="1">
      <alignment horizontal="center" vertical="center" wrapText="1"/>
    </xf>
    <xf numFmtId="49" fontId="89" fillId="0" borderId="0" xfId="0" applyFont="1" applyNumberFormat="1">
      <alignment horizontal="center" vertical="center" wrapText="1"/>
    </xf>
    <xf numFmtId="49" fontId="19" fillId="0" borderId="0" xfId="0" applyFont="1" applyNumberFormat="1">
      <alignment horizontal="center" vertical="center" wrapText="1"/>
    </xf>
    <xf numFmtId="0" fontId="19" fillId="0" borderId="0" xfId="0" applyFont="1" applyNumberFormat="1">
      <alignment horizontal="center" vertical="center" wrapText="1"/>
    </xf>
    <xf numFmtId="0" fontId="19" fillId="48" borderId="14" xfId="0" applyFont="1" applyFill="1" applyBorder="1" applyNumberFormat="1">
      <alignment horizontal="center" vertical="center" wrapText="1"/>
    </xf>
    <xf numFmtId="0" fontId="19" fillId="48" borderId="15" xfId="0" applyFont="1" applyFill="1" applyBorder="1" applyNumberFormat="1">
      <alignment horizontal="center" vertical="center" wrapText="1"/>
    </xf>
    <xf numFmtId="0" fontId="19" fillId="48" borderId="13" xfId="0" applyFont="1" applyFill="1" applyBorder="1" applyNumberFormat="1">
      <alignment horizontal="center" vertical="center" wrapText="1"/>
    </xf>
    <xf numFmtId="49" fontId="36" fillId="46" borderId="14" xfId="0" applyFont="1" applyFill="1" applyBorder="1" applyNumberFormat="1">
      <alignment horizontal="center" vertical="center" wrapText="1"/>
    </xf>
    <xf numFmtId="49" fontId="36" fillId="46" borderId="15" xfId="0" applyFont="1" applyFill="1" applyBorder="1" applyNumberFormat="1">
      <alignment horizontal="center" vertical="center" wrapText="1"/>
    </xf>
    <xf numFmtId="49" fontId="36" fillId="46" borderId="13" xfId="0" applyFont="1" applyFill="1" applyBorder="1" applyNumberFormat="1">
      <alignment horizontal="center" vertical="center" wrapText="1"/>
    </xf>
    <xf numFmtId="49" fontId="36" fillId="49" borderId="14" xfId="0" applyFont="1" applyFill="1" applyBorder="1" applyNumberFormat="1">
      <alignment horizontal="center" vertical="center" wrapText="1"/>
    </xf>
    <xf numFmtId="49" fontId="36" fillId="49" borderId="15" xfId="0" applyFont="1" applyFill="1" applyBorder="1" applyNumberFormat="1">
      <alignment horizontal="center" vertical="center" wrapText="1"/>
    </xf>
    <xf numFmtId="49" fontId="36" fillId="49" borderId="13" xfId="0" applyFont="1" applyFill="1" applyBorder="1" applyNumberFormat="1">
      <alignment horizontal="center" vertical="center" wrapText="1"/>
    </xf>
    <xf numFmtId="49" fontId="19" fillId="50" borderId="14" xfId="0" applyFont="1" applyFill="1" applyBorder="1" applyNumberFormat="1">
      <alignment horizontal="center" vertical="center" wrapText="1"/>
    </xf>
    <xf numFmtId="49" fontId="19" fillId="50" borderId="15" xfId="0" applyFont="1" applyFill="1" applyBorder="1" applyNumberFormat="1">
      <alignment horizontal="center" vertical="center" wrapText="1"/>
    </xf>
    <xf numFmtId="49" fontId="19" fillId="40" borderId="19" xfId="0" applyFont="1" applyFill="1" applyBorder="1" applyNumberFormat="1">
      <alignment horizontal="center" vertical="center" wrapText="1"/>
    </xf>
    <xf numFmtId="49" fontId="19" fillId="40" borderId="0" xfId="0" applyFont="1" applyFill="1" applyNumberFormat="1">
      <alignment horizontal="center" vertical="center" wrapText="1"/>
    </xf>
    <xf numFmtId="49" fontId="19" fillId="0" borderId="14" xfId="0" applyFont="1" applyBorder="1" applyNumberFormat="1">
      <alignment horizontal="center" vertical="center" wrapText="1"/>
    </xf>
    <xf numFmtId="49" fontId="19" fillId="0" borderId="15" xfId="0" applyFont="1" applyBorder="1" applyNumberFormat="1">
      <alignment horizontal="center" vertical="center" wrapText="1"/>
    </xf>
    <xf numFmtId="49" fontId="19" fillId="0" borderId="13" xfId="0" applyFont="1" applyBorder="1" applyNumberFormat="1">
      <alignment horizontal="center" vertical="center" wrapText="1"/>
    </xf>
    <xf numFmtId="49" fontId="34" fillId="34" borderId="0" xfId="0" applyFont="1" applyFill="1" applyNumberFormat="1">
      <alignment vertical="center" wrapText="1"/>
    </xf>
    <xf numFmtId="49" fontId="19" fillId="34" borderId="12" xfId="0" applyFont="1" applyFill="1" applyBorder="1" applyNumberFormat="1">
      <alignment horizontal="center" vertical="center" wrapText="1"/>
    </xf>
    <xf numFmtId="49" fontId="19" fillId="40" borderId="12" xfId="0" applyFont="1" applyFill="1" applyBorder="1" applyNumberFormat="1">
      <alignment horizontal="center" vertical="center" wrapText="1"/>
    </xf>
    <xf numFmtId="0" fontId="19" fillId="40" borderId="12" xfId="0" applyFont="1" applyFill="1" applyBorder="1" applyNumberFormat="1">
      <alignment horizontal="center" vertical="center" wrapText="1"/>
    </xf>
    <xf numFmtId="0" fontId="19" fillId="40" borderId="14" xfId="0" applyFont="1" applyFill="1" applyBorder="1" applyNumberFormat="1">
      <alignment horizontal="center" vertical="center" wrapText="1"/>
    </xf>
    <xf numFmtId="0" fontId="19" fillId="34" borderId="14" xfId="0" applyFont="1" applyFill="1" applyBorder="1" applyNumberFormat="1">
      <alignment horizontal="center" vertical="center" wrapText="1"/>
    </xf>
    <xf numFmtId="0" fontId="19" fillId="34" borderId="15" xfId="0" applyFont="1" applyFill="1" applyBorder="1" applyNumberFormat="1">
      <alignment horizontal="center" vertical="center" wrapText="1"/>
    </xf>
    <xf numFmtId="0" fontId="19" fillId="34" borderId="13" xfId="0" applyFont="1" applyFill="1" applyBorder="1" applyNumberFormat="1">
      <alignment horizontal="center" vertical="center" wrapText="1"/>
    </xf>
    <xf numFmtId="0" fontId="19" fillId="40" borderId="13" xfId="0" applyFont="1" applyFill="1" applyBorder="1" applyNumberFormat="1">
      <alignment horizontal="center" vertical="center" wrapText="1"/>
    </xf>
    <xf numFmtId="49" fontId="19" fillId="0" borderId="0" xfId="0" applyFont="1" applyNumberFormat="1">
      <alignment vertical="center" wrapText="1"/>
    </xf>
    <xf numFmtId="49" fontId="34" fillId="0" borderId="0" xfId="0" applyFont="1" applyNumberFormat="1">
      <alignment vertical="top"/>
    </xf>
    <xf numFmtId="0" fontId="19" fillId="34" borderId="2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49" fontId="19" fillId="40" borderId="27" xfId="0" applyFont="1" applyFill="1" applyBorder="1" applyNumberFormat="1">
      <alignment horizontal="center" vertical="center" wrapText="1"/>
    </xf>
    <xf numFmtId="49" fontId="34" fillId="34" borderId="0" xfId="0" applyFont="1" applyFill="1" applyNumberFormat="1">
      <alignment vertical="center"/>
    </xf>
    <xf numFmtId="49" fontId="24" fillId="0" borderId="12" xfId="0" applyFont="1" applyBorder="1" applyNumberFormat="1">
      <alignment horizontal="center" vertical="center"/>
    </xf>
    <xf numFmtId="49" fontId="24" fillId="40" borderId="12" xfId="0" applyFont="1" applyFill="1" applyBorder="1" applyNumberFormat="1">
      <alignment horizontal="center" vertical="center"/>
    </xf>
    <xf numFmtId="0" fontId="24" fillId="0" borderId="12" xfId="0" applyFont="1" applyBorder="1" applyNumberFormat="1">
      <alignment horizontal="center" vertical="center"/>
    </xf>
    <xf numFmtId="49" fontId="24" fillId="0" borderId="23" xfId="0" applyFont="1" applyBorder="1" applyNumberFormat="1">
      <alignment horizontal="center" vertical="center"/>
    </xf>
    <xf numFmtId="49" fontId="19" fillId="0" borderId="0" xfId="0" applyFont="1" applyNumberFormat="1">
      <alignment vertical="center"/>
    </xf>
    <xf numFmtId="49" fontId="89" fillId="0" borderId="0" xfId="0" applyFont="1" applyNumberFormat="1">
      <alignment vertical="center"/>
    </xf>
    <xf numFmtId="49" fontId="36" fillId="0" borderId="17" xfId="0" applyFont="1" applyBorder="1" applyNumberFormat="1">
      <alignment horizontal="center" vertical="center"/>
    </xf>
    <xf numFmtId="49" fontId="19" fillId="0" borderId="17" xfId="0" applyFont="1" applyBorder="1" applyNumberFormat="1">
      <alignment horizontal="center" vertical="center"/>
    </xf>
    <xf numFmtId="0" fontId="19" fillId="0" borderId="17" xfId="0" applyFont="1" applyBorder="1" applyNumberFormat="1">
      <alignment horizontal="right" vertical="center"/>
    </xf>
    <xf numFmtId="0" fontId="19" fillId="0" borderId="17" xfId="0" applyFont="1" applyBorder="1" applyNumberFormat="1">
      <alignment horizontal="center" vertical="center"/>
    </xf>
    <xf numFmtId="0" fontId="19" fillId="0" borderId="12" xfId="0" applyFont="1" applyBorder="1" applyNumberFormat="1">
      <alignment horizontal="right" vertical="center"/>
    </xf>
    <xf numFmtId="49" fontId="19" fillId="0" borderId="0" xfId="0" applyFont="1" applyNumberFormat="1">
      <alignment vertical="center"/>
    </xf>
    <xf numFmtId="49" fontId="34" fillId="0" borderId="0" xfId="0" applyFont="1" applyNumberFormat="1">
      <alignment vertical="top"/>
    </xf>
    <xf numFmtId="4" fontId="34" fillId="34" borderId="0" xfId="0" applyFont="1" applyFill="1" applyNumberFormat="1">
      <alignment vertical="center"/>
    </xf>
    <xf numFmtId="49" fontId="34" fillId="0" borderId="0" xfId="0" applyFont="1" applyNumberFormat="1">
      <alignment vertical="center" wrapText="1"/>
    </xf>
    <xf numFmtId="49" fontId="34" fillId="0" borderId="0" xfId="0" applyFont="1" applyNumberFormat="1">
      <alignment vertical="top"/>
    </xf>
    <xf numFmtId="0" fontId="34" fillId="0" borderId="0" xfId="0" applyFont="1" applyNumberFormat="1">
      <alignment vertical="center" wrapText="1"/>
    </xf>
    <xf numFmtId="49" fontId="84" fillId="0" borderId="0" xfId="0" applyFont="1" applyNumberFormat="1">
      <alignment vertical="center" wrapText="1"/>
    </xf>
    <xf numFmtId="49" fontId="34" fillId="0" borderId="0" xfId="0" applyFont="1" applyNumberFormat="1">
      <alignment vertical="center" wrapText="1"/>
    </xf>
    <xf numFmtId="49" fontId="89" fillId="0" borderId="0" xfId="0" applyFont="1" applyNumberFormat="1">
      <alignment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indent="1"/>
    </xf>
    <xf numFmtId="0" fontId="19" fillId="0" borderId="14" xfId="0" applyFont="1" applyBorder="1" applyNumberFormat="1">
      <alignment horizontal="center" vertical="center" wrapText="1"/>
    </xf>
    <xf numFmtId="0" fontId="19" fillId="0" borderId="12" xfId="0" applyFont="1" applyBorder="1" applyNumberFormat="1">
      <alignment horizontal="left" vertical="center" wrapText="1"/>
    </xf>
    <xf numFmtId="3" fontId="19" fillId="38" borderId="14" xfId="0" applyFont="1" applyFill="1" applyBorder="1" applyNumberFormat="1">
      <alignment vertical="center" wrapText="1"/>
      <protection locked="0"/>
    </xf>
    <xf numFmtId="0" fontId="19" fillId="0" borderId="12" xfId="0" applyFont="1" applyBorder="1" applyNumberFormat="1">
      <alignment vertical="top" wrapText="1"/>
    </xf>
    <xf numFmtId="0" fontId="19" fillId="0" borderId="12" xfId="0" applyFont="1" applyBorder="1" applyNumberFormat="1">
      <alignment horizontal="left" vertical="top" wrapText="1"/>
    </xf>
    <xf numFmtId="4" fontId="19" fillId="33" borderId="14" xfId="0" applyFont="1" applyFill="1" applyBorder="1" applyNumberFormat="1">
      <alignment horizontal="right" vertical="center" wrapText="1"/>
    </xf>
    <xf numFmtId="0" fontId="36" fillId="0" borderId="12" xfId="0" applyFont="1" applyBorder="1" applyNumberFormat="1">
      <alignment vertical="top" wrapText="1"/>
    </xf>
    <xf numFmtId="49" fontId="19" fillId="38" borderId="12" xfId="0" applyFont="1" applyFill="1" applyBorder="1" applyNumberFormat="1">
      <alignment horizontal="left" vertical="center" wrapText="1" indent="1"/>
      <protection locked="0"/>
    </xf>
    <xf numFmtId="0" fontId="19" fillId="0" borderId="0" xfId="0" applyFont="1" applyNumberFormat="1">
      <alignment horizontal="left" vertical="center" wrapText="1" indent="2"/>
    </xf>
    <xf numFmtId="0" fontId="28" fillId="34" borderId="0" xfId="0" applyFont="1" applyFill="1" applyNumberFormat="1">
      <alignment vertical="center" wrapText="1"/>
    </xf>
    <xf numFmtId="0" fontId="19" fillId="34" borderId="0" xfId="0" applyFont="1" applyFill="1" applyNumberFormat="1">
      <alignment vertical="center" wrapText="1"/>
    </xf>
    <xf numFmtId="0" fontId="19" fillId="34" borderId="0" xfId="0" applyFont="1" applyFill="1" applyNumberFormat="1">
      <alignment horizontal="right" vertical="center" wrapText="1"/>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49" fontId="19" fillId="0" borderId="0" xfId="0" applyFont="1" applyNumberFormat="1">
      <alignment vertical="center" wrapTex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19" fillId="34" borderId="0" xfId="0" applyFont="1" applyFill="1" applyNumberFormat="1">
      <alignment horizontal="center" vertical="center" wrapText="1"/>
    </xf>
    <xf numFmtId="0" fontId="19" fillId="34" borderId="0" xfId="0" applyFont="1" applyFill="1" applyNumberFormat="1">
      <alignment horizontal="right" vertical="center"/>
    </xf>
    <xf numFmtId="49" fontId="19" fillId="0" borderId="0" xfId="0" applyFont="1" applyNumberFormat="1">
      <alignment vertical="center" wrapText="1"/>
    </xf>
    <xf numFmtId="0" fontId="19" fillId="34" borderId="0" xfId="0" applyFont="1" applyFill="1" applyNumberFormat="1">
      <alignment horizontal="center" vertical="center" wrapText="1"/>
    </xf>
    <xf numFmtId="0" fontId="19" fillId="34" borderId="12" xfId="0" applyFont="1" applyFill="1" applyBorder="1" applyNumberFormat="1">
      <alignment horizontal="center" vertical="center"/>
    </xf>
    <xf numFmtId="0" fontId="19"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24" fillId="34" borderId="0" xfId="0" applyFont="1" applyFill="1" applyNumberFormat="1">
      <alignment horizontal="center" vertical="center" wrapText="1"/>
    </xf>
    <xf numFmtId="49" fontId="19" fillId="0" borderId="0" xfId="0" applyFont="1" applyNumberFormat="1">
      <alignment vertical="top"/>
    </xf>
    <xf numFmtId="49" fontId="0" fillId="34"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19"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43" fillId="38" borderId="12" xfId="0" applyFont="1" applyFill="1" applyBorder="1" applyNumberFormat="1">
      <alignment horizontal="left" vertical="center" wrapText="1"/>
      <protection locked="0"/>
    </xf>
    <xf numFmtId="0" fontId="19" fillId="36" borderId="14" xfId="0" applyFont="1" applyFill="1" applyBorder="1" applyNumberFormat="1">
      <alignment vertical="center" wrapText="1"/>
    </xf>
    <xf numFmtId="49" fontId="29" fillId="36" borderId="15" xfId="0" applyFont="1" applyFill="1" applyBorder="1" applyNumberFormat="1">
      <alignment horizontal="left" vertical="center" indent="2"/>
    </xf>
    <xf numFmtId="49" fontId="33" fillId="36" borderId="13" xfId="0" applyFont="1" applyFill="1" applyBorder="1" applyNumberFormat="1">
      <alignment horizontal="center" vertical="top"/>
    </xf>
    <xf numFmtId="0" fontId="19" fillId="0" borderId="17" xfId="0" applyFont="1" applyBorder="1" applyNumberFormat="1">
      <alignment vertical="center" wrapText="1"/>
    </xf>
    <xf numFmtId="0" fontId="19"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0" fontId="28" fillId="34" borderId="0" xfId="0" applyFont="1" applyFill="1" applyNumberFormat="1">
      <alignment vertical="center" wrapText="1"/>
    </xf>
    <xf numFmtId="49" fontId="33" fillId="36" borderId="15" xfId="0" applyFont="1" applyFill="1" applyBorder="1" applyNumberFormat="1">
      <alignment horizontal="center" vertical="top"/>
    </xf>
    <xf numFmtId="0" fontId="37" fillId="0" borderId="0" xfId="0" applyFont="1" applyNumberFormat="1">
      <alignment vertical="center"/>
    </xf>
    <xf numFmtId="49"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57" fillId="0" borderId="12" xfId="0" applyFont="1" applyBorder="1" applyNumberFormat="1">
      <alignment horizontal="center" vertical="center" wrapText="1"/>
    </xf>
    <xf numFmtId="0" fontId="57" fillId="0" borderId="12" xfId="0" applyFont="1" applyBorder="1" applyNumberFormat="1">
      <alignment horizontal="left" vertical="center" wrapText="1" indent="2"/>
    </xf>
    <xf numFmtId="49" fontId="61" fillId="0" borderId="14" xfId="0" applyFont="1" applyBorder="1" applyNumberFormat="1">
      <alignment horizontal="left" vertical="center" wrapText="1"/>
    </xf>
    <xf numFmtId="0" fontId="19" fillId="0" borderId="17" xfId="0" applyFont="1" applyBorder="1" applyNumberFormat="1">
      <alignment vertical="top" wrapText="1"/>
    </xf>
    <xf numFmtId="49" fontId="29" fillId="36" borderId="15" xfId="0" applyFont="1" applyFill="1" applyBorder="1" applyNumberFormat="1">
      <alignment horizontal="left" vertical="center" indent="1"/>
    </xf>
    <xf numFmtId="0" fontId="19" fillId="0" borderId="23" xfId="0" applyFont="1" applyBorder="1" applyNumberFormat="1">
      <alignment vertical="top" wrapText="1"/>
    </xf>
    <xf numFmtId="49" fontId="0"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19" fillId="0" borderId="12" xfId="0" applyFont="1" applyBorder="1" applyNumberFormat="1">
      <alignment vertical="center" wrapText="1"/>
    </xf>
    <xf numFmtId="0" fontId="0" fillId="0" borderId="12" xfId="0" applyFont="1" applyBorder="1" applyNumberFormat="1">
      <alignment horizontal="left" vertical="center" wrapText="1" indent="1"/>
    </xf>
    <xf numFmtId="0" fontId="19" fillId="0" borderId="0" xfId="0" applyFont="1" applyNumberFormat="1">
      <alignment vertical="top" wrapText="1"/>
    </xf>
    <xf numFmtId="49" fontId="19" fillId="0" borderId="0" xfId="0" applyFont="1" applyNumberFormat="1">
      <alignment vertical="center" wrapText="1"/>
    </xf>
    <xf numFmtId="0" fontId="28" fillId="0" borderId="0" xfId="0" applyFont="1" applyNumberFormat="1">
      <alignment vertical="center" wrapText="1"/>
    </xf>
    <xf numFmtId="49" fontId="36" fillId="0" borderId="0" xfId="0" applyFont="1" applyNumberFormat="1">
      <alignment vertical="top"/>
    </xf>
    <xf numFmtId="49" fontId="111" fillId="0" borderId="0" xfId="0" applyFont="1" applyNumberFormat="1">
      <alignment horizontal="center" vertical="center" wrapText="1"/>
    </xf>
    <xf numFmtId="0" fontId="0" fillId="38" borderId="12" xfId="0" applyFont="1" applyFill="1" applyBorder="1" applyNumberFormat="1">
      <alignment horizontal="left" vertical="center" wrapText="1" indent="1"/>
      <protection locked="0"/>
    </xf>
    <xf numFmtId="49" fontId="43"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19" fillId="39" borderId="12" xfId="0" applyFont="1" applyFill="1" applyBorder="1" applyNumberFormat="1">
      <alignment horizontal="left" vertical="center" wrapText="1"/>
    </xf>
    <xf numFmtId="0" fontId="0" fillId="0" borderId="12" xfId="0" applyFont="1" applyBorder="1" applyNumberFormat="1">
      <alignment horizontal="left" vertical="center" wrapText="1"/>
    </xf>
    <xf numFmtId="174" fontId="0" fillId="38" borderId="12" xfId="0" applyFont="1" applyFill="1" applyBorder="1" applyNumberFormat="1">
      <alignment horizontal="left" vertical="center" wrapText="1"/>
      <protection locked="0"/>
    </xf>
    <xf numFmtId="0" fontId="115" fillId="38" borderId="12" xfId="0" applyFont="1" applyFill="1" applyBorder="1" applyNumberFormat="1">
      <alignment horizontal="left" vertical="center" wrapText="1"/>
      <protection locked="0"/>
    </xf>
    <xf numFmtId="0" fontId="19"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19"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19" fillId="0" borderId="12" xfId="0" applyFont="1" applyBorder="1" applyNumberFormat="1">
      <alignment vertical="top" wrapText="1"/>
    </xf>
    <xf numFmtId="49" fontId="29" fillId="36" borderId="15" xfId="0" applyFont="1" applyFill="1" applyBorder="1" applyNumberFormat="1">
      <alignment horizontal="left" vertical="center" indent="2"/>
    </xf>
    <xf numFmtId="49" fontId="29" fillId="36" borderId="15" xfId="0" applyFont="1" applyFill="1" applyBorder="1" applyNumberFormat="1">
      <alignment horizontal="left" vertical="center" indent="3"/>
    </xf>
    <xf numFmtId="49" fontId="19" fillId="39" borderId="12" xfId="0" applyFont="1" applyFill="1" applyBorder="1" applyNumberFormat="1">
      <alignment horizontal="left" vertical="center" wrapText="1"/>
    </xf>
    <xf numFmtId="49" fontId="19" fillId="0" borderId="0" xfId="0" applyFont="1" applyNumberFormat="1">
      <alignment vertical="top"/>
    </xf>
    <xf numFmtId="49" fontId="37" fillId="0" borderId="0" xfId="0" applyFont="1" applyNumberFormat="1">
      <alignment vertical="top"/>
    </xf>
    <xf numFmtId="0" fontId="19" fillId="0" borderId="0" xfId="0" applyFont="1" applyNumberFormat="1">
      <alignment horizontal="right" vertical="top" wrapText="1"/>
    </xf>
    <xf numFmtId="49" fontId="19" fillId="0" borderId="0" xfId="0" applyFont="1" applyNumberFormat="1">
      <alignment vertical="top" wrapText="1"/>
    </xf>
    <xf numFmtId="49" fontId="19" fillId="0" borderId="0" xfId="0" applyFont="1" applyNumberFormat="1">
      <alignment vertical="top"/>
    </xf>
    <xf numFmtId="0" fontId="0" fillId="0" borderId="13" xfId="0" applyFont="1" applyBorder="1" applyNumberFormat="1">
      <alignment horizontal="center" vertical="center" wrapText="1"/>
    </xf>
    <xf numFmtId="174" fontId="0" fillId="38" borderId="13" xfId="0" applyFont="1" applyFill="1" applyBorder="1" applyNumberFormat="1">
      <alignment horizontal="left" vertical="center" wrapText="1"/>
      <protection locked="0"/>
    </xf>
    <xf numFmtId="174" fontId="0" fillId="38" borderId="14" xfId="0" applyFont="1" applyFill="1" applyBorder="1" applyNumberFormat="1">
      <alignment horizontal="left" vertical="center" wrapText="1"/>
      <protection locked="0"/>
    </xf>
    <xf numFmtId="0" fontId="19" fillId="39"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49" fontId="33" fillId="36" borderId="13" xfId="0" applyFont="1" applyFill="1" applyBorder="1" applyNumberFormat="1">
      <alignment horizontal="center" vertical="top"/>
    </xf>
    <xf numFmtId="0" fontId="0" fillId="0" borderId="13" xfId="0" applyFont="1" applyBorder="1" applyNumberFormat="1">
      <alignment horizontal="center" vertical="center" wrapText="1"/>
    </xf>
    <xf numFmtId="0" fontId="19" fillId="0" borderId="0" xfId="0" applyFont="1" applyNumberFormat="1">
      <alignment horizontal="left" vertical="center" wrapText="1" indent="1"/>
    </xf>
    <xf numFmtId="0" fontId="0" fillId="0" borderId="12" xfId="0" applyFont="1" applyBorder="1" applyNumberFormat="1">
      <alignment horizontal="center" vertical="center" wrapText="1"/>
    </xf>
    <xf numFmtId="0" fontId="19" fillId="0" borderId="15" xfId="0" applyFont="1" applyBorder="1" applyNumberFormat="1">
      <alignment horizontal="left" vertical="top" wrapText="1" indent="1"/>
    </xf>
    <xf numFmtId="0" fontId="35" fillId="0" borderId="0" xfId="0" applyFont="1" applyNumberFormat="1">
      <alignment vertical="center" wrapText="1"/>
    </xf>
    <xf numFmtId="0" fontId="0" fillId="34" borderId="14" xfId="0" applyFont="1" applyFill="1" applyBorder="1" applyNumberFormat="1">
      <alignment horizontal="right" vertical="center" wrapText="1" indent="1"/>
    </xf>
    <xf numFmtId="0" fontId="62" fillId="0" borderId="0" xfId="0" applyFont="1" applyNumberFormat="1">
      <alignment vertical="center" wrapText="1"/>
    </xf>
    <xf numFmtId="49" fontId="24" fillId="34" borderId="0" xfId="0" applyFont="1" applyFill="1" applyNumberFormat="1">
      <alignment horizontal="center" vertical="center" wrapText="1"/>
    </xf>
    <xf numFmtId="49" fontId="24" fillId="34" borderId="19" xfId="0" applyFont="1" applyFill="1" applyBorder="1" applyNumberFormat="1">
      <alignment horizontal="center" vertical="center" wrapText="1"/>
    </xf>
    <xf numFmtId="49" fontId="0" fillId="34"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19" fillId="0" borderId="12" xfId="0" applyFont="1" applyBorder="1" applyNumberFormat="1">
      <alignment horizontal="left" vertical="center" wrapText="1"/>
    </xf>
    <xf numFmtId="0" fontId="28" fillId="34" borderId="0" xfId="0" applyFont="1" applyFill="1" applyNumberFormat="1">
      <alignment horizontal="center" vertical="top" wrapText="1"/>
    </xf>
    <xf numFmtId="0" fontId="0" fillId="33"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29" fillId="36" borderId="27" xfId="0" applyFont="1" applyFill="1" applyBorder="1" applyNumberFormat="1">
      <alignment horizontal="left" vertical="center" indent="2"/>
    </xf>
    <xf numFmtId="49" fontId="29" fillId="36" borderId="15" xfId="0" applyFont="1" applyFill="1" applyBorder="1" applyNumberFormat="1">
      <alignment horizontal="left" vertical="center"/>
    </xf>
    <xf numFmtId="0" fontId="28" fillId="34" borderId="24" xfId="0" applyFont="1" applyFill="1" applyBorder="1" applyNumberFormat="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pplyNumberFormat="1">
      <alignment horizontal="left" vertical="center" wrapText="1" indent="1"/>
    </xf>
    <xf numFmtId="0" fontId="19" fillId="0" borderId="12" xfId="0" applyFont="1" applyBorder="1" applyNumberFormat="1">
      <alignment vertical="top" wrapText="1"/>
    </xf>
    <xf numFmtId="49" fontId="0" fillId="34" borderId="14" xfId="0" applyFont="1" applyFill="1" applyBorder="1" applyNumberFormat="1">
      <alignment horizontal="center" vertical="center" wrapText="1"/>
    </xf>
    <xf numFmtId="0" fontId="19" fillId="0" borderId="36" xfId="0" applyFont="1" applyBorder="1" applyNumberFormat="1">
      <alignment horizontal="left" vertical="top" wrapText="1"/>
    </xf>
    <xf numFmtId="49" fontId="19" fillId="0" borderId="0" xfId="0" applyFont="1" applyNumberFormat="1">
      <alignment vertical="top"/>
    </xf>
    <xf numFmtId="49" fontId="19" fillId="0" borderId="19" xfId="0" applyFont="1" applyBorder="1" applyNumberFormat="1">
      <alignment vertical="top"/>
    </xf>
    <xf numFmtId="0" fontId="35" fillId="0" borderId="0" xfId="0" applyFont="1" applyNumberFormat="1">
      <alignment horizontal="right" vertical="top" wrapText="1"/>
    </xf>
    <xf numFmtId="0" fontId="19" fillId="0" borderId="0" xfId="0" applyFont="1" applyNumberFormat="1">
      <alignment vertical="center" wrapText="1"/>
    </xf>
    <xf numFmtId="49" fontId="19" fillId="0" borderId="0" xfId="0" applyFont="1" applyNumberFormat="1">
      <alignment vertical="top"/>
    </xf>
    <xf numFmtId="49" fontId="0" fillId="38" borderId="12" xfId="0" applyFont="1" applyFill="1" applyBorder="1" applyNumberFormat="1">
      <alignment horizontal="left" vertical="center" wrapText="1" indent="1"/>
      <protection locked="0"/>
    </xf>
    <xf numFmtId="0" fontId="54" fillId="0" borderId="0" xfId="0" applyFont="1" applyNumberFormat="1">
      <alignment vertical="center" wrapText="1"/>
    </xf>
    <xf numFmtId="0" fontId="19"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0" fontId="25" fillId="34" borderId="0" xfId="0" applyFont="1" applyFill="1" applyNumberFormat="1">
      <alignment horizontal="center" vertical="center" wrapText="1"/>
    </xf>
    <xf numFmtId="0" fontId="0" fillId="0" borderId="12" xfId="0" applyFont="1" applyBorder="1" applyNumberFormat="1">
      <alignment horizontal="left" vertical="center" wrapText="1"/>
    </xf>
    <xf numFmtId="0" fontId="19" fillId="0" borderId="19" xfId="0" applyFont="1" applyBorder="1" applyNumberFormat="1">
      <alignment vertical="center" wrapText="1"/>
    </xf>
    <xf numFmtId="49" fontId="29" fillId="0" borderId="19" xfId="0" applyFont="1" applyBorder="1" applyNumberFormat="1">
      <alignment horizontal="left" vertical="center"/>
    </xf>
    <xf numFmtId="49" fontId="29" fillId="0" borderId="19" xfId="0" applyFont="1" applyBorder="1" applyNumberFormat="1">
      <alignment horizontal="left" vertical="center" indent="2"/>
    </xf>
    <xf numFmtId="49" fontId="33" fillId="0" borderId="19" xfId="0" applyFont="1" applyBorder="1" applyNumberFormat="1">
      <alignment horizontal="center" vertical="top"/>
    </xf>
    <xf numFmtId="0" fontId="19" fillId="0" borderId="19" xfId="0" applyFont="1" applyBorder="1" applyNumberFormat="1">
      <alignment horizontal="left" vertical="top" wrapText="1"/>
    </xf>
    <xf numFmtId="49" fontId="19" fillId="0" borderId="0" xfId="0" applyFont="1" applyNumberFormat="1">
      <alignment vertical="center" wrapText="1"/>
    </xf>
    <xf numFmtId="0" fontId="73" fillId="0" borderId="0" xfId="0" applyFont="1" applyNumberFormat="1">
      <alignment vertical="center" wrapText="1"/>
    </xf>
    <xf numFmtId="0" fontId="19" fillId="0" borderId="12" xfId="0" applyFont="1" applyBorder="1" applyNumberFormat="1">
      <alignment horizontal="center" vertical="center" wrapText="1"/>
    </xf>
    <xf numFmtId="3" fontId="19" fillId="0" borderId="14" xfId="0" applyFont="1" applyBorder="1" applyNumberFormat="1">
      <alignment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left" vertical="center" wrapText="1" indent="1"/>
    </xf>
    <xf numFmtId="4" fontId="19" fillId="0" borderId="14" xfId="0" applyFont="1" applyBorder="1" applyNumberFormat="1">
      <alignment horizontal="right" vertical="center" wrapText="1"/>
    </xf>
    <xf numFmtId="4" fontId="19" fillId="0" borderId="30" xfId="0" applyFont="1" applyBorder="1" applyNumberFormat="1">
      <alignment horizontal="right" vertical="center" wrapText="1"/>
    </xf>
    <xf numFmtId="0" fontId="43" fillId="0" borderId="0" xfId="0" applyFont="1" applyNumberFormat="1">
      <alignment vertical="center"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19" fillId="34" borderId="0" xfId="0" applyFont="1" applyFill="1" applyNumberFormat="1"/>
    <xf numFmtId="49" fontId="20"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xf>
    <xf numFmtId="0" fontId="32" fillId="34" borderId="0" xfId="0" applyFont="1" applyFill="1" applyNumberFormat="1">
      <alignment horizontal="center" vertical="center" wrapText="1"/>
    </xf>
    <xf numFmtId="0" fontId="20" fillId="34" borderId="0" xfId="0" applyFont="1" applyFill="1" applyNumberFormat="1"/>
    <xf numFmtId="0" fontId="19" fillId="34" borderId="12" xfId="0" applyFont="1" applyFill="1" applyBorder="1" applyNumberFormat="1">
      <alignment horizontal="center" vertical="center" wrapText="1"/>
    </xf>
    <xf numFmtId="49" fontId="19" fillId="0" borderId="0" xfId="0" applyFont="1" applyNumberFormat="1">
      <alignment vertical="top"/>
    </xf>
    <xf numFmtId="49" fontId="36"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wrapText="1"/>
    </xf>
    <xf numFmtId="49" fontId="19" fillId="0" borderId="12" xfId="0" applyFont="1" applyBorder="1" applyNumberFormat="1">
      <alignment horizontal="center" vertical="center" wrapText="1"/>
    </xf>
    <xf numFmtId="49" fontId="19" fillId="38" borderId="12" xfId="0" applyFont="1" applyFill="1" applyBorder="1" applyNumberFormat="1">
      <alignment horizontal="left" vertical="center" wrapText="1"/>
      <protection locked="0"/>
    </xf>
    <xf numFmtId="0" fontId="37" fillId="0" borderId="0" xfId="0" applyFont="1" applyNumberFormat="1">
      <alignment vertical="top"/>
    </xf>
    <xf numFmtId="49" fontId="37" fillId="0" borderId="0" xfId="0" applyFont="1" applyNumberFormat="1">
      <alignment vertical="top"/>
    </xf>
    <xf numFmtId="49" fontId="19" fillId="0" borderId="0" xfId="0" applyFont="1" applyNumberFormat="1">
      <alignment vertical="top"/>
    </xf>
    <xf numFmtId="49" fontId="29" fillId="36" borderId="15" xfId="0" applyFont="1" applyFill="1" applyBorder="1" applyNumberFormat="1">
      <alignment horizontal="left" vertical="center"/>
    </xf>
    <xf numFmtId="49" fontId="33" fillId="36" borderId="15" xfId="0" applyFont="1" applyFill="1" applyBorder="1" applyNumberFormat="1">
      <alignment horizontal="center" vertical="top"/>
    </xf>
    <xf numFmtId="49" fontId="19" fillId="0" borderId="0" xfId="0" applyFont="1" applyNumberFormat="1">
      <alignment horizontal="left" vertical="top" wrapText="1"/>
    </xf>
    <xf numFmtId="0" fontId="25" fillId="34" borderId="0" xfId="0" applyFont="1" applyFill="1" applyNumberFormat="1">
      <alignment horizontal="center" vertical="center"/>
    </xf>
    <xf numFmtId="0" fontId="19" fillId="34" borderId="0" xfId="0" applyFont="1" applyFill="1" applyNumberFormat="1"/>
    <xf numFmtId="0" fontId="19" fillId="0" borderId="13" xfId="0" applyFont="1" applyBorder="1" applyNumberFormat="1">
      <alignment horizontal="left" vertical="center" wrapText="1" indent="1"/>
    </xf>
    <xf numFmtId="0" fontId="19" fillId="0" borderId="14" xfId="0" applyFont="1" applyBorder="1" applyNumberFormat="1">
      <alignment horizontal="left" vertical="center" wrapText="1" indent="1"/>
    </xf>
    <xf numFmtId="0" fontId="54" fillId="0" borderId="0" xfId="0" applyFont="1" applyNumberFormat="1"/>
    <xf numFmtId="0" fontId="19" fillId="0" borderId="12" xfId="0" applyFont="1" applyBorder="1" applyNumberFormat="1">
      <alignment horizontal="center" vertical="center" wrapText="1"/>
    </xf>
    <xf numFmtId="0" fontId="19" fillId="34" borderId="17" xfId="0" applyFont="1" applyFill="1" applyBorder="1" applyNumberFormat="1">
      <alignment horizontal="center" vertical="center"/>
    </xf>
    <xf numFmtId="49" fontId="19" fillId="0" borderId="17" xfId="0" applyFont="1" applyBorder="1" applyNumberFormat="1">
      <alignment horizontal="left" vertical="center" wrapText="1"/>
    </xf>
    <xf numFmtId="0" fontId="25" fillId="34" borderId="0" xfId="0" applyFont="1" applyFill="1" applyNumberFormat="1">
      <alignment horizontal="center" vertical="center" wrapText="1"/>
    </xf>
    <xf numFmtId="0" fontId="19" fillId="34" borderId="12" xfId="0" applyFont="1" applyFill="1" applyBorder="1" applyNumberFormat="1">
      <alignment horizontal="center" vertical="center"/>
    </xf>
    <xf numFmtId="49" fontId="19" fillId="38" borderId="12" xfId="0" applyFont="1" applyFill="1" applyBorder="1" applyNumberFormat="1">
      <alignment horizontal="left" vertical="center" wrapText="1"/>
      <protection locked="0"/>
    </xf>
    <xf numFmtId="49" fontId="39" fillId="36" borderId="14" xfId="0" applyFont="1" applyFill="1" applyBorder="1" applyNumberFormat="1">
      <alignment horizontal="center" vertical="center"/>
    </xf>
    <xf numFmtId="49" fontId="29" fillId="36" borderId="13" xfId="0" applyFont="1" applyFill="1" applyBorder="1" applyNumberFormat="1">
      <alignment horizontal="left" vertical="center"/>
    </xf>
    <xf numFmtId="49" fontId="34" fillId="0" borderId="0" xfId="0" applyFont="1" applyNumberFormat="1">
      <alignment horizontal="right" vertical="top"/>
    </xf>
    <xf numFmtId="49" fontId="19" fillId="0" borderId="0" xfId="0" applyFont="1" applyNumberFormat="1">
      <alignment horizontal="left" vertical="top" wrapText="1"/>
    </xf>
    <xf numFmtId="49" fontId="34" fillId="0" borderId="0" xfId="0" applyFont="1" applyNumberFormat="1">
      <alignment vertical="top"/>
    </xf>
    <xf numFmtId="0" fontId="19" fillId="0" borderId="0" xfId="0" applyFont="1" applyNumberFormat="1"/>
    <xf numFmtId="0" fontId="25" fillId="0" borderId="0" xfId="0" applyFont="1" applyNumberFormat="1">
      <alignment horizontal="center" vertical="center"/>
    </xf>
    <xf numFmtId="49" fontId="19" fillId="34" borderId="12" xfId="0" applyFont="1" applyFill="1" applyBorder="1" applyNumberFormat="1">
      <alignment horizontal="center" vertical="center"/>
    </xf>
    <xf numFmtId="49" fontId="19" fillId="38" borderId="12" xfId="0" applyFont="1" applyFill="1" applyBorder="1" applyNumberFormat="1">
      <alignment horizontal="left" vertical="center" wrapText="1"/>
      <protection locked="0"/>
    </xf>
    <xf numFmtId="0" fontId="19" fillId="38" borderId="12" xfId="0" applyFont="1" applyFill="1" applyBorder="1" applyNumberFormat="1">
      <alignment horizontal="center" vertical="center" wrapText="1"/>
      <protection locked="0"/>
    </xf>
    <xf numFmtId="0" fontId="36" fillId="34" borderId="0" xfId="0" applyFont="1" applyFill="1" applyNumberFormat="1"/>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19" fillId="38" borderId="12" xfId="0" applyFont="1" applyFill="1" applyBorder="1" applyNumberFormat="1">
      <alignment horizontal="left" vertical="center" wrapText="1"/>
      <protection locked="0"/>
    </xf>
    <xf numFmtId="0" fontId="58" fillId="34" borderId="0" xfId="0" applyFont="1" applyFill="1" applyNumberFormat="1"/>
    <xf numFmtId="0" fontId="19" fillId="34" borderId="12" xfId="0" applyFont="1" applyFill="1" applyBorder="1" applyNumberFormat="1">
      <alignment horizontal="left" vertical="center" wrapText="1"/>
    </xf>
    <xf numFmtId="0" fontId="19" fillId="0" borderId="12" xfId="0" applyFont="1" applyBorder="1" applyNumberFormat="1">
      <alignment horizontal="center" vertical="center" wrapText="1"/>
    </xf>
    <xf numFmtId="49" fontId="19" fillId="0" borderId="12" xfId="0" applyFont="1" applyBorder="1" applyNumberFormat="1">
      <alignment horizontal="center" vertical="center"/>
    </xf>
    <xf numFmtId="0" fontId="19" fillId="0" borderId="12" xfId="0" applyFont="1" applyBorder="1" applyNumberFormat="1">
      <alignment vertical="center" wrapText="1"/>
    </xf>
    <xf numFmtId="0" fontId="19" fillId="34" borderId="12" xfId="0" applyFont="1" applyFill="1" applyBorder="1" applyNumberFormat="1">
      <alignment horizontal="left" vertical="center" wrapText="1" indent="1"/>
    </xf>
    <xf numFmtId="49" fontId="19" fillId="35" borderId="12" xfId="0" applyFont="1" applyFill="1" applyBorder="1" applyNumberFormat="1">
      <alignment horizontal="left" vertical="center" wrapText="1"/>
      <protection locked="0"/>
    </xf>
    <xf numFmtId="0" fontId="37" fillId="34" borderId="0" xfId="0" applyFont="1" applyFill="1" applyNumberFormat="1">
      <alignment horizontal="center" vertical="center" wrapText="1"/>
    </xf>
    <xf numFmtId="0" fontId="19" fillId="34" borderId="24" xfId="0" applyFont="1" applyFill="1" applyBorder="1" applyNumberFormat="1">
      <alignment horizontal="center" vertical="center" wrapText="1"/>
    </xf>
    <xf numFmtId="0" fontId="0" fillId="34" borderId="17" xfId="0" applyFont="1" applyFill="1" applyBorder="1" applyNumberFormat="1">
      <alignment horizontal="left" vertical="top" wrapText="1"/>
    </xf>
    <xf numFmtId="0" fontId="57" fillId="34" borderId="0" xfId="0" applyFont="1" applyFill="1" applyNumberFormat="1"/>
    <xf numFmtId="0" fontId="63" fillId="34" borderId="0" xfId="0" applyFont="1" applyFill="1" applyNumberFormat="1">
      <alignment vertical="center" wrapText="1"/>
    </xf>
    <xf numFmtId="0" fontId="37" fillId="34" borderId="12" xfId="0" applyFont="1" applyFill="1" applyBorder="1" applyNumberFormat="1">
      <alignment horizontal="center" vertical="center"/>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0" fontId="74" fillId="34" borderId="0" xfId="0" applyFont="1" applyFill="1" applyNumberFormat="1"/>
    <xf numFmtId="0" fontId="19" fillId="0" borderId="12" xfId="0" applyFont="1" applyBorder="1" applyNumberFormat="1">
      <alignment horizontal="center" vertical="center" wrapText="1"/>
    </xf>
    <xf numFmtId="49" fontId="19" fillId="39" borderId="12" xfId="0" applyFont="1" applyFill="1" applyBorder="1" applyNumberFormat="1">
      <alignment horizontal="left" vertical="center" wrapText="1"/>
    </xf>
    <xf numFmtId="14" fontId="19" fillId="38" borderId="12" xfId="0" applyFont="1" applyFill="1" applyBorder="1" applyNumberFormat="1">
      <alignment horizontal="left" vertical="center" wrapText="1" indent="1"/>
      <protection locked="0"/>
    </xf>
    <xf numFmtId="0" fontId="102" fillId="0" borderId="0" xfId="0" applyFont="1" applyNumberFormat="1">
      <alignment vertical="center"/>
    </xf>
    <xf numFmtId="0" fontId="25" fillId="0" borderId="0" xfId="0" applyFont="1" applyNumberFormat="1">
      <alignment horizontal="center" vertical="center" wrapText="1"/>
    </xf>
    <xf numFmtId="4" fontId="19" fillId="0" borderId="17" xfId="0" applyFont="1" applyBorder="1" applyNumberFormat="1">
      <alignment horizontal="center" vertical="center" wrapText="1"/>
    </xf>
    <xf numFmtId="171" fontId="19" fillId="0" borderId="37" xfId="0" applyFont="1" applyBorder="1" applyNumberFormat="1">
      <alignment horizontal="center" vertical="center" wrapText="1"/>
    </xf>
    <xf numFmtId="171" fontId="19" fillId="0" borderId="17" xfId="0" applyFont="1" applyBorder="1" applyNumberFormat="1">
      <alignment horizontal="center" vertical="center" wrapText="1"/>
    </xf>
    <xf numFmtId="4" fontId="19" fillId="0" borderId="23" xfId="0" applyFont="1" applyBorder="1" applyNumberFormat="1">
      <alignment horizontal="center" vertical="center" wrapText="1"/>
    </xf>
    <xf numFmtId="14" fontId="19" fillId="39" borderId="12" xfId="0" applyFont="1" applyFill="1" applyBorder="1" applyNumberFormat="1">
      <alignment horizontal="left" vertical="center" wrapText="1"/>
    </xf>
    <xf numFmtId="49" fontId="19" fillId="0" borderId="20" xfId="0" applyFont="1" applyBorder="1" applyNumberFormat="1">
      <alignment horizontal="left" vertical="top" wrapText="1"/>
    </xf>
    <xf numFmtId="49" fontId="39"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19" fillId="0" borderId="29" xfId="0" applyFont="1" applyBorder="1" applyNumberFormat="1">
      <alignment horizontal="left" vertical="top" wrapText="1"/>
    </xf>
    <xf numFmtId="0" fontId="102" fillId="0" borderId="0" xfId="0" applyFont="1" applyNumberFormat="1">
      <alignment vertical="center" wrapText="1"/>
    </xf>
    <xf numFmtId="49" fontId="0" fillId="0" borderId="0" xfId="0" applyFont="1" applyNumberFormat="1">
      <alignment vertical="top"/>
    </xf>
    <xf numFmtId="0" fontId="19" fillId="33" borderId="23" xfId="0" applyFont="1" applyFill="1" applyBorder="1" applyNumberFormat="1">
      <alignment horizontal="left" vertical="center" wrapText="1" indent="1"/>
    </xf>
    <xf numFmtId="174" fontId="37" fillId="0" borderId="0" xfId="0" applyFont="1" applyNumberFormat="1">
      <alignment horizontal="center" vertical="center" wrapText="1"/>
    </xf>
    <xf numFmtId="171" fontId="19" fillId="0" borderId="17"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5" xfId="0" applyFont="1" applyBorder="1" applyNumberFormat="1">
      <alignment horizontal="center" vertical="center" wrapText="1"/>
    </xf>
    <xf numFmtId="171" fontId="19" fillId="0" borderId="13" xfId="0" applyFont="1" applyBorder="1" applyNumberFormat="1">
      <alignment horizontal="center" vertical="center" wrapText="1"/>
    </xf>
    <xf numFmtId="4" fontId="19" fillId="0" borderId="36" xfId="0" applyFont="1" applyBorder="1" applyNumberFormat="1">
      <alignment horizontal="center" vertical="center" wrapText="1"/>
    </xf>
    <xf numFmtId="171" fontId="19" fillId="0" borderId="23" xfId="0" applyFont="1" applyBorder="1" applyNumberFormat="1">
      <alignment horizontal="center" vertical="center" wrapText="1"/>
    </xf>
    <xf numFmtId="171" fontId="19" fillId="0" borderId="23" xfId="0" applyFont="1" applyBorder="1" applyNumberFormat="1">
      <alignment horizontal="center" vertical="center" wrapText="1"/>
    </xf>
    <xf numFmtId="0" fontId="19" fillId="0" borderId="23" xfId="0" applyFont="1" applyBorder="1" applyNumberFormat="1">
      <alignment horizontal="center" vertical="center" wrapText="1"/>
    </xf>
    <xf numFmtId="14" fontId="19" fillId="38" borderId="23" xfId="0" applyFont="1" applyFill="1" applyBorder="1" applyNumberFormat="1">
      <alignment horizontal="left" vertical="center" wrapText="1" indent="1"/>
      <protection locked="0"/>
    </xf>
    <xf numFmtId="0" fontId="19" fillId="33" borderId="12" xfId="0" applyFont="1" applyFill="1" applyBorder="1" applyNumberFormat="1">
      <alignment horizontal="left" vertical="center" wrapText="1"/>
    </xf>
    <xf numFmtId="14"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49" fontId="19" fillId="39" borderId="12" xfId="0" applyFont="1" applyFill="1" applyBorder="1" applyNumberFormat="1">
      <alignment horizontal="left" vertical="center" wrapText="1"/>
    </xf>
    <xf numFmtId="49" fontId="39" fillId="36" borderId="27" xfId="0" applyFont="1" applyFill="1" applyBorder="1" applyNumberFormat="1">
      <alignment horizontal="right" vertical="center" wrapText="1"/>
    </xf>
    <xf numFmtId="49" fontId="43" fillId="36" borderId="27" xfId="0" applyFont="1" applyFill="1" applyBorder="1" applyNumberFormat="1">
      <alignment horizontal="left" vertical="center" wrapText="1"/>
    </xf>
    <xf numFmtId="49" fontId="43" fillId="36" borderId="23" xfId="0" applyFont="1" applyFill="1" applyBorder="1" applyNumberFormat="1">
      <alignment horizontal="left" vertical="center" wrapText="1"/>
    </xf>
    <xf numFmtId="0" fontId="37" fillId="0" borderId="27" xfId="0" applyFont="1" applyBorder="1" applyNumberFormat="1">
      <alignment horizontal="center" vertical="center" wrapText="1"/>
    </xf>
    <xf numFmtId="0" fontId="31" fillId="0" borderId="0" xfId="0" applyFont="1" applyNumberFormat="1">
      <alignment horizontal="center" vertical="center" wrapText="1"/>
    </xf>
    <xf numFmtId="0" fontId="19" fillId="0" borderId="0" xfId="0" applyFont="1" applyNumberFormat="1">
      <alignment horizontal="center" vertical="center" wrapText="1"/>
    </xf>
    <xf numFmtId="171" fontId="34" fillId="0" borderId="58" xfId="0" applyFont="1" applyBorder="1" applyNumberFormat="1">
      <alignment horizontal="center" vertical="center" wrapText="1"/>
    </xf>
    <xf numFmtId="171" fontId="34" fillId="0" borderId="58" xfId="0" applyFont="1" applyBorder="1" applyNumberFormat="1">
      <alignment horizontal="center" vertical="center" wrapText="1"/>
    </xf>
    <xf numFmtId="171" fontId="34" fillId="0" borderId="57" xfId="0" applyFont="1" applyBorder="1" applyNumberFormat="1">
      <alignment horizontal="center" vertical="center" wrapText="1"/>
    </xf>
    <xf numFmtId="171" fontId="34" fillId="0" borderId="51" xfId="0" applyFont="1" applyBorder="1" applyNumberFormat="1">
      <alignment horizontal="center" vertical="center" wrapText="1"/>
    </xf>
    <xf numFmtId="171" fontId="34" fillId="0" borderId="76" xfId="0" applyFont="1" applyBorder="1" applyNumberFormat="1">
      <alignment horizontal="center" vertical="center" wrapText="1"/>
    </xf>
    <xf numFmtId="0" fontId="37" fillId="0" borderId="0" xfId="0" applyFont="1" applyNumberFormat="1">
      <alignment horizontal="center" vertical="center"/>
    </xf>
    <xf numFmtId="0" fontId="37" fillId="0" borderId="0" xfId="0" applyFont="1" applyNumberFormat="1">
      <alignment horizontal="center" vertical="center"/>
    </xf>
    <xf numFmtId="0" fontId="45" fillId="0" borderId="0" xfId="0" applyFont="1" applyNumberFormat="1">
      <alignment horizontal="center" vertical="center"/>
    </xf>
    <xf numFmtId="171" fontId="19" fillId="0" borderId="12" xfId="0" applyFont="1" applyBorder="1" applyNumberFormat="1">
      <alignment horizontal="center" vertical="center" wrapText="1"/>
    </xf>
    <xf numFmtId="0" fontId="19" fillId="33" borderId="23" xfId="0" applyFont="1" applyFill="1" applyBorder="1" applyNumberFormat="1">
      <alignment horizontal="left" vertical="center" wrapText="1"/>
    </xf>
    <xf numFmtId="14" fontId="19" fillId="39" borderId="23" xfId="0" applyFont="1" applyFill="1" applyBorder="1" applyNumberFormat="1">
      <alignment horizontal="left" vertical="center" wrapText="1"/>
    </xf>
    <xf numFmtId="49" fontId="19" fillId="39" borderId="30" xfId="0" applyFont="1" applyFill="1" applyBorder="1" applyNumberFormat="1">
      <alignment horizontal="left" vertical="center" wrapText="1"/>
    </xf>
    <xf numFmtId="49" fontId="43" fillId="38" borderId="27" xfId="0" applyFont="1" applyFill="1" applyBorder="1" applyNumberFormat="1">
      <alignment horizontal="left" vertical="center" wrapText="1"/>
      <protection locked="0"/>
    </xf>
    <xf numFmtId="49" fontId="43" fillId="38" borderId="30" xfId="0" applyFont="1" applyFill="1" applyBorder="1" applyNumberFormat="1">
      <alignment horizontal="left" vertical="center" wrapText="1"/>
      <protection locked="0"/>
    </xf>
    <xf numFmtId="49" fontId="43" fillId="38" borderId="23" xfId="0" applyFont="1" applyFill="1" applyBorder="1" applyNumberFormat="1">
      <alignment horizontal="left" vertical="center" wrapText="1"/>
      <protection locked="0"/>
    </xf>
    <xf numFmtId="49" fontId="19" fillId="39" borderId="23" xfId="0" applyFont="1" applyFill="1" applyBorder="1" applyNumberFormat="1">
      <alignment horizontal="left" vertical="center" wrapText="1"/>
    </xf>
    <xf numFmtId="49" fontId="0" fillId="36" borderId="12" xfId="0" applyFont="1" applyFill="1" applyBorder="1" applyNumberFormat="1">
      <alignment horizontal="right" vertical="center" wrapText="1"/>
    </xf>
    <xf numFmtId="0" fontId="19" fillId="0" borderId="0" xfId="0" applyFont="1" applyNumberFormat="1"/>
    <xf numFmtId="49" fontId="19" fillId="0" borderId="12" xfId="0" applyFont="1" applyBorder="1" applyNumberFormat="1">
      <alignment horizontal="left" vertical="center" wrapText="1"/>
    </xf>
    <xf numFmtId="49" fontId="29" fillId="36" borderId="13" xfId="0" applyFont="1" applyFill="1" applyBorder="1" applyNumberFormat="1">
      <alignment horizontal="left" vertical="center"/>
    </xf>
    <xf numFmtId="49" fontId="0" fillId="0" borderId="15" xfId="0" applyFont="1" applyBorder="1" applyNumberFormat="1">
      <alignment horizontal="left" vertical="center" indent="1"/>
    </xf>
    <xf numFmtId="49" fontId="55" fillId="0" borderId="0" xfId="0" applyFont="1" applyNumberFormat="1">
      <alignment vertical="top"/>
    </xf>
    <xf numFmtId="49" fontId="0" fillId="0" borderId="25" xfId="0" applyFont="1" applyBorder="1" applyNumberFormat="1">
      <alignment horizontal="center" vertical="center"/>
    </xf>
    <xf numFmtId="49" fontId="0" fillId="0" borderId="0" xfId="0" applyFont="1" applyNumberFormat="1">
      <alignment vertical="top"/>
    </xf>
    <xf numFmtId="49" fontId="0" fillId="37" borderId="0" xfId="0" applyFont="1" applyFill="1" applyNumberFormat="1">
      <alignment vertical="top"/>
    </xf>
    <xf numFmtId="0" fontId="25" fillId="34" borderId="0" xfId="0" applyFont="1" applyFill="1" applyNumberFormat="1">
      <alignment horizontal="center" vertical="center" wrapText="1"/>
    </xf>
    <xf numFmtId="0" fontId="25" fillId="34" borderId="0" xfId="0" applyFont="1" applyFill="1" applyNumberFormat="1">
      <alignment horizontal="center"/>
    </xf>
    <xf numFmtId="49" fontId="19" fillId="35" borderId="12" xfId="0" applyFont="1" applyFill="1" applyBorder="1" applyNumberFormat="1">
      <alignment horizontal="left" vertical="center" wrapText="1"/>
      <protection locked="0"/>
    </xf>
    <xf numFmtId="0" fontId="31" fillId="0" borderId="0" xfId="0" applyFont="1" applyNumberFormat="1">
      <alignment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37" fillId="0" borderId="12" xfId="0" applyFont="1" applyBorder="1" applyNumberFormat="1">
      <alignment horizontal="center" vertical="center"/>
    </xf>
    <xf numFmtId="0" fontId="19" fillId="0" borderId="23" xfId="0" applyFont="1" applyBorder="1" applyNumberFormat="1">
      <alignment horizontal="center" vertical="center" wrapText="1"/>
    </xf>
    <xf numFmtId="0" fontId="36" fillId="0" borderId="23" xfId="0" applyFont="1" applyBorder="1" applyNumberFormat="1">
      <alignment horizontal="center" vertical="center" wrapText="1"/>
    </xf>
    <xf numFmtId="0" fontId="36" fillId="0" borderId="0" xfId="0" applyFont="1" applyNumberFormat="1">
      <alignment horizontal="center" vertical="center" wrapText="1"/>
    </xf>
    <xf numFmtId="0" fontId="36" fillId="0" borderId="12" xfId="0" applyFont="1" applyBorder="1" applyNumberFormat="1">
      <alignment horizontal="center" vertical="center" wrapText="1"/>
    </xf>
    <xf numFmtId="14" fontId="19" fillId="39" borderId="12" xfId="0" applyFont="1" applyFill="1" applyBorder="1" applyNumberFormat="1">
      <alignment horizontal="left" vertical="center" wrapText="1" indent="1"/>
    </xf>
    <xf numFmtId="49" fontId="19" fillId="33" borderId="12" xfId="0" applyFont="1" applyFill="1" applyBorder="1" applyNumberFormat="1">
      <alignment horizontal="center" vertical="center" wrapText="1"/>
    </xf>
    <xf numFmtId="49" fontId="41" fillId="37" borderId="0" xfId="0" applyFont="1" applyFill="1" applyNumberFormat="1">
      <alignment vertical="top"/>
    </xf>
    <xf numFmtId="49" fontId="41" fillId="0" borderId="0" xfId="0" applyFont="1" applyNumberFormat="1">
      <alignment vertical="top"/>
    </xf>
    <xf numFmtId="0" fontId="0" fillId="0" borderId="0" xfId="0" applyFont="1" applyNumberFormat="1">
      <alignment vertical="center"/>
    </xf>
    <xf numFmtId="0" fontId="24" fillId="0" borderId="24" xfId="0" applyFont="1" applyBorder="1" applyNumberFormat="1">
      <alignment horizontal="center" vertical="center" wrapText="1"/>
    </xf>
    <xf numFmtId="14" fontId="71" fillId="0" borderId="17" xfId="0" applyFont="1" applyBorder="1" applyNumberFormat="1">
      <alignment horizontal="center" vertical="center" wrapText="1"/>
    </xf>
    <xf numFmtId="0" fontId="65" fillId="0" borderId="12" xfId="0" applyFont="1" applyBorder="1" applyNumberFormat="1">
      <alignment horizontal="left" vertical="center" wrapText="1" indent="1"/>
    </xf>
    <xf numFmtId="0" fontId="71" fillId="0" borderId="17" xfId="0" applyFont="1" applyBorder="1" applyNumberFormat="1">
      <alignment horizontal="center" vertical="center" wrapText="1"/>
    </xf>
    <xf numFmtId="49" fontId="19" fillId="0" borderId="12" xfId="0" applyFont="1" applyBorder="1" applyNumberFormat="1">
      <alignment horizontal="center" vertical="center" wrapText="1"/>
    </xf>
    <xf numFmtId="0" fontId="64" fillId="0" borderId="0" xfId="0" applyFont="1" applyNumberFormat="1">
      <alignment vertical="center"/>
    </xf>
    <xf numFmtId="14" fontId="71" fillId="0" borderId="36" xfId="0" applyFont="1" applyBorder="1" applyNumberFormat="1">
      <alignment horizontal="center" vertical="center" wrapText="1"/>
    </xf>
    <xf numFmtId="0" fontId="65" fillId="0" borderId="12" xfId="0" applyFont="1" applyBorder="1" applyNumberFormat="1">
      <alignment horizontal="left" vertical="top" indent="1"/>
    </xf>
    <xf numFmtId="49" fontId="0" fillId="0" borderId="12" xfId="0" applyFont="1" applyBorder="1" applyNumberFormat="1">
      <alignment vertical="top"/>
    </xf>
    <xf numFmtId="0" fontId="24" fillId="0" borderId="12" xfId="0" applyFont="1" applyBorder="1" applyNumberFormat="1">
      <alignment horizontal="center" vertical="center" wrapText="1"/>
    </xf>
    <xf numFmtId="0" fontId="19" fillId="39" borderId="12" xfId="0" applyFont="1" applyFill="1" applyBorder="1" applyNumberFormat="1">
      <alignment horizontal="left" vertical="center" wrapText="1" indent="1"/>
    </xf>
    <xf numFmtId="0" fontId="24" fillId="0" borderId="12" xfId="0" applyFont="1" applyBorder="1" applyNumberFormat="1">
      <alignment horizontal="center" vertical="center" wrapText="1"/>
    </xf>
    <xf numFmtId="49" fontId="19" fillId="0" borderId="13"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49" fontId="19" fillId="34" borderId="0" xfId="0" applyFont="1" applyFill="1" applyNumberFormat="1">
      <alignment horizontal="center" vertical="center" wrapText="1"/>
    </xf>
    <xf numFmtId="0" fontId="19" fillId="34" borderId="0" xfId="0" applyFont="1" applyFill="1" applyNumberFormat="1">
      <alignment horizontal="center" vertical="top" wrapText="1"/>
    </xf>
    <xf numFmtId="49" fontId="19" fillId="39" borderId="14" xfId="0" applyFont="1" applyFill="1" applyBorder="1" applyNumberFormat="1">
      <alignment horizontal="left" vertical="center" wrapText="1"/>
    </xf>
    <xf numFmtId="49" fontId="0" fillId="0" borderId="12" xfId="0" applyFont="1" applyBorder="1" applyNumberFormat="1">
      <alignment vertical="top"/>
    </xf>
    <xf numFmtId="49" fontId="19" fillId="0" borderId="0" xfId="0" applyFont="1" applyNumberFormat="1">
      <alignment vertical="top"/>
    </xf>
    <xf numFmtId="0" fontId="25" fillId="34" borderId="0" xfId="0" applyFont="1" applyFill="1" applyNumberFormat="1">
      <alignment vertical="top" wrapText="1"/>
    </xf>
    <xf numFmtId="0" fontId="19" fillId="34" borderId="14" xfId="0" applyFont="1" applyFill="1" applyBorder="1" applyNumberFormat="1">
      <alignment horizontal="center" vertical="center" wrapText="1"/>
    </xf>
    <xf numFmtId="0" fontId="37" fillId="34" borderId="12" xfId="0" applyFont="1" applyFill="1" applyBorder="1" applyNumberFormat="1">
      <alignment horizontal="center" vertical="center" wrapText="1"/>
    </xf>
    <xf numFmtId="14" fontId="19" fillId="39" borderId="29" xfId="0" applyFont="1" applyFill="1" applyBorder="1" applyNumberFormat="1">
      <alignment horizontal="left" vertical="center" wrapText="1"/>
    </xf>
    <xf numFmtId="49" fontId="112" fillId="38"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19" fillId="39"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25" fillId="0" borderId="0" xfId="0" applyFont="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49"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0" fontId="25" fillId="0" borderId="24" xfId="0" applyFont="1" applyBorder="1" applyNumberFormat="1">
      <alignment horizontal="center" vertical="center" wrapText="1"/>
    </xf>
    <xf numFmtId="49" fontId="19"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19" fillId="39" borderId="17" xfId="0" applyFont="1" applyFill="1" applyBorder="1" applyNumberFormat="1">
      <alignment horizontal="center" vertical="top" wrapText="1"/>
    </xf>
    <xf numFmtId="174" fontId="0" fillId="38" borderId="12" xfId="0" applyFont="1" applyFill="1" applyBorder="1" applyNumberFormat="1">
      <alignment horizontal="center" vertical="top" wrapText="1"/>
      <protection locked="0"/>
    </xf>
    <xf numFmtId="174" fontId="0" fillId="35" borderId="12" xfId="0" applyFont="1" applyFill="1" applyBorder="1" applyNumberFormat="1">
      <alignment horizontal="center" vertical="top" wrapText="1"/>
      <protection locked="0"/>
    </xf>
    <xf numFmtId="49" fontId="19" fillId="39" borderId="12" xfId="0" applyFont="1" applyFill="1" applyBorder="1" applyNumberFormat="1">
      <alignment horizontal="left" vertical="top" wrapText="1"/>
    </xf>
    <xf numFmtId="49" fontId="19" fillId="38" borderId="12" xfId="0" applyFont="1" applyFill="1" applyBorder="1" applyNumberFormat="1">
      <alignment horizontal="left" vertical="top" wrapText="1"/>
      <protection locked="0"/>
    </xf>
    <xf numFmtId="49" fontId="0" fillId="33" borderId="12" xfId="0" applyFont="1" applyFill="1" applyBorder="1" applyNumberFormat="1">
      <alignment horizontal="center" vertical="top" wrapText="1"/>
    </xf>
    <xf numFmtId="0" fontId="19" fillId="33" borderId="12" xfId="0" applyFont="1" applyFill="1" applyBorder="1" applyNumberFormat="1">
      <alignment horizontal="center" vertical="top" wrapText="1"/>
    </xf>
    <xf numFmtId="0" fontId="19" fillId="35" borderId="12" xfId="0" applyFont="1" applyFill="1" applyBorder="1" applyNumberFormat="1">
      <alignment horizontal="left" vertical="top" wrapText="1"/>
      <protection locked="0"/>
    </xf>
    <xf numFmtId="49" fontId="19" fillId="39" borderId="12" xfId="0" applyFont="1" applyFill="1" applyBorder="1" applyNumberFormat="1">
      <alignment horizontal="center" vertical="top" wrapText="1"/>
    </xf>
    <xf numFmtId="0" fontId="19" fillId="0" borderId="36" xfId="0" applyFont="1" applyBorder="1" applyNumberFormat="1">
      <alignment horizontal="center" vertical="center" wrapText="1"/>
    </xf>
    <xf numFmtId="0" fontId="19" fillId="0" borderId="12" xfId="0" applyFont="1" applyBorder="1" applyNumberFormat="1">
      <alignment horizontal="center" vertical="center" wrapText="1"/>
    </xf>
    <xf numFmtId="49" fontId="19" fillId="38" borderId="17" xfId="0" applyFont="1" applyFill="1" applyBorder="1" applyNumberFormat="1">
      <alignment horizontal="left" vertical="center" wrapText="1" indent="1"/>
      <protection locked="0"/>
    </xf>
    <xf numFmtId="0" fontId="19" fillId="0" borderId="24" xfId="0" applyFont="1" applyBorder="1" applyNumberFormat="1">
      <alignment vertical="top" wrapText="1"/>
    </xf>
    <xf numFmtId="49" fontId="19" fillId="39" borderId="23" xfId="0" applyFont="1" applyFill="1" applyBorder="1" applyNumberFormat="1">
      <alignment horizontal="center" vertical="top" wrapText="1"/>
    </xf>
    <xf numFmtId="49" fontId="0" fillId="38"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19" fillId="39" borderId="14" xfId="0" applyFont="1" applyFill="1" applyBorder="1" applyNumberFormat="1">
      <alignment horizontal="center" vertical="top" wrapText="1"/>
    </xf>
    <xf numFmtId="49" fontId="19" fillId="0" borderId="36" xfId="0" applyFont="1" applyBorder="1" applyNumberFormat="1">
      <alignment horizontal="center" vertical="top" wrapText="1"/>
    </xf>
    <xf numFmtId="0" fontId="0" fillId="33" borderId="36" xfId="0" applyFont="1" applyFill="1" applyBorder="1" applyNumberFormat="1">
      <alignment horizontal="left" vertical="top" wrapText="1" indent="1"/>
    </xf>
    <xf numFmtId="49" fontId="19"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19" fillId="39" borderId="36" xfId="0" applyFont="1" applyFill="1" applyBorder="1" applyNumberFormat="1">
      <alignment horizontal="left" vertical="top" wrapText="1"/>
    </xf>
    <xf numFmtId="49" fontId="19"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19" fillId="33" borderId="36" xfId="0" applyFont="1" applyFill="1" applyBorder="1" applyNumberFormat="1">
      <alignment horizontal="center" vertical="top" wrapText="1"/>
    </xf>
    <xf numFmtId="0" fontId="19" fillId="35" borderId="36" xfId="0" applyFont="1" applyFill="1" applyBorder="1" applyNumberFormat="1">
      <alignment horizontal="left" vertical="top" wrapText="1"/>
      <protection locked="0"/>
    </xf>
    <xf numFmtId="0" fontId="93" fillId="0" borderId="48" xfId="0" applyFont="1" applyBorder="1" applyNumberFormat="1">
      <alignment horizontal="left" vertical="center" indent="1"/>
    </xf>
    <xf numFmtId="0" fontId="9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19" fillId="0" borderId="49" xfId="0" applyFont="1" applyBorder="1" applyNumberFormat="1">
      <alignment vertical="center" wrapText="1"/>
    </xf>
    <xf numFmtId="0" fontId="19" fillId="0" borderId="54" xfId="0" applyFont="1" applyBorder="1" applyNumberFormat="1">
      <alignment vertical="center" wrapText="1"/>
    </xf>
    <xf numFmtId="0" fontId="19" fillId="0" borderId="55" xfId="0" applyFont="1" applyBorder="1" applyNumberFormat="1">
      <alignment vertical="center" wrapText="1"/>
    </xf>
    <xf numFmtId="0" fontId="19" fillId="0" borderId="38" xfId="0" applyFont="1" applyBorder="1" applyNumberFormat="1">
      <alignment vertical="center" wrapText="1"/>
    </xf>
    <xf numFmtId="49" fontId="19" fillId="33" borderId="12" xfId="0" applyFont="1" applyFill="1" applyBorder="1" applyNumberFormat="1">
      <alignment horizontal="center" vertical="center" wrapText="1"/>
    </xf>
    <xf numFmtId="49" fontId="19" fillId="0" borderId="13" xfId="0" applyFont="1" applyBorder="1" applyNumberFormat="1">
      <alignment horizontal="center" vertical="center" wrapText="1"/>
    </xf>
    <xf numFmtId="49" fontId="19" fillId="39" borderId="13" xfId="0" applyFont="1" applyFill="1" applyBorder="1" applyNumberFormat="1">
      <alignment horizontal="left" vertical="center" wrapText="1"/>
    </xf>
    <xf numFmtId="49" fontId="19" fillId="38" borderId="12" xfId="0" applyFont="1" applyFill="1" applyBorder="1" applyNumberFormat="1">
      <alignment horizontal="left" vertical="center" wrapText="1"/>
      <protection locked="0"/>
    </xf>
    <xf numFmtId="49" fontId="19" fillId="39" borderId="14" xfId="0" applyFont="1" applyFill="1" applyBorder="1" applyNumberFormat="1">
      <alignment horizontal="center" vertical="center" wrapText="1"/>
    </xf>
    <xf numFmtId="49" fontId="95" fillId="36" borderId="43" xfId="0" applyFont="1" applyFill="1" applyBorder="1" applyNumberFormat="1">
      <alignment horizontal="left" vertical="center" indent="1"/>
    </xf>
    <xf numFmtId="49" fontId="84" fillId="36" borderId="43" xfId="0" applyFont="1" applyFill="1" applyBorder="1" applyNumberFormat="1">
      <alignment horizontal="center" vertical="center"/>
    </xf>
    <xf numFmtId="3" fontId="19" fillId="38" borderId="12" xfId="0" applyFont="1" applyFill="1" applyBorder="1" applyNumberFormat="1">
      <alignment horizontal="center" vertical="center" wrapText="1"/>
      <protection locked="0"/>
    </xf>
    <xf numFmtId="49" fontId="113" fillId="0" borderId="13" xfId="0" applyFont="1" applyBorder="1" applyNumberFormat="1">
      <alignment horizontal="center" vertical="center" wrapText="1"/>
    </xf>
    <xf numFmtId="0" fontId="34" fillId="0" borderId="12" xfId="0" applyFont="1" applyBorder="1" applyNumberFormat="1">
      <alignment horizontal="center" vertical="center"/>
    </xf>
    <xf numFmtId="49" fontId="19" fillId="39" borderId="17" xfId="0" applyFont="1" applyFill="1" applyBorder="1" applyNumberFormat="1">
      <alignment horizontal="left" vertical="center" wrapText="1" indent="1"/>
    </xf>
    <xf numFmtId="49" fontId="19" fillId="0" borderId="12" xfId="0" applyFont="1" applyBorder="1" applyNumberFormat="1">
      <alignment horizontal="left" vertical="center" wrapText="1"/>
    </xf>
    <xf numFmtId="49" fontId="95" fillId="36" borderId="14" xfId="0" applyFont="1" applyFill="1" applyBorder="1" applyNumberFormat="1">
      <alignment horizontal="left" vertical="center" indent="1"/>
    </xf>
    <xf numFmtId="49" fontId="95" fillId="36" borderId="15" xfId="0" applyFont="1" applyFill="1" applyBorder="1" applyNumberFormat="1">
      <alignment horizontal="left" vertical="center" indent="1"/>
    </xf>
    <xf numFmtId="49" fontId="34" fillId="36" borderId="15" xfId="0" applyFont="1" applyFill="1" applyBorder="1" applyNumberFormat="1">
      <alignment vertical="top" wrapText="1"/>
    </xf>
    <xf numFmtId="49" fontId="34" fillId="36" borderId="13" xfId="0" applyFont="1" applyFill="1" applyBorder="1" applyNumberFormat="1">
      <alignment vertical="top" wrapText="1"/>
    </xf>
    <xf numFmtId="49" fontId="19" fillId="39" borderId="36" xfId="0" applyFont="1" applyFill="1" applyBorder="1" applyNumberFormat="1">
      <alignment horizontal="left" vertical="center" wrapText="1" indent="1"/>
    </xf>
    <xf numFmtId="49" fontId="19" fillId="33" borderId="12" xfId="0" applyFont="1" applyFill="1" applyBorder="1" applyNumberFormat="1">
      <alignment horizontal="left" vertical="center" wrapText="1"/>
    </xf>
    <xf numFmtId="49" fontId="113" fillId="0" borderId="0" xfId="0" applyFont="1" applyNumberFormat="1">
      <alignment horizontal="center" vertical="top" wrapText="1"/>
    </xf>
    <xf numFmtId="0" fontId="34" fillId="0" borderId="12" xfId="0" applyFont="1" applyBorder="1" applyNumberFormat="1">
      <alignment horizontal="center" vertical="center"/>
    </xf>
    <xf numFmtId="0" fontId="34" fillId="39" borderId="12" xfId="0" applyFont="1" applyFill="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19" fillId="39" borderId="23" xfId="0" applyFont="1" applyFill="1" applyBorder="1" applyNumberFormat="1">
      <alignment horizontal="left" vertical="center" wrapText="1" indent="1"/>
    </xf>
    <xf numFmtId="49" fontId="29" fillId="36" borderId="15" xfId="0" applyFont="1" applyFill="1" applyBorder="1" applyNumberFormat="1">
      <alignment horizontal="left" vertical="center" indent="1"/>
    </xf>
    <xf numFmtId="49" fontId="34" fillId="36" borderId="52" xfId="0" applyFont="1" applyFill="1" applyBorder="1" applyNumberFormat="1">
      <alignment vertical="top" wrapText="1"/>
    </xf>
    <xf numFmtId="49" fontId="95" fillId="36" borderId="52" xfId="0" applyFont="1" applyFill="1" applyBorder="1" applyNumberFormat="1">
      <alignment horizontal="left" vertical="center" indent="1"/>
    </xf>
    <xf numFmtId="49" fontId="19" fillId="33" borderId="58" xfId="0" applyFont="1" applyFill="1" applyBorder="1" applyNumberFormat="1">
      <alignment horizontal="center" vertical="center" wrapText="1"/>
    </xf>
    <xf numFmtId="0" fontId="0" fillId="36" borderId="50" xfId="0" applyFont="1" applyFill="1" applyBorder="1" applyNumberFormat="1">
      <alignment horizontal="left" vertical="center"/>
    </xf>
    <xf numFmtId="49" fontId="29" fillId="36" borderId="51" xfId="0" applyFont="1" applyFill="1" applyBorder="1" applyNumberFormat="1">
      <alignment horizontal="left" vertical="center" indent="1"/>
    </xf>
    <xf numFmtId="0" fontId="19" fillId="36" borderId="50" xfId="0" applyFont="1" applyFill="1" applyBorder="1" applyNumberFormat="1">
      <alignment vertical="center" wrapText="1"/>
    </xf>
    <xf numFmtId="0" fontId="19" fillId="36" borderId="51" xfId="0" applyFont="1" applyFill="1" applyBorder="1" applyNumberFormat="1">
      <alignment vertical="center" wrapText="1"/>
    </xf>
    <xf numFmtId="0" fontId="19" fillId="36" borderId="53" xfId="0" applyFont="1" applyFill="1" applyBorder="1" applyNumberFormat="1">
      <alignment vertical="center" wrapText="1"/>
    </xf>
    <xf numFmtId="49" fontId="0" fillId="33" borderId="36" xfId="0" applyFont="1" applyFill="1" applyBorder="1" applyNumberFormat="1">
      <alignment vertical="top"/>
    </xf>
    <xf numFmtId="49" fontId="0" fillId="0" borderId="36" xfId="0" applyFont="1" applyBorder="1" applyNumberFormat="1">
      <alignment vertical="top"/>
    </xf>
    <xf numFmtId="49" fontId="19" fillId="39" borderId="17" xfId="0" applyFont="1" applyFill="1" applyBorder="1" applyNumberFormat="1">
      <alignment vertical="center" wrapText="1"/>
    </xf>
    <xf numFmtId="49" fontId="0" fillId="38" borderId="36" xfId="0" applyFont="1" applyFill="1" applyBorder="1" applyNumberFormat="1">
      <alignment vertical="top"/>
      <protection locked="0"/>
    </xf>
    <xf numFmtId="49" fontId="113" fillId="0" borderId="12" xfId="0" applyFont="1" applyBorder="1" applyNumberFormat="1">
      <alignment horizontal="center" vertical="center" wrapText="1"/>
    </xf>
    <xf numFmtId="49" fontId="0" fillId="38" borderId="17" xfId="0" applyFont="1" applyFill="1" applyBorder="1" applyNumberFormat="1">
      <alignment vertical="top"/>
      <protection locked="0"/>
    </xf>
    <xf numFmtId="14" fontId="19" fillId="39" borderId="36" xfId="0" applyFont="1" applyFill="1" applyBorder="1" applyNumberFormat="1">
      <alignment horizontal="left" vertical="center" wrapText="1" indent="1"/>
    </xf>
    <xf numFmtId="49" fontId="19" fillId="39" borderId="36" xfId="0" applyFont="1" applyFill="1" applyBorder="1" applyNumberFormat="1">
      <alignment vertical="center" wrapText="1"/>
    </xf>
    <xf numFmtId="49" fontId="19" fillId="39" borderId="23" xfId="0" applyFont="1" applyFill="1" applyBorder="1" applyNumberFormat="1">
      <alignment vertical="center" wrapText="1"/>
    </xf>
    <xf numFmtId="49" fontId="0" fillId="38" borderId="23" xfId="0" applyFont="1" applyFill="1" applyBorder="1" applyNumberFormat="1">
      <alignment vertical="top"/>
      <protection locked="0"/>
    </xf>
    <xf numFmtId="49" fontId="113" fillId="0" borderId="36" xfId="0" applyFont="1" applyBorder="1" applyNumberFormat="1">
      <alignment horizontal="center" vertical="top" wrapText="1"/>
    </xf>
    <xf numFmtId="0" fontId="34" fillId="0" borderId="13" xfId="0" applyFont="1" applyBorder="1" applyNumberFormat="1">
      <alignment horizontal="center" vertical="center"/>
    </xf>
    <xf numFmtId="0" fontId="93" fillId="0" borderId="47" xfId="0" applyFont="1" applyBorder="1" applyNumberFormat="1">
      <alignment horizontal="left" vertical="center" indent="1"/>
    </xf>
    <xf numFmtId="49" fontId="19" fillId="0" borderId="56" xfId="0" applyFont="1" applyBorder="1" applyNumberFormat="1">
      <alignment horizontal="center" vertical="center"/>
    </xf>
    <xf numFmtId="0" fontId="19" fillId="0" borderId="56" xfId="0" applyFont="1" applyBorder="1" applyNumberFormat="1">
      <alignment horizontal="right" vertical="center"/>
    </xf>
    <xf numFmtId="0" fontId="19" fillId="0" borderId="56" xfId="0" applyFont="1" applyBorder="1" applyNumberFormat="1">
      <alignment horizontal="center" vertical="center"/>
    </xf>
    <xf numFmtId="0" fontId="19" fillId="0" borderId="15" xfId="0" applyFont="1" applyBorder="1" applyNumberFormat="1">
      <alignment horizontal="right" vertical="center"/>
    </xf>
    <xf numFmtId="0" fontId="19" fillId="0" borderId="13" xfId="0" applyFont="1" applyBorder="1" applyNumberFormat="1">
      <alignment horizontal="right" vertical="center"/>
    </xf>
    <xf numFmtId="49" fontId="0" fillId="0" borderId="0" xfId="0" applyFont="1" applyNumberFormat="1">
      <alignment vertical="top"/>
    </xf>
    <xf numFmtId="0" fontId="19" fillId="34" borderId="12" xfId="0" applyFont="1" applyFill="1" applyBorder="1" applyNumberFormat="1">
      <alignment horizontal="center" vertical="center"/>
    </xf>
    <xf numFmtId="0" fontId="19" fillId="39" borderId="12" xfId="0" applyFont="1" applyFill="1" applyBorder="1" applyNumberFormat="1">
      <alignment horizontal="left" vertical="center" wrapText="1" indent="1"/>
    </xf>
    <xf numFmtId="0" fontId="19" fillId="38" borderId="12" xfId="0" applyFont="1" applyFill="1" applyBorder="1" applyNumberFormat="1">
      <alignment horizontal="left" vertical="center" wrapText="1" indent="1"/>
      <protection locked="0"/>
    </xf>
    <xf numFmtId="0" fontId="19" fillId="35" borderId="12" xfId="0" applyFont="1" applyFill="1" applyBorder="1" applyNumberFormat="1">
      <alignment horizontal="left" vertical="center" indent="1"/>
      <protection locked="0"/>
    </xf>
    <xf numFmtId="0" fontId="19" fillId="40" borderId="12" xfId="0" applyFont="1" applyFill="1" applyBorder="1" applyNumberFormat="1">
      <alignment horizontal="right" vertical="center"/>
    </xf>
    <xf numFmtId="3" fontId="19" fillId="35" borderId="12" xfId="0" applyFont="1" applyFill="1" applyBorder="1" applyNumberFormat="1">
      <alignment horizontal="right" vertical="center"/>
      <protection locked="0"/>
    </xf>
    <xf numFmtId="4" fontId="19" fillId="35" borderId="12" xfId="0" applyFont="1" applyFill="1" applyBorder="1" applyNumberFormat="1">
      <alignment horizontal="right" vertical="center"/>
      <protection locked="0"/>
    </xf>
    <xf numFmtId="49" fontId="29" fillId="36" borderId="57"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51" borderId="13" xfId="0" applyFont="1" applyFill="1" applyBorder="1" applyNumberFormat="1">
      <alignment horizontal="left" vertical="center" indent="1"/>
    </xf>
    <xf numFmtId="49" fontId="19" fillId="0" borderId="0" xfId="0" applyFont="1" applyNumberFormat="1">
      <alignment vertical="top"/>
    </xf>
    <xf numFmtId="49" fontId="19" fillId="0" borderId="17" xfId="0" applyFont="1" applyBorder="1" applyNumberFormat="1">
      <alignment horizontal="center" vertical="center" wrapText="1"/>
    </xf>
    <xf numFmtId="49" fontId="19" fillId="0" borderId="36" xfId="0" applyFont="1" applyBorder="1" applyNumberFormat="1">
      <alignment horizontal="center" vertical="center" wrapText="1"/>
    </xf>
    <xf numFmtId="0" fontId="36" fillId="0" borderId="0" xfId="0" applyFont="1" applyNumberFormat="1">
      <alignment horizontal="center" vertical="center" wrapText="1"/>
    </xf>
    <xf numFmtId="0" fontId="19" fillId="0" borderId="12" xfId="0" applyFont="1" applyBorder="1" applyNumberFormat="1">
      <alignment horizontal="left" vertical="center" wrapText="1"/>
    </xf>
    <xf numFmtId="0" fontId="37" fillId="0" borderId="0" xfId="0" applyFont="1" applyNumberFormat="1">
      <alignment horizontal="center" vertical="center" wrapText="1"/>
    </xf>
    <xf numFmtId="0" fontId="29" fillId="0" borderId="12" xfId="0" applyFont="1" applyBorder="1" applyNumberFormat="1">
      <alignment horizontal="left" vertical="center" indent="1"/>
    </xf>
    <xf numFmtId="0" fontId="36" fillId="0" borderId="0" xfId="0" applyFont="1" applyNumberFormat="1">
      <alignment horizontal="center" vertical="top"/>
    </xf>
    <xf numFmtId="49" fontId="19" fillId="0" borderId="23" xfId="0" applyFont="1" applyBorder="1" applyNumberFormat="1">
      <alignment horizontal="center" vertical="center" wrapText="1"/>
    </xf>
    <xf numFmtId="0" fontId="37" fillId="0" borderId="23" xfId="0" applyFont="1" applyBorder="1" applyNumberFormat="1">
      <alignment vertical="center" wrapText="1"/>
    </xf>
    <xf numFmtId="4" fontId="37" fillId="0" borderId="12" xfId="0" applyFont="1" applyBorder="1" applyNumberFormat="1">
      <alignment horizontal="right" vertical="center" wrapText="1"/>
    </xf>
    <xf numFmtId="2" fontId="37" fillId="0" borderId="23" xfId="0" applyFont="1" applyBorder="1" applyNumberFormat="1">
      <alignment horizontal="center" vertical="center" wrapText="1"/>
    </xf>
    <xf numFmtId="0" fontId="37" fillId="0" borderId="0" xfId="0" applyFont="1" applyNumberFormat="1">
      <alignment horizontal="center" vertical="top"/>
    </xf>
    <xf numFmtId="49" fontId="37" fillId="0" borderId="0" xfId="0" applyFont="1" applyNumberFormat="1">
      <alignment vertical="top"/>
    </xf>
    <xf numFmtId="49" fontId="37" fillId="0" borderId="14" xfId="0" applyFont="1" applyBorder="1" applyNumberFormat="1">
      <alignment horizontal="left" vertical="center"/>
    </xf>
    <xf numFmtId="49" fontId="37" fillId="0" borderId="15" xfId="0" applyFont="1" applyBorder="1" applyNumberFormat="1">
      <alignment horizontal="left" vertical="center" indent="1"/>
    </xf>
    <xf numFmtId="49" fontId="37" fillId="0" borderId="15" xfId="0" applyFont="1" applyBorder="1" applyNumberFormat="1">
      <alignment horizontal="left" vertical="center"/>
    </xf>
    <xf numFmtId="49" fontId="37" fillId="0" borderId="13" xfId="0" applyFont="1" applyBorder="1" applyNumberFormat="1">
      <alignment horizontal="left" vertical="center" indent="1"/>
    </xf>
    <xf numFmtId="0" fontId="37" fillId="0" borderId="12" xfId="0" applyFont="1" applyBorder="1" applyNumberFormat="1">
      <alignment horizontal="left" vertical="center" indent="1"/>
    </xf>
    <xf numFmtId="49" fontId="0" fillId="0" borderId="19" xfId="0" applyFont="1" applyBorder="1" applyNumberFormat="1">
      <alignment vertical="top"/>
    </xf>
    <xf numFmtId="49" fontId="25" fillId="0" borderId="17" xfId="0" applyFont="1" applyBorder="1" applyNumberFormat="1">
      <alignment horizontal="center" vertical="top" wrapText="1"/>
    </xf>
    <xf numFmtId="49" fontId="19" fillId="38"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3" borderId="12" xfId="0" applyFont="1" applyFill="1" applyBorder="1" applyNumberFormat="1">
      <alignment horizontal="right" vertical="center" wrapText="1"/>
    </xf>
    <xf numFmtId="49" fontId="19" fillId="0" borderId="36" xfId="0" applyFont="1" applyBorder="1" applyNumberFormat="1">
      <alignment horizontal="center" vertical="top" wrapText="1"/>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6" fillId="0" borderId="12" xfId="0" applyFont="1" applyBorder="1" applyNumberFormat="1">
      <alignment horizontal="right" vertical="center" wrapText="1"/>
    </xf>
    <xf numFmtId="49" fontId="0" fillId="38" borderId="12" xfId="0" applyFont="1" applyFill="1" applyBorder="1" applyNumberFormat="1">
      <alignment horizontal="left" vertical="center" wrapText="1"/>
      <protection locked="0"/>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49" fontId="19" fillId="0" borderId="23" xfId="0" applyFont="1" applyBorder="1" applyNumberFormat="1">
      <alignment horizontal="center" vertical="top" wrapText="1"/>
    </xf>
    <xf numFmtId="49" fontId="19" fillId="38"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0" xfId="0" applyFont="1" applyNumberFormat="1">
      <alignment vertical="center"/>
    </xf>
    <xf numFmtId="49" fontId="0" fillId="0" borderId="0" xfId="0" applyFont="1" applyNumberFormat="1">
      <alignment vertical="center"/>
    </xf>
    <xf numFmtId="0" fontId="25" fillId="0" borderId="0" xfId="0" applyFont="1" applyNumberFormat="1">
      <alignment horizontal="center" vertical="center" wrapText="1"/>
    </xf>
    <xf numFmtId="0" fontId="0" fillId="0" borderId="12" xfId="0" applyFont="1" applyBorder="1" applyNumberFormat="1">
      <alignment horizontal="center" vertical="center"/>
    </xf>
    <xf numFmtId="0" fontId="19" fillId="39" borderId="12" xfId="0" applyFont="1" applyFill="1" applyBorder="1" applyNumberFormat="1">
      <alignment horizontal="left" vertical="top" wrapText="1"/>
    </xf>
    <xf numFmtId="49" fontId="19" fillId="35" borderId="12" xfId="0" applyFont="1" applyFill="1" applyBorder="1" applyNumberFormat="1">
      <alignment horizontal="left" vertical="center" wrapText="1"/>
      <protection locked="0"/>
    </xf>
    <xf numFmtId="0" fontId="0" fillId="39" borderId="12"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19" fillId="0" borderId="12"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39" borderId="12" xfId="0" applyFont="1" applyFill="1" applyBorder="1" applyNumberFormat="1">
      <alignment horizontal="left" vertical="top"/>
    </xf>
    <xf numFmtId="49" fontId="0" fillId="35" borderId="12" xfId="0" applyFont="1" applyFill="1" applyBorder="1" applyNumberFormat="1">
      <alignment horizontal="left" vertical="top"/>
      <protection locked="0"/>
    </xf>
    <xf numFmtId="49" fontId="0" fillId="39" borderId="12" xfId="0" applyFont="1" applyFill="1" applyBorder="1" applyNumberFormat="1">
      <alignment horizontal="left" vertical="center" wrapText="1"/>
      <protection locked="0"/>
    </xf>
    <xf numFmtId="0" fontId="0" fillId="36" borderId="15" xfId="0" applyFont="1" applyFill="1" applyBorder="1" applyNumberFormat="1">
      <alignment vertical="center"/>
    </xf>
    <xf numFmtId="49" fontId="0" fillId="0" borderId="36" xfId="0" applyFont="1" applyBorder="1" applyNumberFormat="1">
      <alignment horizontal="left" vertical="top"/>
    </xf>
    <xf numFmtId="0" fontId="19" fillId="39" borderId="36" xfId="0" applyFont="1" applyFill="1" applyBorder="1" applyNumberFormat="1">
      <alignment horizontal="center" vertical="top" wrapText="1"/>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19" fillId="39" borderId="0" xfId="0" applyFont="1" applyFill="1" applyNumberFormat="1">
      <alignment horizontal="center" vertical="center" wrapText="1"/>
    </xf>
    <xf numFmtId="0" fontId="29" fillId="0" borderId="36" xfId="0" applyFont="1" applyBorder="1" applyNumberFormat="1">
      <alignment horizontal="left" vertical="center"/>
    </xf>
    <xf numFmtId="49" fontId="0" fillId="39" borderId="36" xfId="0" applyFont="1" applyFill="1" applyBorder="1" applyNumberFormat="1">
      <alignment horizontal="left" vertical="center" wrapText="1"/>
      <protection locked="0"/>
    </xf>
    <xf numFmtId="49" fontId="19" fillId="39" borderId="36" xfId="0" applyFont="1" applyFill="1" applyBorder="1" applyNumberFormat="1">
      <alignment horizontal="center" vertical="center" wrapText="1"/>
    </xf>
    <xf numFmtId="0" fontId="29" fillId="35" borderId="36" xfId="0" applyFont="1" applyFill="1" applyBorder="1" applyNumberFormat="1">
      <alignment horizontal="left" vertical="center"/>
      <protection locked="0"/>
    </xf>
    <xf numFmtId="0" fontId="29" fillId="38" borderId="36" xfId="0" applyFont="1" applyFill="1" applyBorder="1" applyNumberFormat="1">
      <alignment horizontal="left" vertical="center"/>
      <protection locked="0"/>
    </xf>
    <xf numFmtId="49" fontId="37" fillId="0" borderId="12" xfId="0" applyFont="1" applyBorder="1" applyNumberFormat="1">
      <alignment horizontal="center" vertical="center" wrapText="1"/>
    </xf>
    <xf numFmtId="49" fontId="37" fillId="0" borderId="14" xfId="0" applyFont="1" applyBorder="1" applyNumberFormat="1">
      <alignment horizontal="left" vertical="center" wrapText="1"/>
    </xf>
    <xf numFmtId="0" fontId="37" fillId="0" borderId="14" xfId="0" applyFont="1" applyBorder="1" applyNumberFormat="1">
      <alignment horizontal="left" vertical="center"/>
    </xf>
    <xf numFmtId="0" fontId="37" fillId="0" borderId="15" xfId="0" applyFont="1" applyBorder="1" applyNumberFormat="1">
      <alignment horizontal="left" vertical="center"/>
    </xf>
    <xf numFmtId="0" fontId="29" fillId="36" borderId="29" xfId="0" applyFont="1" applyFill="1" applyBorder="1" applyNumberFormat="1">
      <alignment horizontal="left" vertical="center"/>
    </xf>
    <xf numFmtId="49" fontId="0" fillId="0" borderId="0" xfId="0" applyFont="1" applyNumberFormat="1">
      <alignment vertical="top"/>
    </xf>
    <xf numFmtId="49" fontId="0" fillId="35" borderId="36" xfId="0" applyFont="1" applyFill="1" applyBorder="1" applyNumberFormat="1">
      <alignment vertical="top"/>
      <protection locked="0"/>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19"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19" fillId="0" borderId="36" xfId="0" applyFont="1" applyBorder="1" applyNumberFormat="1">
      <alignment horizontal="center" vertical="center"/>
    </xf>
    <xf numFmtId="49" fontId="19" fillId="0" borderId="36" xfId="0" applyFont="1" applyBorder="1" applyNumberFormat="1">
      <alignment vertical="center" wrapText="1"/>
    </xf>
    <xf numFmtId="0" fontId="19" fillId="0" borderId="24" xfId="0" applyFont="1" applyBorder="1" applyNumberFormat="1">
      <alignment horizontal="center" vertical="center"/>
    </xf>
    <xf numFmtId="49" fontId="19" fillId="0" borderId="17" xfId="0" applyFont="1" applyBorder="1" applyNumberFormat="1">
      <alignment horizontal="left" vertical="center" wrapText="1"/>
    </xf>
    <xf numFmtId="49" fontId="19" fillId="0" borderId="17" xfId="0" applyFont="1" applyBorder="1" applyNumberFormat="1">
      <alignment horizontal="left" vertical="center" wrapText="1"/>
    </xf>
    <xf numFmtId="49" fontId="25" fillId="0" borderId="36" xfId="0" applyFont="1" applyBorder="1" applyNumberFormat="1">
      <alignment vertical="center" wrapText="1"/>
    </xf>
    <xf numFmtId="0" fontId="19" fillId="39" borderId="17" xfId="0" applyFont="1" applyFill="1" applyBorder="1" applyNumberFormat="1">
      <alignment horizontal="left" vertical="center" wrapText="1"/>
    </xf>
    <xf numFmtId="49" fontId="19" fillId="0" borderId="17" xfId="0" applyFont="1" applyBorder="1" applyNumberFormat="1">
      <alignment horizontal="center" vertical="center" wrapText="1"/>
    </xf>
    <xf numFmtId="49" fontId="19" fillId="39" borderId="17" xfId="0" applyFont="1" applyFill="1" applyBorder="1" applyNumberFormat="1">
      <alignment horizontal="left" vertical="center" wrapText="1"/>
    </xf>
    <xf numFmtId="0" fontId="19" fillId="0" borderId="17" xfId="0" applyFont="1" applyBorder="1" applyNumberFormat="1">
      <alignment horizontal="left" vertical="center" wrapText="1"/>
    </xf>
    <xf numFmtId="49" fontId="19" fillId="0" borderId="17" xfId="0" applyFont="1" applyBorder="1" applyNumberFormat="1">
      <alignment horizontal="center" vertical="center" wrapText="1"/>
    </xf>
    <xf numFmtId="49" fontId="19" fillId="39" borderId="17" xfId="0" applyFont="1" applyFill="1" applyBorder="1" applyNumberFormat="1">
      <alignment vertical="center" wrapText="1"/>
    </xf>
    <xf numFmtId="0" fontId="19" fillId="0" borderId="36" xfId="0" applyFont="1" applyBorder="1" applyNumberFormat="1">
      <alignment horizontal="left" vertical="center" wrapText="1"/>
    </xf>
    <xf numFmtId="49" fontId="19" fillId="0" borderId="36" xfId="0" applyFont="1" applyBorder="1" applyNumberFormat="1">
      <alignment horizontal="left" vertical="center" wrapText="1"/>
    </xf>
    <xf numFmtId="0" fontId="19" fillId="39" borderId="36" xfId="0" applyFont="1" applyFill="1" applyBorder="1" applyNumberFormat="1">
      <alignment horizontal="left" vertical="center" wrapText="1"/>
    </xf>
    <xf numFmtId="49" fontId="19" fillId="0" borderId="36" xfId="0" applyFont="1" applyBorder="1" applyNumberFormat="1">
      <alignment horizontal="center" vertical="center" wrapText="1"/>
    </xf>
    <xf numFmtId="0" fontId="19" fillId="0" borderId="23" xfId="0" applyFont="1" applyBorder="1" applyNumberFormat="1">
      <alignment horizontal="left" vertical="center" wrapText="1"/>
    </xf>
    <xf numFmtId="0" fontId="29" fillId="0" borderId="23" xfId="0" applyFont="1" applyBorder="1" applyNumberFormat="1">
      <alignment horizontal="lef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49" fontId="19" fillId="0" borderId="36" xfId="0" applyFont="1" applyBorder="1" applyNumberFormat="1">
      <alignment horizontal="center" vertical="center" wrapText="1"/>
    </xf>
    <xf numFmtId="0" fontId="29" fillId="36" borderId="37" xfId="0" applyFont="1" applyFill="1" applyBorder="1" applyNumberFormat="1">
      <alignment horizontal="left" vertical="center"/>
    </xf>
    <xf numFmtId="0" fontId="29" fillId="36" borderId="19" xfId="0" applyFont="1" applyFill="1" applyBorder="1" applyNumberFormat="1">
      <alignment horizontal="left" vertical="center"/>
    </xf>
    <xf numFmtId="0" fontId="29" fillId="36" borderId="20" xfId="0" applyFont="1" applyFill="1" applyBorder="1" applyNumberFormat="1">
      <alignment horizontal="left" vertical="center"/>
    </xf>
    <xf numFmtId="49" fontId="19" fillId="38" borderId="17" xfId="0" applyFont="1" applyFill="1" applyBorder="1" applyNumberFormat="1">
      <alignment horizontal="left" vertical="center" wrapText="1"/>
      <protection locked="0"/>
    </xf>
    <xf numFmtId="49" fontId="25" fillId="0" borderId="36" xfId="0" applyFont="1" applyBorder="1" applyNumberFormat="1">
      <alignment horizontal="center" vertical="center" wrapText="1"/>
    </xf>
    <xf numFmtId="0" fontId="29" fillId="36" borderId="37" xfId="0" applyFont="1" applyFill="1" applyBorder="1" applyNumberFormat="1">
      <alignment vertical="center"/>
    </xf>
    <xf numFmtId="0" fontId="29" fillId="0" borderId="36" xfId="0" applyFont="1" applyBorder="1" applyNumberFormat="1">
      <alignment horizontal="left" vertical="center"/>
    </xf>
    <xf numFmtId="49" fontId="19" fillId="35" borderId="17" xfId="0" applyFont="1" applyFill="1" applyBorder="1" applyNumberFormat="1">
      <alignment horizontal="left" vertical="center" wrapText="1"/>
      <protection locked="0"/>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19" fillId="0" borderId="19" xfId="0" applyFont="1" applyBorder="1" applyNumberFormat="1">
      <alignment horizontal="lef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0" fontId="29" fillId="0" borderId="0" xfId="0" applyFont="1" applyNumberFormat="1">
      <alignment horizontal="left" vertical="center"/>
    </xf>
    <xf numFmtId="49" fontId="25" fillId="0" borderId="0" xfId="0" applyFont="1" applyNumberFormat="1">
      <alignment horizontal="center" vertical="center" wrapText="1"/>
    </xf>
    <xf numFmtId="49" fontId="19" fillId="0" borderId="0" xfId="0" applyFont="1" applyNumberFormat="1">
      <alignment horizontal="center" vertical="top"/>
    </xf>
    <xf numFmtId="49" fontId="20" fillId="46" borderId="0" xfId="0" applyFont="1" applyFill="1" applyNumberFormat="1">
      <alignment horizontal="center" vertical="center"/>
    </xf>
    <xf numFmtId="49" fontId="19" fillId="0" borderId="12" xfId="0" applyFont="1" applyBorder="1" applyNumberFormat="1">
      <alignment horizontal="center" vertical="top"/>
    </xf>
    <xf numFmtId="49" fontId="36" fillId="46" borderId="0" xfId="0" applyFont="1" applyFill="1" applyNumberFormat="1">
      <alignment horizontal="center" vertical="center" wrapText="1"/>
    </xf>
    <xf numFmtId="0" fontId="0" fillId="48" borderId="12" xfId="0" applyFont="1" applyFill="1" applyBorder="1" applyNumberFormat="1">
      <alignment horizontal="center" vertical="center"/>
    </xf>
    <xf numFmtId="49" fontId="0" fillId="0" borderId="0" xfId="0" applyFont="1" applyNumberFormat="1">
      <alignment vertical="center"/>
    </xf>
    <xf numFmtId="49" fontId="36" fillId="46" borderId="12" xfId="0" applyFont="1" applyFill="1" applyBorder="1" applyNumberFormat="1">
      <alignment horizontal="center" vertical="center"/>
    </xf>
    <xf numFmtId="49" fontId="36"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19" fillId="0" borderId="0" xfId="0" applyFont="1" applyNumberFormat="1">
      <alignment horizontal="center" vertical="top"/>
    </xf>
    <xf numFmtId="49" fontId="19" fillId="0" borderId="0" xfId="0" applyFont="1" applyNumberFormat="1">
      <alignment vertical="top"/>
    </xf>
    <xf numFmtId="0" fontId="19"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19" fillId="0" borderId="14" xfId="0" applyFont="1" applyBorder="1" applyNumberFormat="1">
      <alignment horizontal="left" vertical="center"/>
    </xf>
    <xf numFmtId="49" fontId="19" fillId="0" borderId="44" xfId="0" applyFont="1" applyBorder="1" applyNumberFormat="1">
      <alignment vertical="center"/>
    </xf>
    <xf numFmtId="49" fontId="19" fillId="0" borderId="45" xfId="0" applyFont="1" applyBorder="1" applyNumberFormat="1">
      <alignment vertical="top"/>
    </xf>
    <xf numFmtId="49" fontId="19"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19" fillId="0" borderId="13" xfId="0" applyFont="1" applyBorder="1" applyNumberFormat="1">
      <alignment vertical="center"/>
    </xf>
    <xf numFmtId="49" fontId="19" fillId="0" borderId="12" xfId="0" applyFont="1" applyBorder="1" applyNumberFormat="1">
      <alignment vertical="center"/>
    </xf>
    <xf numFmtId="0" fontId="0" fillId="0" borderId="0" xfId="0" applyFont="1" applyNumberFormat="1">
      <alignment vertical="top"/>
    </xf>
    <xf numFmtId="0" fontId="19" fillId="0" borderId="12" xfId="0" applyFont="1" applyBorder="1" applyNumberFormat="1">
      <alignment vertical="top"/>
    </xf>
    <xf numFmtId="0" fontId="0" fillId="47" borderId="0" xfId="0" applyFont="1" applyFill="1" applyNumberFormat="1">
      <alignment horizontal="right" vertical="center"/>
    </xf>
    <xf numFmtId="49" fontId="20" fillId="0" borderId="0" xfId="0" applyFont="1" applyNumberFormat="1">
      <alignment horizontal="center" vertical="center"/>
    </xf>
    <xf numFmtId="49" fontId="0" fillId="0" borderId="0" xfId="0" applyFont="1" applyNumberFormat="1">
      <alignment vertical="top"/>
    </xf>
    <xf numFmtId="49" fontId="20" fillId="46" borderId="0" xfId="0" applyFont="1" applyFill="1" applyNumberFormat="1">
      <alignment horizontal="center" vertical="center"/>
    </xf>
    <xf numFmtId="0" fontId="19" fillId="0" borderId="0" xfId="0" applyFont="1" applyNumberFormat="1">
      <alignment vertical="center"/>
    </xf>
    <xf numFmtId="0" fontId="0" fillId="47"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19" fillId="0" borderId="14" xfId="0" applyFont="1" applyBorder="1" applyNumberFormat="1">
      <alignment vertical="top"/>
    </xf>
    <xf numFmtId="0" fontId="0" fillId="47" borderId="0" xfId="0" applyFont="1" applyFill="1" applyNumberFormat="1">
      <alignment horizontal="right" vertical="center"/>
    </xf>
    <xf numFmtId="0" fontId="0" fillId="0" borderId="0" xfId="0" applyFont="1" applyNumberFormat="1">
      <alignment horizontal="left" vertical="center"/>
    </xf>
    <xf numFmtId="0" fontId="0" fillId="47" borderId="0" xfId="0" applyFont="1" applyFill="1" applyNumberFormat="1">
      <alignment horizontal="right" vertical="center"/>
    </xf>
    <xf numFmtId="0" fontId="0" fillId="47" borderId="0" xfId="0" applyFont="1" applyFill="1" applyNumberFormat="1">
      <alignment horizontal="left" vertical="center"/>
    </xf>
    <xf numFmtId="0" fontId="44" fillId="47" borderId="0" xfId="0" applyFont="1" applyFill="1" applyNumberFormat="1">
      <alignment horizontal="left" vertical="center"/>
    </xf>
    <xf numFmtId="0" fontId="0" fillId="0" borderId="0" xfId="0" applyFont="1" applyNumberFormat="1">
      <alignment vertical="center"/>
    </xf>
    <xf numFmtId="0" fontId="19" fillId="0" borderId="0" xfId="0" applyFont="1" applyNumberFormat="1">
      <alignment vertical="top"/>
    </xf>
    <xf numFmtId="0" fontId="44" fillId="0" borderId="0" xfId="0" applyFont="1" applyNumberFormat="1">
      <alignment horizontal="left" vertical="center"/>
    </xf>
    <xf numFmtId="49" fontId="0" fillId="0" borderId="14" xfId="0" applyFont="1" applyBorder="1" applyNumberFormat="1">
      <alignment vertical="top"/>
    </xf>
    <xf numFmtId="49" fontId="19" fillId="0" borderId="12" xfId="0" applyFont="1" applyBorder="1" applyNumberFormat="1">
      <alignment horizontal="right" vertical="top"/>
    </xf>
    <xf numFmtId="0" fontId="0" fillId="0" borderId="14" xfId="0" applyFont="1" applyBorder="1" applyNumberFormat="1">
      <alignment horizontal="left" vertical="center"/>
    </xf>
    <xf numFmtId="0" fontId="44" fillId="47" borderId="0" xfId="0" applyFont="1" applyFill="1" applyNumberFormat="1">
      <alignment horizontal="left" vertical="center"/>
    </xf>
    <xf numFmtId="49" fontId="19" fillId="0" borderId="17" xfId="0" applyFont="1" applyBorder="1" applyNumberFormat="1">
      <alignment horizontal="right" vertical="top"/>
    </xf>
    <xf numFmtId="0" fontId="0" fillId="0" borderId="17" xfId="0" applyFont="1" applyBorder="1" applyNumberFormat="1">
      <alignment vertical="top"/>
    </xf>
    <xf numFmtId="0" fontId="19" fillId="0" borderId="17" xfId="0" applyFont="1" applyBorder="1" applyNumberFormat="1">
      <alignment vertical="center"/>
    </xf>
    <xf numFmtId="49" fontId="19" fillId="0" borderId="31" xfId="0" applyFont="1" applyBorder="1" applyNumberFormat="1">
      <alignment horizontal="center" vertical="center"/>
    </xf>
    <xf numFmtId="49" fontId="19" fillId="0" borderId="12" xfId="0" applyFont="1" applyBorder="1" applyNumberFormat="1">
      <alignment horizontal="right" vertical="center"/>
    </xf>
    <xf numFmtId="49" fontId="19" fillId="0" borderId="12" xfId="0" applyFont="1" applyBorder="1" applyNumberFormat="1">
      <alignment vertical="top"/>
    </xf>
    <xf numFmtId="49" fontId="0" fillId="0" borderId="0" xfId="0" applyFont="1" applyNumberFormat="1">
      <alignment vertical="center"/>
    </xf>
    <xf numFmtId="0" fontId="19" fillId="47" borderId="0" xfId="0" applyFont="1" applyFill="1" applyNumberFormat="1">
      <alignment horizontal="left" vertical="center"/>
    </xf>
    <xf numFmtId="0" fontId="0" fillId="47" borderId="10" xfId="0" applyFont="1" applyFill="1" applyBorder="1" applyNumberFormat="1">
      <alignment horizontal="center"/>
    </xf>
    <xf numFmtId="49" fontId="94" fillId="0" borderId="16" xfId="0" applyFont="1" applyBorder="1" applyNumberFormat="1">
      <alignment vertical="top"/>
    </xf>
    <xf numFmtId="49" fontId="0" fillId="0" borderId="0" xfId="0" applyFont="1" applyNumberFormat="1">
      <alignment vertical="center"/>
    </xf>
    <xf numFmtId="49" fontId="34" fillId="53" borderId="0" xfId="0" applyFont="1" applyFill="1" applyNumberFormat="1">
      <alignment vertical="center" wrapText="1"/>
    </xf>
    <xf numFmtId="0" fontId="0" fillId="0" borderId="10" xfId="0" applyFont="1" applyBorder="1" applyNumberFormat="1">
      <alignment horizontal="center"/>
    </xf>
    <xf numFmtId="49" fontId="19" fillId="47" borderId="0" xfId="0" applyFont="1" applyFill="1" applyNumberFormat="1">
      <alignment horizontal="center" vertical="center"/>
    </xf>
    <xf numFmtId="49" fontId="19"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2" fillId="0" borderId="46" xfId="0" applyFont="1" applyBorder="1" applyNumberFormat="1">
      <alignment horizontal="center" vertical="center"/>
    </xf>
    <xf numFmtId="0" fontId="0" fillId="0" borderId="46" xfId="0" applyFont="1" applyBorder="1" applyNumberFormat="1">
      <alignment horizontal="center" vertical="center"/>
    </xf>
    <xf numFmtId="49" fontId="20" fillId="46" borderId="12" xfId="0" applyFont="1" applyFill="1" applyBorder="1" applyNumberFormat="1">
      <alignment horizontal="right" vertical="center"/>
    </xf>
    <xf numFmtId="49" fontId="19" fillId="35" borderId="37" xfId="0" applyFont="1" applyFill="1" applyBorder="1" applyNumberFormat="1">
      <alignment vertical="top"/>
      <protection locked="0"/>
    </xf>
    <xf numFmtId="0" fontId="19" fillId="0" borderId="12" xfId="0" applyFont="1" applyBorder="1" applyNumberFormat="1">
      <alignment vertical="top"/>
    </xf>
    <xf numFmtId="0" fontId="0" fillId="40" borderId="12" xfId="0" applyFont="1" applyFill="1" applyBorder="1" applyNumberFormat="1">
      <alignment horizontal="right" vertical="center"/>
    </xf>
    <xf numFmtId="49" fontId="19" fillId="40" borderId="23" xfId="0" applyFont="1" applyFill="1" applyBorder="1" applyNumberFormat="1">
      <alignment vertical="top"/>
    </xf>
    <xf numFmtId="49" fontId="19" fillId="40" borderId="12" xfId="0" applyFont="1" applyFill="1" applyBorder="1" applyNumberFormat="1">
      <alignment vertical="top"/>
    </xf>
    <xf numFmtId="49" fontId="19" fillId="0" borderId="14" xfId="0" applyFont="1" applyBorder="1" applyNumberFormat="1">
      <alignment horizontal="center" vertical="top"/>
    </xf>
    <xf numFmtId="49" fontId="19" fillId="0" borderId="13" xfId="0" applyFont="1" applyBorder="1" applyNumberFormat="1">
      <alignment horizontal="center" vertical="top"/>
    </xf>
    <xf numFmtId="0" fontId="19" fillId="33" borderId="30" xfId="0" applyFont="1" applyFill="1" applyBorder="1" applyNumberFormat="1">
      <alignment horizontal="center" vertical="top"/>
    </xf>
    <xf numFmtId="0" fontId="19" fillId="33"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19" fillId="0" borderId="12" xfId="0" applyFont="1" applyBorder="1" applyNumberFormat="1">
      <alignment horizontal="left" vertical="top"/>
    </xf>
    <xf numFmtId="49" fontId="19" fillId="0" borderId="0" xfId="0" applyFont="1" applyNumberFormat="1">
      <alignment horizontal="left" vertical="top"/>
    </xf>
    <xf numFmtId="0" fontId="0" fillId="0" borderId="31" xfId="0" applyFont="1" applyBorder="1" applyNumberFormat="1">
      <alignment horizontal="center" vertical="center"/>
    </xf>
    <xf numFmtId="0" fontId="0" fillId="0" borderId="33" xfId="0" applyFont="1" applyBorder="1" applyNumberFormat="1">
      <alignment horizontal="center" vertical="center"/>
    </xf>
    <xf numFmtId="49" fontId="20" fillId="46" borderId="14" xfId="0" applyFont="1" applyFill="1" applyBorder="1" applyNumberFormat="1">
      <alignment horizontal="right" vertical="center"/>
    </xf>
    <xf numFmtId="49" fontId="19"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49" fontId="19" fillId="0" borderId="0" xfId="0" applyFont="1" applyNumberFormat="1">
      <alignment vertical="center"/>
    </xf>
    <xf numFmtId="49" fontId="0" fillId="0" borderId="0" xfId="0" applyFont="1" applyNumberFormat="1">
      <alignment vertical="top"/>
    </xf>
    <xf numFmtId="49" fontId="19" fillId="0" borderId="0" xfId="0" applyFont="1" applyNumberFormat="1">
      <alignment vertical="top"/>
    </xf>
    <xf numFmtId="49" fontId="0" fillId="0" borderId="0" xfId="0" applyFont="1" applyNumberFormat="1">
      <alignment vertical="center" wrapText="1"/>
    </xf>
    <xf numFmtId="49" fontId="85" fillId="0" borderId="12" xfId="0" applyFont="1" applyBorder="1" applyNumberFormat="1">
      <alignment vertical="top" wrapText="1"/>
    </xf>
    <xf numFmtId="49" fontId="81" fillId="0" borderId="12" xfId="0" applyFont="1" applyBorder="1" applyNumberFormat="1">
      <alignment horizontal="center" vertical="top" wrapText="1"/>
    </xf>
    <xf numFmtId="49" fontId="81" fillId="40" borderId="12" xfId="0" applyFont="1" applyFill="1" applyBorder="1" applyNumberFormat="1">
      <alignment horizontal="center" vertical="top"/>
    </xf>
    <xf numFmtId="49" fontId="81" fillId="0" borderId="12" xfId="0" applyFont="1" applyBorder="1" applyNumberFormat="1">
      <alignment vertical="top" wrapText="1"/>
    </xf>
    <xf numFmtId="0" fontId="81" fillId="0" borderId="12" xfId="0" applyFont="1" applyBorder="1" applyNumberFormat="1">
      <alignment vertical="top" wrapText="1"/>
    </xf>
    <xf numFmtId="49" fontId="81" fillId="0" borderId="12" xfId="0" applyFont="1" applyBorder="1" applyNumberFormat="1">
      <alignment vertical="top"/>
    </xf>
    <xf numFmtId="49" fontId="85" fillId="0" borderId="12" xfId="0" applyFont="1" applyBorder="1" applyNumberFormat="1">
      <alignment vertical="top"/>
    </xf>
    <xf numFmtId="0" fontId="85" fillId="0" borderId="12" xfId="0" applyFont="1" applyBorder="1" applyNumberFormat="1">
      <alignment vertical="top" wrapText="1"/>
    </xf>
    <xf numFmtId="49" fontId="85" fillId="0" borderId="0" xfId="0" applyFont="1" applyNumberFormat="1">
      <alignment vertical="top" wrapText="1"/>
    </xf>
    <xf numFmtId="49" fontId="85" fillId="0" borderId="0" xfId="0" applyFont="1" applyNumberFormat="1">
      <alignment vertical="top"/>
    </xf>
    <xf numFmtId="49" fontId="85" fillId="0" borderId="0" xfId="0" applyFont="1" applyNumberFormat="1">
      <alignment horizontal="center" vertical="top" wrapText="1"/>
    </xf>
    <xf numFmtId="49" fontId="85" fillId="0" borderId="12" xfId="0" applyFont="1" applyBorder="1" applyNumberFormat="1">
      <alignment horizontal="center" vertical="top" wrapText="1"/>
    </xf>
    <xf numFmtId="49" fontId="85" fillId="0" borderId="12" xfId="0" applyFont="1" applyBorder="1" applyNumberFormat="1">
      <alignment horizontal="center" vertical="top" wrapText="1"/>
    </xf>
    <xf numFmtId="49" fontId="85" fillId="40" borderId="12" xfId="0" applyFont="1" applyFill="1" applyBorder="1" applyNumberFormat="1">
      <alignment horizontal="center" vertical="top" wrapText="1"/>
    </xf>
    <xf numFmtId="49" fontId="81" fillId="40" borderId="12" xfId="0" applyFont="1" applyFill="1" applyBorder="1" applyNumberFormat="1">
      <alignment horizontal="center" vertical="top" wrapText="1"/>
    </xf>
    <xf numFmtId="49" fontId="85" fillId="0" borderId="12" xfId="0" applyFont="1" applyBorder="1" applyNumberFormat="1">
      <alignment horizontal="left" vertical="top" wrapText="1"/>
    </xf>
    <xf numFmtId="0" fontId="81" fillId="40" borderId="12" xfId="0" applyFont="1" applyFill="1" applyBorder="1" applyNumberFormat="1">
      <alignment horizontal="center" vertical="top" wrapText="1"/>
    </xf>
    <xf numFmtId="0" fontId="85" fillId="40" borderId="12" xfId="0" applyFont="1" applyFill="1" applyBorder="1" applyNumberFormat="1">
      <alignment horizontal="right" vertical="center" wrapText="1"/>
    </xf>
    <xf numFmtId="49" fontId="85" fillId="0" borderId="14" xfId="0" applyFont="1" applyBorder="1" applyNumberFormat="1">
      <alignment horizontal="center" vertical="top" wrapText="1"/>
    </xf>
    <xf numFmtId="49" fontId="85" fillId="0" borderId="15" xfId="0" applyFont="1" applyBorder="1" applyNumberFormat="1">
      <alignment horizontal="center" vertical="top" wrapText="1"/>
    </xf>
    <xf numFmtId="49" fontId="85" fillId="0" borderId="13" xfId="0" applyFont="1" applyBorder="1" applyNumberFormat="1">
      <alignment horizontal="center" vertical="top" wrapText="1"/>
    </xf>
    <xf numFmtId="0" fontId="85" fillId="0" borderId="12" xfId="0" applyFont="1" applyBorder="1" applyNumberFormat="1">
      <alignment horizontal="left" vertical="top" wrapText="1"/>
    </xf>
    <xf numFmtId="49" fontId="85" fillId="40" borderId="12" xfId="0" applyFont="1" applyFill="1" applyBorder="1" applyNumberFormat="1">
      <alignment horizontal="left" vertical="top" wrapText="1"/>
    </xf>
    <xf numFmtId="0" fontId="85" fillId="40" borderId="12" xfId="0" applyFont="1" applyFill="1" applyBorder="1" applyNumberFormat="1">
      <alignment horizontal="center" vertical="center" wrapText="1"/>
    </xf>
    <xf numFmtId="0" fontId="85" fillId="40" borderId="12" xfId="0" applyFont="1" applyFill="1" applyBorder="1" applyNumberFormat="1">
      <alignment horizontal="center" vertical="center" wrapText="1"/>
    </xf>
    <xf numFmtId="49" fontId="85" fillId="0" borderId="17" xfId="0" applyFont="1" applyBorder="1" applyNumberFormat="1">
      <alignment horizontal="center" vertical="top" wrapText="1"/>
    </xf>
    <xf numFmtId="49" fontId="85" fillId="0" borderId="36" xfId="0" applyFont="1" applyBorder="1" applyNumberFormat="1">
      <alignment horizontal="center" vertical="top" wrapText="1"/>
    </xf>
    <xf numFmtId="49" fontId="85" fillId="0" borderId="17" xfId="0" applyFont="1" applyBorder="1" applyNumberFormat="1">
      <alignment horizontal="center" vertical="top" wrapText="1"/>
    </xf>
    <xf numFmtId="0" fontId="85" fillId="0" borderId="17" xfId="0" applyFont="1" applyBorder="1" applyNumberFormat="1">
      <alignment horizontal="left" vertical="top" wrapText="1"/>
    </xf>
    <xf numFmtId="49" fontId="85" fillId="0" borderId="37" xfId="0" applyFont="1" applyBorder="1" applyNumberFormat="1">
      <alignment horizontal="center" vertical="top" wrapText="1"/>
    </xf>
    <xf numFmtId="49" fontId="85" fillId="0" borderId="37" xfId="0" applyFont="1" applyBorder="1" applyNumberFormat="1">
      <alignment horizontal="center" vertical="top" wrapText="1"/>
    </xf>
    <xf numFmtId="0" fontId="85" fillId="0" borderId="13" xfId="0" applyFont="1" applyBorder="1" applyNumberFormat="1">
      <alignment horizontal="left" vertical="top" wrapText="1"/>
    </xf>
    <xf numFmtId="49" fontId="85" fillId="0" borderId="23" xfId="0" applyFont="1" applyBorder="1" applyNumberFormat="1">
      <alignment horizontal="center" vertical="top" wrapText="1"/>
    </xf>
    <xf numFmtId="49" fontId="85" fillId="0" borderId="30" xfId="0" applyFont="1" applyBorder="1" applyNumberFormat="1">
      <alignment horizontal="center" vertical="top" wrapText="1"/>
    </xf>
    <xf numFmtId="49" fontId="85" fillId="0" borderId="22" xfId="0" applyFont="1" applyBorder="1" applyNumberFormat="1">
      <alignment horizontal="center" vertical="top" wrapText="1"/>
    </xf>
    <xf numFmtId="0" fontId="85" fillId="0" borderId="17" xfId="0" applyFont="1" applyBorder="1" applyNumberFormat="1">
      <alignment vertical="top" wrapText="1"/>
    </xf>
    <xf numFmtId="49" fontId="81" fillId="0" borderId="12" xfId="0" applyFont="1" applyBorder="1" applyNumberFormat="1">
      <alignment horizontal="left" vertical="top" wrapText="1"/>
    </xf>
    <xf numFmtId="0" fontId="81" fillId="0" borderId="14" xfId="0" applyFont="1" applyBorder="1" applyNumberFormat="1">
      <alignment horizontal="center" vertical="center" wrapText="1"/>
    </xf>
    <xf numFmtId="0" fontId="81" fillId="0" borderId="14" xfId="0" applyFont="1" applyBorder="1" applyNumberFormat="1">
      <alignment horizontal="center" vertical="center"/>
    </xf>
    <xf numFmtId="49" fontId="81" fillId="0" borderId="12" xfId="0" applyFont="1" applyBorder="1" applyNumberFormat="1">
      <alignment horizontal="center" vertical="center" wrapText="1"/>
    </xf>
    <xf numFmtId="0" fontId="81" fillId="0" borderId="12" xfId="0" applyFont="1" applyBorder="1" applyNumberFormat="1">
      <alignment vertical="center" wrapText="1"/>
    </xf>
    <xf numFmtId="49" fontId="85" fillId="0" borderId="14" xfId="0" applyFont="1" applyBorder="1" applyNumberFormat="1">
      <alignment horizontal="left" vertical="top" wrapText="1"/>
    </xf>
    <xf numFmtId="0" fontId="81" fillId="0" borderId="12" xfId="0" applyFont="1" applyBorder="1" applyNumberFormat="1">
      <alignment horizontal="center" vertical="center" wrapText="1"/>
    </xf>
    <xf numFmtId="0" fontId="81" fillId="0" borderId="17" xfId="0" applyFont="1" applyBorder="1" applyNumberFormat="1">
      <alignment vertical="center" wrapText="1"/>
    </xf>
    <xf numFmtId="0" fontId="81" fillId="0" borderId="23" xfId="0" applyFont="1" applyBorder="1" applyNumberFormat="1">
      <alignment vertical="center" wrapText="1"/>
    </xf>
    <xf numFmtId="49" fontId="85" fillId="0" borderId="30" xfId="0" applyFont="1" applyBorder="1" applyNumberFormat="1">
      <alignment horizontal="left" vertical="top" wrapText="1"/>
    </xf>
    <xf numFmtId="49" fontId="85" fillId="0" borderId="13" xfId="0" applyFont="1" applyBorder="1" applyNumberFormat="1">
      <alignment horizontal="left" vertical="top" wrapText="1"/>
    </xf>
    <xf numFmtId="49" fontId="81" fillId="0" borderId="17" xfId="0" applyFont="1" applyBorder="1" applyNumberFormat="1">
      <alignment horizontal="center" vertical="center" wrapText="1"/>
    </xf>
    <xf numFmtId="49" fontId="81" fillId="0" borderId="23" xfId="0" applyFont="1" applyBorder="1" applyNumberFormat="1">
      <alignment horizontal="center" vertical="center" wrapText="1"/>
    </xf>
    <xf numFmtId="0" fontId="81" fillId="0" borderId="17" xfId="0" applyFont="1" applyBorder="1" applyNumberFormat="1">
      <alignment horizontal="center" vertical="center" wrapText="1"/>
    </xf>
    <xf numFmtId="49" fontId="85" fillId="0" borderId="36" xfId="0" applyFont="1" applyBorder="1" applyNumberFormat="1">
      <alignment horizontal="left" vertical="top" wrapText="1"/>
    </xf>
    <xf numFmtId="0" fontId="85" fillId="0" borderId="36" xfId="0" applyFont="1" applyBorder="1" applyNumberFormat="1">
      <alignment horizontal="left" vertical="top" wrapText="1"/>
    </xf>
    <xf numFmtId="49" fontId="85" fillId="0" borderId="0" xfId="0" applyFont="1" applyNumberFormat="1">
      <alignment horizontal="left" vertical="top" wrapText="1"/>
    </xf>
    <xf numFmtId="49" fontId="85" fillId="40" borderId="0" xfId="0" applyFont="1" applyFill="1" applyNumberFormat="1">
      <alignment horizontal="left" vertical="top" wrapText="1"/>
    </xf>
    <xf numFmtId="0" fontId="85" fillId="0" borderId="0" xfId="0" applyFont="1" applyNumberFormat="1">
      <alignment vertical="top" wrapText="1"/>
    </xf>
    <xf numFmtId="0" fontId="35" fillId="0" borderId="19" xfId="0" applyFont="1" applyBorder="1" applyNumberFormat="1">
      <alignment horizontal="left" vertical="center" wrapText="1" indent="1"/>
    </xf>
    <xf numFmtId="0" fontId="35" fillId="0" borderId="27" xfId="0" applyFont="1" applyBorder="1" applyNumberFormat="1">
      <alignment horizontal="left" vertical="center" wrapText="1" indent="1"/>
    </xf>
    <xf numFmtId="0" fontId="0" fillId="0" borderId="0" xfId="0" applyFont="1" applyNumberFormat="1">
      <alignment horizontal="left" vertical="center"/>
    </xf>
    <xf numFmtId="0" fontId="0" fillId="34" borderId="12" xfId="0" applyFont="1" applyFill="1" applyBorder="1" applyNumberFormat="1">
      <alignment horizontal="right" vertical="center" wrapText="1" indent="1"/>
    </xf>
    <xf numFmtId="0" fontId="0" fillId="0" borderId="14" xfId="0" applyFont="1" applyBorder="1" applyNumberFormat="1">
      <alignment vertical="center"/>
    </xf>
    <xf numFmtId="0" fontId="19" fillId="0" borderId="0" xfId="0" applyFont="1" applyNumberFormat="1">
      <alignment horizontal="left" vertical="center" wrapText="1"/>
    </xf>
    <xf numFmtId="0" fontId="19" fillId="0" borderId="0" xfId="0" applyFont="1" applyNumberFormat="1">
      <alignment horizontal="right"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4" fontId="19" fillId="33" borderId="12" xfId="0" applyFont="1" applyFill="1" applyBorder="1" applyNumberFormat="1">
      <alignment horizontal="left" vertical="center" wrapText="1"/>
    </xf>
    <xf numFmtId="0" fontId="19" fillId="0" borderId="0" xfId="0" applyFont="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19" fillId="39"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protection locked="0"/>
    </xf>
    <xf numFmtId="0" fontId="19" fillId="39" borderId="15" xfId="0" applyFont="1" applyFill="1" applyBorder="1" applyNumberFormat="1">
      <alignment horizontal="left" vertical="center" wrapText="1"/>
      <protection locked="0"/>
    </xf>
    <xf numFmtId="0" fontId="19" fillId="39" borderId="13" xfId="0" applyFont="1" applyFill="1" applyBorder="1" applyNumberFormat="1">
      <alignment horizontal="left" vertical="center" wrapText="1"/>
      <protection locked="0"/>
    </xf>
    <xf numFmtId="0" fontId="19" fillId="39" borderId="12" xfId="0" applyFont="1" applyFill="1" applyBorder="1" applyNumberFormat="1">
      <alignment horizontal="left" vertical="center" wrapText="1" indent="6"/>
      <protection locked="0"/>
    </xf>
    <xf numFmtId="174" fontId="0" fillId="38" borderId="12" xfId="0" applyFont="1" applyFill="1" applyBorder="1" applyNumberFormat="1">
      <alignment horizontal="center" vertical="center" wrapText="1"/>
      <protection locked="0"/>
    </xf>
    <xf numFmtId="49" fontId="19" fillId="0" borderId="12" xfId="0" applyFont="1" applyBorder="1" applyNumberFormat="1">
      <alignment horizontal="left" vertical="center" wrapText="1"/>
    </xf>
    <xf numFmtId="49" fontId="91" fillId="36" borderId="14" xfId="0" applyFont="1" applyFill="1" applyBorder="1" applyNumberFormat="1">
      <alignment horizontal="left" vertical="center"/>
    </xf>
    <xf numFmtId="49" fontId="99" fillId="36" borderId="15" xfId="0" applyFont="1" applyFill="1" applyBorder="1" applyNumberFormat="1">
      <alignment horizontal="left" vertical="center" indent="3"/>
    </xf>
    <xf numFmtId="49" fontId="63"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36" fillId="0" borderId="0" xfId="0" applyFont="1" applyNumberFormat="1">
      <alignment horizontal="left" vertical="center"/>
    </xf>
    <xf numFmtId="49" fontId="20" fillId="0" borderId="0" xfId="0" applyFont="1" applyNumberFormat="1">
      <alignment vertical="top"/>
    </xf>
    <xf numFmtId="49" fontId="0" fillId="0" borderId="24" xfId="0" applyFont="1" applyBorder="1" applyNumberFormat="1">
      <alignment vertical="top"/>
    </xf>
    <xf numFmtId="49" fontId="99" fillId="36" borderId="15" xfId="0" applyFont="1" applyFill="1" applyBorder="1" applyNumberFormat="1">
      <alignment horizontal="left" vertical="center" indent="2"/>
    </xf>
    <xf numFmtId="49" fontId="99" fillId="36" borderId="15" xfId="0" applyFont="1" applyFill="1" applyBorder="1" applyNumberFormat="1">
      <alignment horizontal="left" vertical="center" indent="1"/>
    </xf>
    <xf numFmtId="49" fontId="36" fillId="0" borderId="0" xfId="0" applyFont="1" applyNumberFormat="1">
      <alignment horizontal="left" vertical="center"/>
    </xf>
    <xf numFmtId="49" fontId="36" fillId="0" borderId="0" xfId="0" applyFont="1" applyNumberFormat="1">
      <alignment horizontal="left" vertical="top"/>
    </xf>
    <xf numFmtId="49" fontId="57" fillId="36" borderId="14" xfId="0" applyFont="1" applyFill="1" applyBorder="1" applyNumberFormat="1">
      <alignment horizontal="left" vertical="top"/>
    </xf>
    <xf numFmtId="49" fontId="99" fillId="36" borderId="15" xfId="0" applyFont="1" applyFill="1" applyBorder="1" applyNumberFormat="1">
      <alignment horizontal="left" vertical="center"/>
    </xf>
    <xf numFmtId="49" fontId="37" fillId="0" borderId="0" xfId="0" applyFont="1" applyNumberFormat="1">
      <alignment vertical="top"/>
    </xf>
    <xf numFmtId="0" fontId="19" fillId="0" borderId="0" xfId="0" applyFont="1" applyNumberFormat="1">
      <alignment horizontal="left" vertical="top" wrapText="1"/>
    </xf>
    <xf numFmtId="49" fontId="19" fillId="0" borderId="0" xfId="0" applyFont="1" applyNumberFormat="1">
      <alignment vertical="center" wrapText="1"/>
    </xf>
    <xf numFmtId="49" fontId="19" fillId="0" borderId="0" xfId="0" applyFont="1" applyNumberFormat="1">
      <alignment horizontal="left" vertical="center"/>
    </xf>
    <xf numFmtId="49" fontId="19" fillId="0" borderId="0" xfId="0" applyFont="1" applyNumberFormat="1">
      <alignment horizontal="left" vertical="center"/>
    </xf>
    <xf numFmtId="49" fontId="19" fillId="0" borderId="0" xfId="0" applyFont="1" applyNumberFormat="1">
      <alignment horizontal="left" vertical="top"/>
    </xf>
    <xf numFmtId="0" fontId="35" fillId="0" borderId="15" xfId="0" applyFont="1" applyBorder="1" applyNumberFormat="1">
      <alignment horizontal="left" vertical="center" wrapText="1" indent="1"/>
    </xf>
    <xf numFmtId="0" fontId="35" fillId="0" borderId="0" xfId="0" applyFont="1" applyNumberFormat="1">
      <alignment horizontal="center" vertical="center" wrapText="1"/>
    </xf>
    <xf numFmtId="0" fontId="0" fillId="0" borderId="0" xfId="0" applyFont="1" applyNumberFormat="1">
      <alignment horizontal="center" vertical="center"/>
    </xf>
    <xf numFmtId="0" fontId="19" fillId="33" borderId="14" xfId="0" applyFont="1" applyFill="1" applyBorder="1" applyNumberFormat="1">
      <alignment horizontal="left" vertical="center" wrapText="1" indent="1"/>
    </xf>
    <xf numFmtId="0" fontId="19" fillId="33" borderId="15" xfId="0" applyFont="1" applyFill="1" applyBorder="1" applyNumberFormat="1">
      <alignment horizontal="left" vertical="center" wrapText="1" indent="1"/>
    </xf>
    <xf numFmtId="0" fontId="19" fillId="33" borderId="13" xfId="0" applyFont="1" applyFill="1" applyBorder="1" applyNumberFormat="1">
      <alignment horizontal="left" vertical="center" wrapText="1" indent="1"/>
    </xf>
    <xf numFmtId="0" fontId="62" fillId="0" borderId="0" xfId="0" applyFont="1" applyNumberFormat="1">
      <alignment horizontal="left" vertical="center" wrapText="1"/>
    </xf>
    <xf numFmtId="0" fontId="37" fillId="0" borderId="0" xfId="0" applyFont="1" applyNumberFormat="1">
      <alignment vertical="center"/>
    </xf>
    <xf numFmtId="0" fontId="0" fillId="0" borderId="0" xfId="0" applyFont="1" applyNumberFormat="1">
      <alignment horizontal="right" vertical="center" wrapText="1" indent="1"/>
    </xf>
    <xf numFmtId="0" fontId="19" fillId="0" borderId="0" xfId="0" applyFont="1" applyNumberFormat="1">
      <alignment horizontal="left" vertical="center" wrapText="1" indent="1"/>
    </xf>
    <xf numFmtId="0" fontId="72" fillId="0" borderId="0" xfId="0" applyFont="1" applyNumberFormat="1">
      <alignment vertical="center" wrapText="1"/>
    </xf>
    <xf numFmtId="0" fontId="72" fillId="0" borderId="0" xfId="0" applyFont="1" applyNumberFormat="1">
      <alignment horizontal="center" vertical="center" wrapText="1"/>
    </xf>
    <xf numFmtId="0" fontId="19" fillId="34" borderId="12" xfId="0" applyFont="1" applyFill="1" applyBorder="1" applyNumberFormat="1">
      <alignment horizontal="center" vertical="center" wrapText="1"/>
    </xf>
    <xf numFmtId="49" fontId="29" fillId="36" borderId="12" xfId="0" applyFont="1" applyFill="1" applyBorder="1" applyNumberFormat="1">
      <alignment horizontal="center" vertical="center" textRotation="90" wrapText="1"/>
    </xf>
    <xf numFmtId="0" fontId="0" fillId="0" borderId="12" xfId="0" applyFont="1" applyBorder="1" applyNumberFormat="1">
      <alignment horizontal="center" vertical="center" wrapText="1"/>
    </xf>
    <xf numFmtId="0" fontId="24" fillId="34" borderId="0" xfId="0" applyFont="1" applyFill="1" applyNumberFormat="1">
      <alignment horizontal="center" vertical="center" wrapText="1"/>
    </xf>
    <xf numFmtId="0" fontId="24" fillId="34" borderId="0" xfId="0" applyFont="1" applyFill="1" applyNumberFormat="1">
      <alignment horizontal="center" vertical="center" wrapText="1"/>
    </xf>
    <xf numFmtId="49" fontId="37" fillId="0" borderId="0" xfId="0" applyFont="1" applyNumberFormat="1">
      <alignment vertical="center" wrapText="1"/>
    </xf>
    <xf numFmtId="0" fontId="19" fillId="0" borderId="12" xfId="0" applyFont="1" applyBorder="1" applyNumberFormat="1">
      <alignment vertical="center" wrapText="1"/>
    </xf>
    <xf numFmtId="49" fontId="37" fillId="0" borderId="0" xfId="0" applyFont="1" applyNumberFormat="1">
      <alignment vertical="center"/>
    </xf>
    <xf numFmtId="0" fontId="20" fillId="0" borderId="0" xfId="0" applyFont="1" applyNumberFormat="1">
      <alignment horizontal="center" vertical="center" wrapText="1"/>
    </xf>
    <xf numFmtId="0" fontId="25" fillId="34" borderId="0" xfId="0" applyFont="1" applyFill="1" applyNumberFormat="1">
      <alignment horizontal="center" vertical="center" wrapText="1"/>
    </xf>
    <xf numFmtId="0" fontId="25" fillId="34" borderId="0" xfId="0" applyFont="1" applyFill="1" applyNumberFormat="1">
      <alignment vertical="center" wrapText="1"/>
    </xf>
    <xf numFmtId="49" fontId="19" fillId="38" borderId="12" xfId="0" applyFont="1" applyFill="1" applyBorder="1" applyNumberFormat="1">
      <alignment horizontal="left" vertical="center" wrapText="1" indent="4"/>
      <protection locked="0"/>
    </xf>
    <xf numFmtId="49" fontId="19" fillId="0" borderId="12"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172" fontId="0" fillId="38" borderId="12" xfId="0" applyFont="1" applyFill="1" applyBorder="1" applyNumberFormat="1">
      <alignment horizontal="right" vertical="center"/>
      <protection locked="0"/>
    </xf>
    <xf numFmtId="49" fontId="19" fillId="39" borderId="12" xfId="0" applyFont="1" applyFill="1" applyBorder="1" applyNumberFormat="1">
      <alignment horizontal="center" vertical="center" wrapText="1"/>
    </xf>
    <xf numFmtId="49" fontId="0" fillId="34" borderId="12" xfId="0" applyFont="1" applyFill="1" applyBorder="1" applyNumberFormat="1">
      <alignment horizontal="center" vertical="center" wrapText="1"/>
    </xf>
    <xf numFmtId="4" fontId="0" fillId="34" borderId="14" xfId="0" applyFont="1" applyFill="1" applyBorder="1" applyNumberFormat="1">
      <alignment horizontal="right" vertical="center"/>
    </xf>
    <xf numFmtId="0" fontId="19" fillId="0" borderId="12" xfId="0" applyFont="1" applyBorder="1" applyNumberFormat="1">
      <alignment horizontal="left" vertical="center" wrapText="1"/>
    </xf>
    <xf numFmtId="49" fontId="0" fillId="0" borderId="12" xfId="0" applyFont="1" applyBorder="1" applyNumberFormat="1">
      <alignment vertical="center" wrapText="1"/>
    </xf>
    <xf numFmtId="49" fontId="19" fillId="0" borderId="12" xfId="0" applyFont="1" applyBorder="1" applyNumberFormat="1">
      <alignment vertical="center" wrapText="1"/>
    </xf>
    <xf numFmtId="0" fontId="19" fillId="0" borderId="14" xfId="0" applyFont="1" applyBorder="1" applyNumberFormat="1">
      <alignment horizontal="left" vertical="center" wrapText="1" indent="6"/>
    </xf>
    <xf numFmtId="49" fontId="60" fillId="36" borderId="14" xfId="0" applyFont="1" applyFill="1" applyBorder="1" applyNumberFormat="1">
      <alignment horizontal="center" vertical="center"/>
    </xf>
    <xf numFmtId="49" fontId="29" fillId="36" borderId="15" xfId="0" applyFont="1" applyFill="1" applyBorder="1" applyNumberFormat="1">
      <alignment horizontal="left" vertical="center" indent="2"/>
    </xf>
    <xf numFmtId="49" fontId="60" fillId="36" borderId="15" xfId="0" applyFont="1" applyFill="1" applyBorder="1" applyNumberFormat="1">
      <alignment horizontal="left" vertical="center"/>
    </xf>
    <xf numFmtId="49" fontId="0" fillId="36" borderId="15" xfId="0" applyFont="1" applyFill="1" applyBorder="1" applyNumberFormat="1">
      <alignment horizontal="center" vertical="center" wrapText="1"/>
    </xf>
    <xf numFmtId="49" fontId="19" fillId="0" borderId="0" xfId="0" applyFont="1" applyNumberFormat="1">
      <alignment vertical="top"/>
    </xf>
    <xf numFmtId="49" fontId="19" fillId="36" borderId="29" xfId="0" applyFont="1" applyFill="1" applyBorder="1" applyNumberFormat="1">
      <alignment horizontal="center" vertical="center" wrapText="1"/>
    </xf>
    <xf numFmtId="49" fontId="19" fillId="0" borderId="0" xfId="0" applyFont="1" applyNumberFormat="1">
      <alignment vertical="center"/>
    </xf>
    <xf numFmtId="49" fontId="20" fillId="0" borderId="0" xfId="0" applyFont="1" applyNumberFormat="1">
      <alignment vertical="top"/>
    </xf>
    <xf numFmtId="0" fontId="37" fillId="0" borderId="0" xfId="0" applyFont="1" applyNumberFormat="1">
      <alignment vertical="top" wrapText="1"/>
    </xf>
    <xf numFmtId="49" fontId="0"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2" borderId="17" xfId="0" applyFont="1" applyFill="1" applyBorder="1" applyNumberFormat="1">
      <alignment vertical="top"/>
    </xf>
    <xf numFmtId="49" fontId="0" fillId="0" borderId="14" xfId="0" applyFont="1" applyBorder="1" applyNumberFormat="1">
      <alignment horizontal="center" vertical="top"/>
    </xf>
    <xf numFmtId="49" fontId="0" fillId="43"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44"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4" borderId="0" xfId="0" applyFont="1" applyFill="1" applyNumberFormat="1">
      <alignment vertical="top"/>
    </xf>
    <xf numFmtId="0" fontId="0" fillId="0" borderId="0" xfId="0" applyFont="1" applyNumberFormat="1"/>
    <xf numFmtId="0" fontId="1" fillId="0" borderId="0" xfId="0" applyFont="1" applyNumberFormat="1"/>
    <xf numFmtId="0" fontId="27" fillId="0" borderId="0" xfId="0" applyFont="1" applyNumberFormat="1"/>
    <xf numFmtId="0" fontId="27" fillId="0" borderId="0" xfId="0" applyFont="1" applyNumberFormat="1"/>
    <xf numFmtId="49" fontId="19" fillId="33" borderId="10" xfId="0" applyFont="1" applyFill="1" applyBorder="1" applyNumberFormat="1">
      <alignment horizontal="center" vertical="top"/>
    </xf>
    <xf numFmtId="49" fontId="26" fillId="0" borderId="11" xfId="0" applyFont="1" applyBorder="1" applyNumberFormat="1">
      <alignment vertical="top" wrapText="1"/>
    </xf>
    <xf numFmtId="0" fontId="0" fillId="0" borderId="11" xfId="0" applyFont="1" applyBorder="1" applyNumberFormat="1">
      <alignment vertical="top" wrapText="1"/>
    </xf>
    <xf numFmtId="0" fontId="35"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39" fillId="0" borderId="11" xfId="0" applyFont="1" applyBorder="1" applyNumberFormat="1">
      <alignment vertical="center" wrapText="1"/>
    </xf>
    <xf numFmtId="0" fontId="35" fillId="0" borderId="0" xfId="0" applyFont="1" applyNumberFormat="1">
      <alignment vertical="top" wrapText="1"/>
    </xf>
    <xf numFmtId="0" fontId="19" fillId="0" borderId="11" xfId="0" applyFont="1" applyBorder="1" applyNumberFormat="1">
      <alignment vertical="center" wrapText="1"/>
    </xf>
  </cellXfs>
  <cellStyles count="47">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te" xfId="41" builtinId="10"/>
    <cellStyle name="Output" xfId="42" builtinId="21"/>
    <cellStyle name="Percent" xfId="43" builtinId="5"/>
    <cellStyle name="Title" xfId="44" builtinId="15"/>
    <cellStyle name="Total" xfId="45" builtinId="25"/>
    <cellStyle name="Warning Text" xfId="46" builtinId="1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sharedStrings" Target="sharedStrings.xml"/><Relationship Id="rId8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Relationship Id="rId3" Type="http://schemas.openxmlformats.org/officeDocument/2006/relationships/image" Target="../media/image3.jpe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 Id="rId2"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1" Type="http://schemas.openxmlformats.org/officeDocument/2006/relationships/image" Target="../media/image8.png"/></Relationships>
</file>

<file path=xl/drawings/_rels/drawing6.xml.rels><?xml version="1.0" encoding="UTF-8" standalone="yes"?>
<Relationships xmlns="http://schemas.openxmlformats.org/package/2006/relationships"><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4</xdr:row>
      <xdr:rowOff>0</xdr:rowOff>
    </xdr:from>
    <xdr:to>
      <xdr:col>8</xdr:col>
      <xdr:colOff>219075</xdr:colOff>
      <xdr:row>4</xdr:row>
      <xdr:rowOff>219075</xdr:rowOff>
    </xdr:to>
    <xdr:pic>
      <xdr:nvPicPr>
        <xdr:cNvPr id="1" name="cmdCreatePrintedForm" descr="Создание печатной формы"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31</xdr:row>
      <xdr:rowOff>0</xdr:rowOff>
    </xdr:to>
    <xdr:pic>
      <xdr:nvPicPr>
        <xdr:cNvPr id="2" name="UPDATE_PLAN1X_DATA"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twoCellAnchor editAs="oneCell">
    <xdr:from>
      <xdr:col>3</xdr:col>
      <xdr:colOff>104775</xdr:colOff>
      <xdr:row>65</xdr:row>
      <xdr:rowOff>76200</xdr:rowOff>
    </xdr:from>
    <xdr:to>
      <xdr:col>4</xdr:col>
      <xdr:colOff>312325</xdr:colOff>
      <xdr:row>65</xdr:row>
      <xdr:rowOff>400241</xdr:rowOff>
    </xdr:to>
    <xdr:pic>
      <xdr:nvPicPr>
        <xdr:cNvPr id="3" name="PHONE_PIC"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4.xml"/><Relationship Id="rId2" Type="http://schemas.openxmlformats.org/officeDocument/2006/relationships/hyperlink" Target="https://www.baikalenergo.ru/raskritii-inform/tayshet/list.php?SECTION_ID=43" TargetMode="External"/><Relationship Id="rId3" Type="http://schemas.openxmlformats.org/officeDocument/2006/relationships/hyperlink" Target="https://portal.eias.ru/Portal/DownloadPage.aspx?type=12&amp;guid=55ab0cfb-9610-4cc8-be53-6bcadaa526a6" TargetMode="External"/><Relationship Id="rId4" Type="http://schemas.openxmlformats.org/officeDocument/2006/relationships/hyperlink" Target="https://portal.eias.ru/Portal/DownloadPage.aspx?type=12&amp;guid=a2772e86-84a5-4b0c-a419-bbfb8cb678cc" TargetMode="External"/><Relationship Id="rId5" Type="http://schemas.openxmlformats.org/officeDocument/2006/relationships/hyperlink" Target="https://portal.eias.ru/Portal/DownloadPage.aspx?type=12&amp;guid=ef793a0a-84b3-4b4c-a531-2d42b4e1119b" TargetMode="External"/></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55.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57.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7B0D3E5-3A05-DD77-40C9-47408F64FD8C}"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500" width="5.421875" customWidth="1"/>
    <col min="2" max="2" style="2500" width="9.140625" customWidth="1"/>
    <col min="3" max="3" style="2500" width="16.421875" customWidth="1"/>
    <col min="4" max="25" style="2500" width="6.28125" customWidth="1"/>
    <col min="26" max="28" style="2500" width="11.00390625"/>
  </cols>
  <sheetData>
    <row customHeight="1" ht="15.75">
      <c r="A1" s="1740"/>
      <c r="B1" s="1741"/>
      <c r="C1" s="1741"/>
      <c r="D1" s="1741"/>
      <c r="E1" s="1741"/>
      <c r="F1" s="1741"/>
      <c r="G1" s="1741"/>
      <c r="H1" s="1741"/>
      <c r="I1" s="1741"/>
      <c r="J1" s="1741"/>
      <c r="K1" s="1741"/>
      <c r="L1" s="1741"/>
      <c r="M1" s="1741"/>
      <c r="N1" s="1741"/>
      <c r="O1" s="1741"/>
      <c r="P1" s="1741"/>
      <c r="Q1" s="1741"/>
      <c r="R1" s="1741"/>
      <c r="S1" s="1741"/>
      <c r="T1" s="1741"/>
      <c r="U1" s="1741"/>
      <c r="V1" s="1741"/>
      <c r="W1" s="1741"/>
      <c r="X1" s="1741"/>
      <c r="Y1" s="1742"/>
      <c r="Z1" s="1741"/>
      <c r="AA1" s="1743" t="s">
        <v>0</v>
      </c>
      <c r="AB1" s="1741"/>
    </row>
    <row customHeight="1" ht="17.25">
      <c r="A2" s="1741"/>
      <c r="B2" s="1941" t="s">
        <v>1</v>
      </c>
      <c r="C2" s="1941"/>
      <c r="D2" s="1941"/>
      <c r="E2" s="1941"/>
      <c r="F2" s="1941"/>
      <c r="G2" s="1941"/>
      <c r="H2" s="1941"/>
      <c r="I2" s="1941"/>
      <c r="J2" s="1941"/>
      <c r="K2" s="1941"/>
      <c r="L2" s="1941"/>
      <c r="M2" s="1941"/>
      <c r="N2" s="1941"/>
      <c r="O2" s="1941"/>
      <c r="P2" s="1941"/>
      <c r="Q2" s="1745"/>
      <c r="R2" s="1745"/>
      <c r="S2" s="1745"/>
      <c r="T2" s="1745"/>
      <c r="U2" s="1745"/>
      <c r="V2" s="1746"/>
      <c r="W2" s="1745"/>
      <c r="X2" s="1745"/>
      <c r="Y2" s="1742"/>
      <c r="Z2" s="1741"/>
      <c r="AA2" s="1743"/>
      <c r="AB2" s="1741"/>
    </row>
    <row customHeight="1" ht="15.75">
      <c r="A3" s="1741"/>
      <c r="B3" s="1942" t="s">
        <v>2</v>
      </c>
      <c r="C3" s="1942"/>
      <c r="D3" s="1942"/>
      <c r="E3" s="1942"/>
      <c r="F3" s="1942"/>
      <c r="G3" s="1942"/>
      <c r="H3" s="1942"/>
      <c r="I3" s="1942"/>
      <c r="J3" s="1942"/>
      <c r="K3" s="1942"/>
      <c r="L3" s="1942"/>
      <c r="M3" s="1942"/>
      <c r="N3" s="1942"/>
      <c r="O3" s="1942"/>
      <c r="P3" s="1942"/>
      <c r="Q3" s="1746"/>
      <c r="R3" s="1746"/>
      <c r="S3" s="1745"/>
      <c r="T3" s="1745"/>
      <c r="U3" s="1745"/>
      <c r="V3" s="1746"/>
      <c r="W3" s="1746"/>
      <c r="X3" s="1746"/>
      <c r="Y3" s="1746"/>
      <c r="Z3" s="1741"/>
      <c r="AA3" s="1743"/>
      <c r="AB3" s="1741"/>
    </row>
    <row customHeight="1" ht="17.25">
      <c r="A4" s="1741"/>
      <c r="B4" s="1747"/>
      <c r="C4" s="1741"/>
      <c r="D4" s="1746"/>
      <c r="E4" s="1746"/>
      <c r="F4" s="1746"/>
      <c r="G4" s="1746"/>
      <c r="H4" s="1746"/>
      <c r="I4" s="1746"/>
      <c r="J4" s="1746"/>
      <c r="K4" s="1746"/>
      <c r="L4" s="1746"/>
      <c r="M4" s="1746"/>
      <c r="N4" s="1746"/>
      <c r="O4" s="1746"/>
      <c r="P4" s="1746"/>
      <c r="Q4" s="1746"/>
      <c r="R4" s="1746"/>
      <c r="S4" s="1746"/>
      <c r="T4" s="1746"/>
      <c r="U4" s="1746"/>
      <c r="V4" s="1746"/>
      <c r="W4" s="1746"/>
      <c r="X4" s="1746"/>
      <c r="Y4" s="1746"/>
      <c r="Z4" s="1741"/>
      <c r="AA4" s="1743"/>
      <c r="AB4" s="1741"/>
    </row>
    <row customHeight="1" ht="22.5">
      <c r="A5" s="1748"/>
      <c r="B5" s="1943" t="str">
        <f>IF(TEMPLATE_SPHERE="","Информация, подлежащая раскрытию регулируемыми организациями",Титульный!E5)</f>
        <v>Показатели, подлежащие раскрытию в сфере теплоснабжения (цены и тарифы)</v>
      </c>
      <c r="C5" s="1944"/>
      <c r="D5" s="1944"/>
      <c r="E5" s="1944"/>
      <c r="F5" s="1944"/>
      <c r="G5" s="1944"/>
      <c r="H5" s="1944"/>
      <c r="I5" s="1944"/>
      <c r="J5" s="1944"/>
      <c r="K5" s="1944"/>
      <c r="L5" s="1944"/>
      <c r="M5" s="1944"/>
      <c r="N5" s="1944"/>
      <c r="O5" s="1944"/>
      <c r="P5" s="1944"/>
      <c r="Q5" s="1944"/>
      <c r="R5" s="1944"/>
      <c r="S5" s="1944"/>
      <c r="T5" s="1944"/>
      <c r="U5" s="1944"/>
      <c r="V5" s="1944"/>
      <c r="W5" s="1944"/>
      <c r="X5" s="1944"/>
      <c r="Y5" s="1945"/>
      <c r="Z5" s="1748"/>
      <c r="AA5" s="1743"/>
      <c r="AB5" s="1748"/>
    </row>
    <row customHeight="1" ht="15">
      <c r="A6" s="1749"/>
      <c r="B6" s="1933" t="s">
        <v>3</v>
      </c>
      <c r="C6" s="1936"/>
      <c r="D6" s="1750"/>
      <c r="E6" s="1750"/>
      <c r="F6" s="1750"/>
      <c r="G6" s="1750"/>
      <c r="H6" s="1750"/>
      <c r="I6" s="1750"/>
      <c r="J6" s="1750"/>
      <c r="K6" s="1750"/>
      <c r="L6" s="1750"/>
      <c r="M6" s="1750"/>
      <c r="N6" s="1750"/>
      <c r="O6" s="1750"/>
      <c r="P6" s="1750"/>
      <c r="Q6" s="1750"/>
      <c r="R6" s="1750"/>
      <c r="S6" s="1750"/>
      <c r="T6" s="1750"/>
      <c r="U6" s="1750"/>
      <c r="V6" s="1750"/>
      <c r="W6" s="1750"/>
      <c r="X6" s="1750"/>
      <c r="Y6" s="1751"/>
      <c r="Z6" s="1752"/>
      <c r="AA6" s="1753"/>
      <c r="AB6" s="1753"/>
    </row>
    <row customHeight="1" ht="15">
      <c r="A7" s="1749"/>
      <c r="B7" s="1933"/>
      <c r="C7" s="1936"/>
      <c r="D7" s="1750"/>
      <c r="E7" s="1750"/>
      <c r="F7" s="1754"/>
      <c r="G7" s="1754"/>
      <c r="H7" s="1754"/>
      <c r="I7" s="1754"/>
      <c r="J7" s="1754"/>
      <c r="K7" s="1754"/>
      <c r="L7" s="1754"/>
      <c r="M7" s="1754"/>
      <c r="N7" s="1754"/>
      <c r="O7" s="1750"/>
      <c r="P7" s="1754"/>
      <c r="Q7" s="1754"/>
      <c r="R7" s="1754"/>
      <c r="S7" s="1754"/>
      <c r="T7" s="1754"/>
      <c r="U7" s="1754"/>
      <c r="V7" s="1754"/>
      <c r="W7" s="1754"/>
      <c r="X7" s="1754"/>
      <c r="Y7" s="1751"/>
      <c r="Z7" s="1752"/>
      <c r="AA7" s="1753"/>
      <c r="AB7" s="1753"/>
    </row>
    <row customHeight="1" ht="15">
      <c r="A8" s="1749"/>
      <c r="B8" s="1933"/>
      <c r="C8" s="1936"/>
      <c r="D8" s="1755"/>
      <c r="E8" s="1756" t="s">
        <v>4</v>
      </c>
      <c r="F8" s="1946" t="s">
        <v>5</v>
      </c>
      <c r="G8" s="1935"/>
      <c r="H8" s="1935"/>
      <c r="I8" s="1935"/>
      <c r="J8" s="1935"/>
      <c r="K8" s="1935"/>
      <c r="L8" s="1935"/>
      <c r="M8" s="1935"/>
      <c r="N8" s="1755"/>
      <c r="O8" s="1757" t="s">
        <v>4</v>
      </c>
      <c r="P8" s="1947" t="s">
        <v>6</v>
      </c>
      <c r="Q8" s="1948"/>
      <c r="R8" s="1948"/>
      <c r="S8" s="1948"/>
      <c r="T8" s="1948"/>
      <c r="U8" s="1948"/>
      <c r="V8" s="1948"/>
      <c r="W8" s="1948"/>
      <c r="X8" s="1948"/>
      <c r="Y8" s="1751"/>
      <c r="Z8" s="1752"/>
      <c r="AA8" s="1753"/>
      <c r="AB8" s="1753"/>
    </row>
    <row customHeight="1" ht="15">
      <c r="A9" s="1749"/>
      <c r="B9" s="1933"/>
      <c r="C9" s="1936"/>
      <c r="D9" s="1755"/>
      <c r="E9" s="1758" t="s">
        <v>4</v>
      </c>
      <c r="F9" s="1946" t="s">
        <v>7</v>
      </c>
      <c r="G9" s="1935"/>
      <c r="H9" s="1935"/>
      <c r="I9" s="1935"/>
      <c r="J9" s="1935"/>
      <c r="K9" s="1935"/>
      <c r="L9" s="1935"/>
      <c r="M9" s="1935"/>
      <c r="N9" s="1755"/>
      <c r="O9" s="1759" t="s">
        <v>4</v>
      </c>
      <c r="P9" s="1947" t="s">
        <v>8</v>
      </c>
      <c r="Q9" s="1948"/>
      <c r="R9" s="1948"/>
      <c r="S9" s="1948"/>
      <c r="T9" s="1948"/>
      <c r="U9" s="1948"/>
      <c r="V9" s="1948"/>
      <c r="W9" s="1948"/>
      <c r="X9" s="1948"/>
      <c r="Y9" s="1751"/>
      <c r="Z9" s="1752"/>
      <c r="AA9" s="1753"/>
      <c r="AB9" s="1753"/>
    </row>
    <row customHeight="1" ht="30">
      <c r="A10" s="1749"/>
      <c r="B10" s="1933"/>
      <c r="C10" s="1934"/>
      <c r="D10" s="1760"/>
      <c r="E10" s="1761"/>
      <c r="F10" s="1754"/>
      <c r="G10" s="1754"/>
      <c r="H10" s="1754"/>
      <c r="I10" s="1754"/>
      <c r="J10" s="1754"/>
      <c r="K10" s="1754"/>
      <c r="L10" s="1754"/>
      <c r="M10" s="1754"/>
      <c r="N10" s="1754"/>
      <c r="O10" s="1761"/>
      <c r="P10" s="1754"/>
      <c r="Q10" s="1754"/>
      <c r="R10" s="1754"/>
      <c r="S10" s="1754"/>
      <c r="T10" s="1754"/>
      <c r="U10" s="1754"/>
      <c r="V10" s="1754"/>
      <c r="W10" s="1754"/>
      <c r="X10" s="1754"/>
      <c r="Y10" s="1751"/>
      <c r="Z10" s="1752"/>
      <c r="AA10" s="1753"/>
      <c r="AB10" s="1753"/>
    </row>
    <row customHeight="1" ht="19.5">
      <c r="A11" s="1749"/>
      <c r="B11" s="1931" t="s">
        <v>9</v>
      </c>
      <c r="C11" s="1932"/>
      <c r="D11" s="1755"/>
      <c r="E11" s="1762"/>
      <c r="F11" s="1762"/>
      <c r="G11" s="1762"/>
      <c r="H11" s="1762"/>
      <c r="I11" s="1762"/>
      <c r="J11" s="1762"/>
      <c r="K11" s="1762"/>
      <c r="L11" s="1762"/>
      <c r="M11" s="1762"/>
      <c r="N11" s="1762"/>
      <c r="O11" s="1762"/>
      <c r="P11" s="1762"/>
      <c r="Q11" s="1762"/>
      <c r="R11" s="1762"/>
      <c r="S11" s="1762"/>
      <c r="T11" s="1762"/>
      <c r="U11" s="1762"/>
      <c r="V11" s="1762"/>
      <c r="W11" s="1762"/>
      <c r="X11" s="1762"/>
      <c r="Y11" s="1751"/>
      <c r="Z11" s="1752"/>
      <c r="AA11" s="1753"/>
      <c r="AB11" s="1753"/>
    </row>
    <row customHeight="1" ht="69">
      <c r="A12" s="1749"/>
      <c r="B12" s="1933"/>
      <c r="C12" s="1934"/>
      <c r="D12" s="1763"/>
      <c r="E12" s="1935" t="s">
        <v>10</v>
      </c>
      <c r="F12" s="1935"/>
      <c r="G12" s="1935"/>
      <c r="H12" s="1935"/>
      <c r="I12" s="1935"/>
      <c r="J12" s="1935"/>
      <c r="K12" s="1935"/>
      <c r="L12" s="1935"/>
      <c r="M12" s="1935"/>
      <c r="N12" s="1935"/>
      <c r="O12" s="1935"/>
      <c r="P12" s="1935"/>
      <c r="Q12" s="1935"/>
      <c r="R12" s="1935"/>
      <c r="S12" s="1935"/>
      <c r="T12" s="1935"/>
      <c r="U12" s="1935"/>
      <c r="V12" s="1935"/>
      <c r="W12" s="1935"/>
      <c r="X12" s="1935"/>
      <c r="Y12" s="1751"/>
      <c r="Z12" s="1752"/>
      <c r="AA12" s="1753"/>
      <c r="AB12" s="1753"/>
    </row>
    <row customHeight="1" ht="15">
      <c r="A13" s="1749"/>
      <c r="B13" s="1931" t="s">
        <v>11</v>
      </c>
      <c r="C13" s="1932"/>
      <c r="D13" s="1750"/>
      <c r="E13" s="1762"/>
      <c r="F13" s="1762"/>
      <c r="G13" s="1762"/>
      <c r="H13" s="1762"/>
      <c r="I13" s="1762"/>
      <c r="J13" s="1762"/>
      <c r="K13" s="1762"/>
      <c r="L13" s="1762"/>
      <c r="M13" s="1762"/>
      <c r="N13" s="1762"/>
      <c r="O13" s="1762"/>
      <c r="P13" s="1762"/>
      <c r="Q13" s="1762"/>
      <c r="R13" s="1762"/>
      <c r="S13" s="1762"/>
      <c r="T13" s="1762"/>
      <c r="U13" s="1762"/>
      <c r="V13" s="1762"/>
      <c r="W13" s="1762"/>
      <c r="X13" s="1762"/>
      <c r="Y13" s="1751"/>
      <c r="Z13" s="1752"/>
      <c r="AA13" s="1753"/>
      <c r="AB13" s="1753"/>
    </row>
    <row customHeight="1" ht="57">
      <c r="A14" s="1749"/>
      <c r="B14" s="1933"/>
      <c r="C14" s="1936"/>
      <c r="D14" s="1755"/>
      <c r="E14" s="1939" t="s">
        <v>12</v>
      </c>
      <c r="F14" s="1939"/>
      <c r="G14" s="1939"/>
      <c r="H14" s="1939"/>
      <c r="I14" s="1939"/>
      <c r="J14" s="1939"/>
      <c r="K14" s="1939"/>
      <c r="L14" s="1939"/>
      <c r="M14" s="1939"/>
      <c r="N14" s="1939"/>
      <c r="O14" s="1939"/>
      <c r="P14" s="1939"/>
      <c r="Q14" s="1939"/>
      <c r="R14" s="1939"/>
      <c r="S14" s="1939"/>
      <c r="T14" s="1939"/>
      <c r="U14" s="1939"/>
      <c r="V14" s="1939"/>
      <c r="W14" s="1939"/>
      <c r="X14" s="1939"/>
      <c r="Y14" s="1751"/>
      <c r="Z14" s="1752"/>
      <c r="AA14" s="1753"/>
      <c r="AB14" s="1753"/>
    </row>
    <row customHeight="1" ht="16.5">
      <c r="A15" s="1749"/>
      <c r="B15" s="1937"/>
      <c r="C15" s="1938"/>
      <c r="D15" s="1764"/>
      <c r="E15" s="1765"/>
      <c r="F15" s="1765"/>
      <c r="G15" s="1765"/>
      <c r="H15" s="1765"/>
      <c r="I15" s="1765"/>
      <c r="J15" s="1765"/>
      <c r="K15" s="1765"/>
      <c r="L15" s="1765"/>
      <c r="M15" s="1765"/>
      <c r="N15" s="1765"/>
      <c r="O15" s="1765"/>
      <c r="P15" s="1765"/>
      <c r="Q15" s="1765"/>
      <c r="R15" s="1765"/>
      <c r="S15" s="1765"/>
      <c r="T15" s="1765"/>
      <c r="U15" s="1765"/>
      <c r="V15" s="1765"/>
      <c r="W15" s="1765"/>
      <c r="X15" s="1765"/>
      <c r="Y15" s="1766"/>
      <c r="Z15" s="1752"/>
      <c r="AA15" s="1767"/>
      <c r="AB15" s="1753"/>
    </row>
    <row customHeight="1" ht="95.25">
      <c r="A16" s="1741"/>
      <c r="B16" s="1939"/>
      <c r="C16" s="1940"/>
      <c r="D16" s="1940"/>
      <c r="E16" s="1940"/>
      <c r="F16" s="1940"/>
      <c r="G16" s="1940"/>
      <c r="H16" s="1940"/>
      <c r="I16" s="1940"/>
      <c r="J16" s="1940"/>
      <c r="K16" s="1940"/>
      <c r="L16" s="1940"/>
      <c r="M16" s="1940"/>
      <c r="N16" s="1940"/>
      <c r="O16" s="1940"/>
      <c r="P16" s="1940"/>
      <c r="Q16" s="1940"/>
      <c r="R16" s="1940"/>
      <c r="S16" s="1940"/>
      <c r="T16" s="1940"/>
      <c r="U16" s="1940"/>
      <c r="V16" s="1940"/>
      <c r="W16" s="1940"/>
      <c r="X16" s="1940"/>
      <c r="Y16" s="1940"/>
      <c r="Z16" s="1741"/>
      <c r="AA16" s="1743"/>
      <c r="AB16" s="1741"/>
    </row>
    <row customHeight="1" ht="14.25">
      <c r="A17" s="1741"/>
      <c r="B17" s="1741"/>
      <c r="C17" s="1741"/>
      <c r="D17" s="1741"/>
      <c r="E17" s="1741"/>
      <c r="F17" s="1741"/>
      <c r="G17" s="1741"/>
      <c r="H17" s="1741"/>
      <c r="I17" s="1741"/>
      <c r="J17" s="1741"/>
      <c r="K17" s="1741"/>
      <c r="L17" s="1741"/>
      <c r="M17" s="1741"/>
      <c r="N17" s="1741"/>
      <c r="O17" s="1741"/>
      <c r="P17" s="1741"/>
      <c r="Q17" s="1741"/>
      <c r="R17" s="1741"/>
      <c r="S17" s="1741"/>
      <c r="T17" s="1741"/>
      <c r="U17" s="1741"/>
      <c r="V17" s="1741"/>
      <c r="W17" s="1741"/>
      <c r="X17" s="1741"/>
      <c r="Y17" s="1742"/>
      <c r="Z17" s="1741"/>
      <c r="AA17" s="1743"/>
      <c r="AB17" s="1741"/>
    </row>
    <row customHeight="1" ht="14.25">
      <c r="A18" s="1741"/>
      <c r="B18" s="1741"/>
      <c r="C18" s="1741"/>
      <c r="D18" s="1741"/>
      <c r="E18" s="1741"/>
      <c r="F18" s="1741"/>
      <c r="G18" s="1741"/>
      <c r="H18" s="1741"/>
      <c r="I18" s="1741"/>
      <c r="J18" s="1741"/>
      <c r="K18" s="1741"/>
      <c r="L18" s="1741"/>
      <c r="M18" s="1741"/>
      <c r="N18" s="1741"/>
      <c r="O18" s="1741"/>
      <c r="P18" s="1741"/>
      <c r="Q18" s="1741"/>
      <c r="R18" s="1741"/>
      <c r="S18" s="1741"/>
      <c r="T18" s="1741"/>
      <c r="U18" s="1741"/>
      <c r="V18" s="1741"/>
      <c r="W18" s="1741"/>
      <c r="X18" s="1741"/>
      <c r="Y18" s="1742"/>
      <c r="Z18" s="1741"/>
      <c r="AA18" s="1743"/>
      <c r="AB18" s="1741"/>
    </row>
    <row customHeight="1" ht="14.25">
      <c r="A19" s="1741"/>
      <c r="B19" s="1741"/>
      <c r="C19" s="1741"/>
      <c r="D19" s="1741"/>
      <c r="E19" s="1741"/>
      <c r="F19" s="1741"/>
      <c r="G19" s="1741"/>
      <c r="H19" s="1741"/>
      <c r="I19" s="1741"/>
      <c r="J19" s="1741"/>
      <c r="K19" s="1741"/>
      <c r="L19" s="1741"/>
      <c r="M19" s="1741"/>
      <c r="N19" s="1741"/>
      <c r="O19" s="1741"/>
      <c r="P19" s="1741"/>
      <c r="Q19" s="1741"/>
      <c r="R19" s="1741"/>
      <c r="S19" s="1741"/>
      <c r="T19" s="1741"/>
      <c r="U19" s="1741"/>
      <c r="V19" s="1741"/>
      <c r="W19" s="1741"/>
      <c r="X19" s="1741"/>
      <c r="Y19" s="1742"/>
      <c r="Z19" s="1741"/>
      <c r="AA19" s="1743"/>
      <c r="AB19" s="1741"/>
    </row>
    <row customHeight="1" ht="14.25">
      <c r="A20" s="1741"/>
      <c r="B20" s="1741"/>
      <c r="C20" s="1741"/>
      <c r="D20" s="1741"/>
      <c r="E20" s="1741"/>
      <c r="F20" s="1741"/>
      <c r="G20" s="1741"/>
      <c r="H20" s="1741"/>
      <c r="I20" s="1741"/>
      <c r="J20" s="1741"/>
      <c r="K20" s="1741"/>
      <c r="L20" s="1741"/>
      <c r="M20" s="1741"/>
      <c r="N20" s="1741"/>
      <c r="O20" s="1741"/>
      <c r="P20" s="1741"/>
      <c r="Q20" s="1741"/>
      <c r="R20" s="1741"/>
      <c r="S20" s="1741"/>
      <c r="T20" s="1741"/>
      <c r="U20" s="1741"/>
      <c r="V20" s="1741"/>
      <c r="W20" s="1741"/>
      <c r="X20" s="1741"/>
      <c r="Y20" s="1742"/>
      <c r="Z20" s="1741"/>
      <c r="AA20" s="1743"/>
      <c r="AB20" s="1741"/>
    </row>
    <row customHeight="1" ht="14.25">
      <c r="A21" s="1741"/>
      <c r="B21" s="1741"/>
      <c r="C21" s="1741"/>
      <c r="D21" s="1741"/>
      <c r="E21" s="1741"/>
      <c r="F21" s="1741"/>
      <c r="G21" s="1741"/>
      <c r="H21" s="1741"/>
      <c r="I21" s="1741"/>
      <c r="J21" s="1741"/>
      <c r="K21" s="1741"/>
      <c r="L21" s="1741"/>
      <c r="M21" s="1741"/>
      <c r="N21" s="1741"/>
      <c r="O21" s="1741"/>
      <c r="P21" s="1741"/>
      <c r="Q21" s="1741"/>
      <c r="R21" s="1741"/>
      <c r="S21" s="1741"/>
      <c r="T21" s="1741"/>
      <c r="U21" s="1741"/>
      <c r="V21" s="1741"/>
      <c r="W21" s="1741"/>
      <c r="X21" s="1741"/>
      <c r="Y21" s="1742"/>
      <c r="Z21" s="1741"/>
      <c r="AA21" s="1743"/>
      <c r="AB21" s="1741"/>
    </row>
  </sheetData>
  <sheetProtection formatColumns="0" formatRows="0" sort="0" autoFilter="0" insertRows="0" insertColumns="1" deleteRows="0" deleteColumns="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157428EE-28C7-B1B4-B821-765FBEC4894E}" mc:Ignorable="x14ac xr xr2 xr3">
  <sheetPr>
    <tabColor rgb="FFCCCCFF"/>
  </sheetPr>
  <dimension ref="A1:P78"/>
  <sheetViews>
    <sheetView topLeftCell="A1" showGridLines="0" zoomScale="90" workbookViewId="0">
      <selection activeCell="K23" sqref="K23"/>
    </sheetView>
  </sheetViews>
  <sheetFormatPr defaultColWidth="9.140625" customHeight="1" defaultRowHeight="11.25"/>
  <cols>
    <col min="1" max="1" style="2517" width="10.7109375" hidden="1" customWidth="1"/>
    <col min="2" max="2" style="2507" width="10.7109375" hidden="1" customWidth="1"/>
    <col min="3" max="3" style="2607" width="3.7109375" customWidth="1"/>
    <col min="4" max="4" style="2608" width="1.7109375" customWidth="1"/>
    <col min="5" max="5" style="2608" width="55.28125" customWidth="1"/>
    <col min="6" max="6" style="2608" width="50.7109375" customWidth="1"/>
    <col min="7" max="7" style="2523" width="1.7109375" customWidth="1"/>
    <col min="8" max="8" style="2524" width="18.00390625" hidden="1" customWidth="1"/>
    <col min="9" max="9" style="2504" width="9.57421875" customWidth="1"/>
    <col min="10" max="10" style="2544" width="52.140625" hidden="1" customWidth="1"/>
    <col min="11" max="11" style="2608" width="9.140625"/>
    <col min="12" max="12" style="2608" width="78.00390625" customWidth="1"/>
    <col min="13" max="16" style="2608" width="9.140625"/>
  </cols>
  <sheetData>
    <row s="2501" customFormat="1" customHeight="1" ht="3">
      <c r="A1" s="789"/>
      <c r="B1" s="227"/>
      <c r="F1" s="228">
        <v>26354809</v>
      </c>
      <c r="G1" s="417"/>
      <c r="H1" s="56"/>
      <c r="I1" s="417"/>
      <c r="J1" s="877"/>
    </row>
    <row s="2505" customFormat="1" customHeight="1" ht="14.25">
      <c r="A2" s="789"/>
      <c r="B2" s="84"/>
      <c r="E2" s="1780" t="str">
        <f>code</f>
        <v>Код отчёта: PP110.OPEN.INFO.PRICE.HEAT.EIAS</v>
      </c>
      <c r="F2" s="255"/>
      <c r="G2" s="231"/>
      <c r="H2" s="231"/>
      <c r="I2" s="231"/>
      <c r="J2" s="878"/>
      <c r="K2" s="231"/>
    </row>
    <row customHeight="1" ht="14.25">
      <c r="E3" s="232" t="str">
        <f>version</f>
        <v>Версия отчёта: 1.0.5</v>
      </c>
      <c r="F3" s="255"/>
      <c r="G3" s="776"/>
      <c r="H3" s="776"/>
      <c r="I3" s="776"/>
      <c r="J3" s="879"/>
      <c r="K3" s="73"/>
    </row>
    <row s="2516" customFormat="1" customHeight="1" ht="6">
      <c r="A4" s="790"/>
      <c r="B4" s="218"/>
      <c r="C4" s="219"/>
      <c r="D4" s="220"/>
      <c r="E4" s="229"/>
      <c r="F4" s="230"/>
      <c r="G4" s="777"/>
      <c r="H4" s="415"/>
      <c r="I4" s="417"/>
      <c r="J4" s="880"/>
    </row>
    <row customHeight="1" ht="37.5">
      <c r="D5" s="60"/>
      <c r="E5" s="1949" t="str">
        <f>NameTemplatesInTitle</f>
        <v>Показатели, подлежащие раскрытию в сфере теплоснабжения (цены и тарифы)</v>
      </c>
      <c r="F5" s="1950"/>
      <c r="G5" s="778"/>
      <c r="J5" s="881"/>
    </row>
    <row s="2516" customFormat="1" customHeight="1" ht="6">
      <c r="A6" s="790"/>
      <c r="B6" s="218"/>
      <c r="C6" s="219"/>
      <c r="D6" s="220"/>
      <c r="E6" s="223"/>
      <c r="F6" s="224"/>
      <c r="G6" s="778"/>
      <c r="H6" s="415"/>
      <c r="I6" s="417"/>
      <c r="J6" s="880"/>
    </row>
    <row customHeight="1" ht="19.5">
      <c r="D7" s="60"/>
      <c r="E7" s="397" t="s">
        <v>13</v>
      </c>
      <c r="F7" s="201" t="s">
        <v>14</v>
      </c>
      <c r="G7" s="778"/>
    </row>
    <row s="2516" customFormat="1" customHeight="1" ht="6">
      <c r="A8" s="791"/>
      <c r="B8" s="218"/>
      <c r="C8" s="219"/>
      <c r="D8" s="225"/>
      <c r="E8" s="223"/>
      <c r="F8" s="226"/>
      <c r="G8" s="62"/>
      <c r="H8" s="415"/>
      <c r="I8" s="417"/>
      <c r="J8" s="883"/>
    </row>
    <row s="2524" customFormat="1" customHeight="1" ht="19.5" hidden="1">
      <c r="A9" s="790"/>
      <c r="B9" s="84"/>
      <c r="C9" s="414"/>
      <c r="D9" s="416"/>
      <c r="E9" s="1173" t="s">
        <v>15</v>
      </c>
      <c r="F9" s="1159"/>
      <c r="G9" s="778"/>
      <c r="I9" s="417"/>
      <c r="J9" s="882"/>
    </row>
    <row s="2545" customFormat="1" customHeight="1" ht="6">
      <c r="A10" s="791"/>
      <c r="B10" s="432"/>
      <c r="C10" s="433"/>
      <c r="D10" s="225"/>
      <c r="E10" s="223"/>
      <c r="F10" s="226"/>
      <c r="G10" s="62"/>
      <c r="H10" s="415"/>
      <c r="I10" s="417"/>
      <c r="J10" s="883"/>
    </row>
    <row customHeight="1" ht="22.5">
      <c r="A11" s="1952" t="s">
        <v>16</v>
      </c>
      <c r="D11" s="60"/>
      <c r="E11" s="1173" t="s">
        <v>17</v>
      </c>
      <c r="F11" s="2549">
        <v>44562.54226851852</v>
      </c>
      <c r="G11" s="62"/>
      <c r="H11" s="779" t="s">
        <v>18</v>
      </c>
      <c r="J11" s="882" t="s">
        <v>19</v>
      </c>
    </row>
    <row customHeight="1" ht="22.5">
      <c r="A12" s="1952"/>
      <c r="D12" s="60"/>
      <c r="E12" s="1173" t="s">
        <v>20</v>
      </c>
      <c r="F12" s="2549">
        <v>46387.54263888889</v>
      </c>
      <c r="G12" s="58"/>
      <c r="J12" s="882" t="s">
        <v>21</v>
      </c>
    </row>
    <row s="2524" customFormat="1" customHeight="1" ht="22.5" hidden="1">
      <c r="A13" s="794" t="s">
        <v>22</v>
      </c>
      <c r="B13" s="84"/>
      <c r="C13" s="414"/>
      <c r="D13" s="416"/>
      <c r="E13" s="1816" t="s">
        <v>23</v>
      </c>
      <c r="F13" s="1772" t="s">
        <v>24</v>
      </c>
      <c r="G13" s="62"/>
      <c r="H13" s="776"/>
      <c r="I13" s="417"/>
      <c r="J13" s="1817" t="s">
        <v>25</v>
      </c>
    </row>
    <row s="2524" customFormat="1" customHeight="1" ht="27" hidden="1">
      <c r="A14" s="794" t="s">
        <v>26</v>
      </c>
      <c r="B14" s="84"/>
      <c r="C14" s="414"/>
      <c r="D14" s="416"/>
      <c r="E14" s="1173" t="s">
        <v>27</v>
      </c>
      <c r="F14" s="1808"/>
      <c r="G14" s="62"/>
      <c r="H14" s="776"/>
      <c r="I14" s="417"/>
      <c r="J14" s="882" t="s">
        <v>28</v>
      </c>
    </row>
    <row s="2524" customFormat="1" customHeight="1" ht="19.5" hidden="1">
      <c r="A15" s="794" t="s">
        <v>29</v>
      </c>
      <c r="B15" s="84"/>
      <c r="C15" s="414"/>
      <c r="D15" s="416"/>
      <c r="E15" s="1173" t="s">
        <v>30</v>
      </c>
      <c r="F15" s="1808"/>
      <c r="G15" s="62"/>
      <c r="H15" s="776"/>
      <c r="I15" s="417"/>
      <c r="J15" s="882" t="s">
        <v>31</v>
      </c>
    </row>
    <row s="2516" customFormat="1" customHeight="1" ht="6">
      <c r="A16" s="791"/>
      <c r="B16" s="218"/>
      <c r="C16" s="219"/>
      <c r="D16" s="225"/>
      <c r="E16" s="223"/>
      <c r="F16" s="226"/>
      <c r="G16" s="62"/>
      <c r="H16" s="415"/>
      <c r="I16" s="417"/>
      <c r="J16" s="880"/>
    </row>
    <row customHeight="1" ht="19.5">
      <c r="D17" s="60"/>
      <c r="E17" s="397" t="s">
        <v>32</v>
      </c>
      <c r="F17" s="2557" t="s">
        <v>33</v>
      </c>
      <c r="G17" s="58"/>
      <c r="H17" s="779" t="s">
        <v>18</v>
      </c>
    </row>
    <row customHeight="1" ht="25.5">
      <c r="D18" s="60"/>
      <c r="E18" s="1816" t="s">
        <v>34</v>
      </c>
      <c r="F18" s="2558">
        <v>45280.56082175926</v>
      </c>
      <c r="G18" s="58"/>
      <c r="I18" s="780"/>
      <c r="J18" s="1951" t="s">
        <v>35</v>
      </c>
    </row>
    <row customHeight="1" ht="25.5">
      <c r="D19" s="60"/>
      <c r="E19" s="1173" t="str">
        <f>"Дата периода регулирования, с которой "&amp;IF(TEMPLATE_GROUP="P","вводятся","предлагаются")&amp;" изменения в тарифы"</f>
        <v>Дата периода регулирования, с которой вводятся изменения в тарифы</v>
      </c>
      <c r="F19" s="2558">
        <v>45474.560960648145</v>
      </c>
      <c r="G19" s="58"/>
      <c r="I19" s="780"/>
      <c r="J19" s="1951"/>
    </row>
    <row customHeight="1" ht="22.5">
      <c r="D20" s="60"/>
      <c r="E20" s="61"/>
      <c r="F20" s="256" t="str">
        <f>"Первичное "&amp;IF(TEMPLATE_GROUP="P","установление тарифов","предложение по тарифам")</f>
        <v>Первичное установление тарифов</v>
      </c>
      <c r="G20" s="58"/>
      <c r="I20" s="400"/>
      <c r="J20" s="881" t="s">
        <v>36</v>
      </c>
    </row>
    <row customHeight="1" ht="19.5">
      <c r="D21" s="60"/>
      <c r="E21" s="397" t="str">
        <f>"Дата "&amp;IF(TEMPLATE_GROUP="P","документа","подачи заявления")&amp;" об утверждении тарифов"</f>
        <v>Дата документа об утверждении тарифов</v>
      </c>
      <c r="F21" s="2549">
        <v>44550.547476851854</v>
      </c>
      <c r="G21" s="58"/>
      <c r="I21" s="781"/>
    </row>
    <row customHeight="1" ht="19.5">
      <c r="D22" s="60"/>
      <c r="E22" s="397" t="str">
        <f>"Номер "&amp;IF(TEMPLATE_GROUP="P","документа","подачи заявления")&amp;" об утверждении тарифов"</f>
        <v>Номер документа об утверждении тарифов</v>
      </c>
      <c r="F22" s="202" t="s">
        <v>37</v>
      </c>
      <c r="G22" s="58"/>
      <c r="I22" s="781"/>
    </row>
    <row customHeight="1" ht="22.5">
      <c r="D23" s="60"/>
      <c r="E23" s="397" t="s">
        <v>38</v>
      </c>
      <c r="F23" s="202" t="s">
        <v>39</v>
      </c>
      <c r="G23" s="58"/>
    </row>
    <row customHeight="1" ht="19.5">
      <c r="D24" s="60"/>
      <c r="E24" s="397" t="s">
        <v>40</v>
      </c>
      <c r="F24" s="202" t="s">
        <v>41</v>
      </c>
      <c r="G24" s="58"/>
    </row>
    <row customHeight="1" ht="22.5">
      <c r="D25" s="60"/>
      <c r="E25" s="61"/>
      <c r="F25" s="256" t="str">
        <f>"Изменение "&amp;IF(TEMPLATE_GROUP="P","тарифов","предложения по тарифам")</f>
        <v>Изменение тарифов</v>
      </c>
      <c r="G25" s="58"/>
      <c r="J25" s="881" t="s">
        <v>42</v>
      </c>
    </row>
    <row customHeight="1" ht="19.5">
      <c r="D26" s="60"/>
      <c r="E26" s="397" t="str">
        <f>"Дата "&amp;IF(TEMPLATE_GROUP="P","принятия решения","подачи заявления")&amp;" об изменении тарифов"</f>
        <v>Дата принятия решения об изменении тарифов</v>
      </c>
      <c r="F26" s="2558">
        <v>45280.56123842593</v>
      </c>
      <c r="G26" s="58"/>
    </row>
    <row customHeight="1" ht="19.5">
      <c r="D27" s="60"/>
      <c r="E27" s="1173" t="str">
        <f>"Номер "&amp;IF(TEMPLATE_GROUP="P","принятия решения","заявления")&amp;" об изменении тарифов"</f>
        <v>Номер принятия решения об изменении тарифов</v>
      </c>
      <c r="F27" s="2566" t="s">
        <v>43</v>
      </c>
      <c r="G27" s="58"/>
    </row>
    <row customHeight="1" ht="24.75">
      <c r="D28" s="60"/>
      <c r="E28" s="397" t="s">
        <v>44</v>
      </c>
      <c r="F28" s="2566" t="s">
        <v>39</v>
      </c>
      <c r="G28" s="58"/>
    </row>
    <row customHeight="1" ht="19.5">
      <c r="D29" s="60"/>
      <c r="E29" s="397" t="s">
        <v>40</v>
      </c>
      <c r="F29" s="2566" t="s">
        <v>41</v>
      </c>
      <c r="G29" s="58"/>
    </row>
    <row s="2516" customFormat="1" customHeight="1" ht="6">
      <c r="A30" s="791"/>
      <c r="B30" s="218"/>
      <c r="C30" s="219"/>
      <c r="D30" s="225"/>
      <c r="E30" s="223"/>
      <c r="F30" s="226"/>
      <c r="G30" s="62"/>
      <c r="H30" s="415"/>
      <c r="I30" s="417"/>
      <c r="J30" s="880"/>
    </row>
    <row customHeight="1" ht="19.5">
      <c r="C31" s="63"/>
      <c r="D31" s="64"/>
      <c r="E31" s="397" t="s">
        <v>45</v>
      </c>
      <c r="F31" s="203" t="s">
        <v>46</v>
      </c>
      <c r="G31" s="782"/>
    </row>
    <row customHeight="1" ht="19.5" hidden="1">
      <c r="C32" s="63"/>
      <c r="D32" s="64"/>
      <c r="E32" s="398" t="s">
        <v>47</v>
      </c>
      <c r="F32" s="1807"/>
      <c r="G32" s="782"/>
    </row>
    <row customHeight="1" ht="19.5">
      <c r="C33" s="63"/>
      <c r="D33" s="64"/>
      <c r="E33" s="397" t="s">
        <v>48</v>
      </c>
      <c r="F33" s="203" t="s">
        <v>49</v>
      </c>
      <c r="G33" s="782"/>
    </row>
    <row customHeight="1" ht="19.5">
      <c r="C34" s="63"/>
      <c r="D34" s="64"/>
      <c r="E34" s="397" t="s">
        <v>50</v>
      </c>
      <c r="F34" s="203" t="s">
        <v>51</v>
      </c>
      <c r="G34" s="782"/>
      <c r="H34" s="65"/>
    </row>
    <row s="2516" customFormat="1" customHeight="1" ht="11.25">
      <c r="A35" s="791"/>
      <c r="B35" s="218"/>
      <c r="C35" s="219"/>
      <c r="D35" s="225"/>
      <c r="E35" s="223"/>
      <c r="F35" s="226"/>
      <c r="G35" s="62"/>
      <c r="H35" s="415"/>
      <c r="I35" s="417"/>
      <c r="J35" s="880"/>
    </row>
    <row customHeight="1" ht="19.5">
      <c r="A36" s="885"/>
      <c r="D36" s="64"/>
      <c r="E36" s="397" t="s">
        <v>52</v>
      </c>
      <c r="F36" s="2575" t="s">
        <v>53</v>
      </c>
      <c r="G36" s="62"/>
    </row>
    <row customHeight="1" ht="19.5">
      <c r="A37" s="885"/>
      <c r="D37" s="64"/>
      <c r="E37" s="397" t="s">
        <v>54</v>
      </c>
      <c r="F37" s="2575" t="s">
        <v>55</v>
      </c>
      <c r="G37" s="62"/>
    </row>
    <row s="2516" customFormat="1" customHeight="1" ht="6">
      <c r="A38" s="791"/>
      <c r="B38" s="218"/>
      <c r="C38" s="219"/>
      <c r="D38" s="220"/>
      <c r="E38" s="221"/>
      <c r="F38" s="1060"/>
      <c r="G38" s="58"/>
      <c r="H38" s="415"/>
      <c r="I38" s="417"/>
      <c r="J38" s="882"/>
    </row>
    <row customHeight="1" ht="22.5">
      <c r="A39" s="791"/>
      <c r="D39" s="60"/>
      <c r="E39" s="397" t="s">
        <v>56</v>
      </c>
      <c r="F39" s="716" t="s">
        <v>57</v>
      </c>
      <c r="G39" s="58"/>
      <c r="H39" s="779" t="s">
        <v>18</v>
      </c>
    </row>
    <row s="2545" customFormat="1" customHeight="1" ht="6" hidden="1">
      <c r="A40" s="790"/>
      <c r="B40" s="432"/>
      <c r="C40" s="433"/>
      <c r="D40" s="434"/>
      <c r="E40" s="435"/>
      <c r="F40" s="1060"/>
      <c r="G40" s="58"/>
      <c r="H40" s="415"/>
      <c r="I40" s="417"/>
      <c r="J40" s="882"/>
    </row>
    <row s="2524" customFormat="1" customHeight="1" ht="19.5" hidden="1">
      <c r="A41" s="794" t="s">
        <v>22</v>
      </c>
      <c r="B41" s="419"/>
      <c r="C41" s="414"/>
      <c r="D41" s="416"/>
      <c r="E41" s="397"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16" t="s">
        <v>57</v>
      </c>
      <c r="G41" s="58"/>
      <c r="I41" s="417"/>
      <c r="J41" s="882"/>
    </row>
    <row s="2545" customFormat="1" customHeight="1" ht="6">
      <c r="A42" s="790"/>
      <c r="B42" s="432"/>
      <c r="C42" s="433"/>
      <c r="D42" s="434"/>
      <c r="E42" s="435"/>
      <c r="F42" s="1060"/>
      <c r="G42" s="58"/>
      <c r="H42" s="415"/>
      <c r="I42" s="417"/>
      <c r="J42" s="880"/>
    </row>
    <row s="2524" customFormat="1" customHeight="1" ht="22.5">
      <c r="A43" s="790"/>
      <c r="B43" s="419"/>
      <c r="C43" s="414"/>
      <c r="D43" s="416"/>
      <c r="E43" s="397" t="s">
        <v>58</v>
      </c>
      <c r="F43" s="716" t="s">
        <v>57</v>
      </c>
      <c r="G43" s="58"/>
      <c r="I43" s="417"/>
      <c r="J43" s="882"/>
    </row>
    <row s="2524" customFormat="1" customHeight="1" ht="22.5">
      <c r="A44" s="790"/>
      <c r="B44" s="419"/>
      <c r="C44" s="414"/>
      <c r="D44" s="416"/>
      <c r="E44" s="1173" t="s">
        <v>59</v>
      </c>
      <c r="F44" s="2454"/>
      <c r="G44" s="58"/>
      <c r="I44" s="417"/>
      <c r="J44" s="882"/>
    </row>
    <row s="2545" customFormat="1" customHeight="1" ht="6">
      <c r="A45" s="790"/>
      <c r="B45" s="432"/>
      <c r="C45" s="433"/>
      <c r="D45" s="434"/>
      <c r="E45" s="435"/>
      <c r="F45" s="1060"/>
      <c r="G45" s="58"/>
      <c r="H45" s="415"/>
      <c r="I45" s="417"/>
      <c r="J45" s="882"/>
    </row>
    <row s="2545" customFormat="1" customHeight="1" ht="22.5">
      <c r="A46" s="790"/>
      <c r="B46" s="432"/>
      <c r="C46" s="433"/>
      <c r="D46" s="434"/>
      <c r="E46" s="1173" t="s">
        <v>60</v>
      </c>
      <c r="F46" s="716" t="s">
        <v>57</v>
      </c>
      <c r="G46" s="58"/>
      <c r="H46" s="415"/>
      <c r="I46" s="417"/>
      <c r="J46" s="882"/>
    </row>
    <row s="2524" customFormat="1" customHeight="1" ht="22.5">
      <c r="A47" s="790"/>
      <c r="B47" s="419"/>
      <c r="C47" s="414"/>
      <c r="D47" s="416"/>
      <c r="E47" s="1173" t="s">
        <v>61</v>
      </c>
      <c r="F47" s="716" t="s">
        <v>57</v>
      </c>
      <c r="G47" s="58"/>
      <c r="I47" s="417"/>
      <c r="J47" s="882"/>
    </row>
    <row s="2516" customFormat="1" customHeight="1" ht="6">
      <c r="A48" s="790"/>
      <c r="B48" s="218"/>
      <c r="C48" s="219"/>
      <c r="D48" s="220"/>
      <c r="E48" s="221"/>
      <c r="F48" s="1060"/>
      <c r="G48" s="58"/>
      <c r="H48" s="415"/>
      <c r="I48" s="417"/>
      <c r="J48" s="882"/>
    </row>
    <row customHeight="1" ht="19.5">
      <c r="B49" s="134"/>
      <c r="D49" s="60"/>
      <c r="E49" s="397"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16" t="s">
        <v>62</v>
      </c>
      <c r="G49" s="58"/>
    </row>
    <row s="2545" customFormat="1" customHeight="1" ht="6" hidden="1">
      <c r="A50" s="791"/>
      <c r="B50" s="432"/>
      <c r="C50" s="433"/>
      <c r="D50" s="225"/>
      <c r="E50" s="223"/>
      <c r="F50" s="226"/>
      <c r="G50" s="62"/>
      <c r="H50" s="415"/>
      <c r="I50" s="417"/>
      <c r="J50" s="882"/>
    </row>
    <row s="2584" customFormat="1" customHeight="1" ht="22.5" hidden="1">
      <c r="A51" s="792"/>
      <c r="B51" s="419"/>
      <c r="C51" s="536"/>
      <c r="D51" s="537"/>
      <c r="E51" s="397" t="s">
        <v>63</v>
      </c>
      <c r="F51" s="716" t="s">
        <v>57</v>
      </c>
      <c r="G51" s="538"/>
      <c r="I51" s="540"/>
      <c r="J51" s="884"/>
      <c r="P51" s="541"/>
    </row>
    <row s="2545" customFormat="1" customHeight="1" ht="6" hidden="1">
      <c r="A52" s="791"/>
      <c r="B52" s="432"/>
      <c r="C52" s="433"/>
      <c r="D52" s="225"/>
      <c r="E52" s="223"/>
      <c r="F52" s="226"/>
      <c r="G52" s="62"/>
      <c r="H52" s="415"/>
      <c r="I52" s="417"/>
      <c r="J52" s="880"/>
    </row>
    <row s="2584" customFormat="1" customHeight="1" ht="22.5" hidden="1">
      <c r="A53" s="792"/>
      <c r="B53" s="419"/>
      <c r="C53" s="536"/>
      <c r="D53" s="537"/>
      <c r="E53" s="397" t="s">
        <v>64</v>
      </c>
      <c r="F53" s="1055" t="s">
        <v>57</v>
      </c>
      <c r="G53" s="538"/>
      <c r="I53" s="540"/>
      <c r="J53" s="884"/>
      <c r="P53" s="541"/>
    </row>
    <row s="2584" customFormat="1" customHeight="1" ht="22.5" hidden="1">
      <c r="A54" s="792"/>
      <c r="B54" s="419"/>
      <c r="C54" s="536"/>
      <c r="D54" s="537"/>
      <c r="E54" s="397" t="s">
        <v>65</v>
      </c>
      <c r="F54" s="1815"/>
      <c r="G54" s="538"/>
      <c r="I54" s="540"/>
      <c r="J54" s="884"/>
      <c r="P54" s="541"/>
    </row>
    <row s="2545" customFormat="1" customHeight="1" ht="6" hidden="1">
      <c r="A55" s="791"/>
      <c r="B55" s="432"/>
      <c r="C55" s="433"/>
      <c r="D55" s="225"/>
      <c r="E55" s="223"/>
      <c r="F55" s="226"/>
      <c r="G55" s="62"/>
      <c r="H55" s="415"/>
      <c r="I55" s="417"/>
      <c r="J55" s="880"/>
    </row>
    <row s="2584" customFormat="1" customHeight="1" ht="22.5" hidden="1">
      <c r="A56" s="792"/>
      <c r="B56" s="419"/>
      <c r="C56" s="536"/>
      <c r="D56" s="537"/>
      <c r="E56" s="397" t="s">
        <v>66</v>
      </c>
      <c r="F56" s="1055" t="s">
        <v>57</v>
      </c>
      <c r="G56" s="538"/>
      <c r="I56" s="540"/>
      <c r="J56" s="884"/>
      <c r="P56" s="541"/>
    </row>
    <row s="2545" customFormat="1" customHeight="1" ht="6" hidden="1">
      <c r="A57" s="791"/>
      <c r="B57" s="432"/>
      <c r="C57" s="433"/>
      <c r="D57" s="225"/>
      <c r="E57" s="223"/>
      <c r="F57" s="226"/>
      <c r="G57" s="62"/>
      <c r="H57" s="415"/>
      <c r="I57" s="417"/>
      <c r="J57" s="880"/>
    </row>
    <row s="2584" customFormat="1" customHeight="1" ht="15" hidden="1">
      <c r="A58" s="792"/>
      <c r="B58" s="419"/>
      <c r="C58" s="536"/>
      <c r="D58" s="537"/>
      <c r="E58" s="397" t="s">
        <v>67</v>
      </c>
      <c r="F58" s="1055" t="s">
        <v>62</v>
      </c>
      <c r="G58" s="538"/>
      <c r="I58" s="540"/>
      <c r="J58" s="884"/>
      <c r="P58" s="541"/>
    </row>
    <row s="2584" customFormat="1" customHeight="1" ht="15" hidden="1">
      <c r="A59" s="792"/>
      <c r="B59" s="419"/>
      <c r="C59" s="536"/>
      <c r="D59" s="537"/>
      <c r="E59" s="397"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99"/>
      <c r="G59" s="538"/>
      <c r="I59" s="540"/>
      <c r="J59" s="884"/>
      <c r="P59" s="541"/>
    </row>
    <row s="2584" customFormat="1" customHeight="1" ht="15" hidden="1">
      <c r="A60" s="792"/>
      <c r="B60" s="419"/>
      <c r="C60" s="536"/>
      <c r="D60" s="537"/>
      <c r="E60" s="1173" t="s">
        <v>68</v>
      </c>
      <c r="F60" s="1159"/>
      <c r="G60" s="538"/>
      <c r="I60" s="540"/>
      <c r="J60" s="884"/>
      <c r="P60" s="541"/>
    </row>
    <row s="2545" customFormat="1" customHeight="1" ht="6" hidden="1">
      <c r="A61" s="791"/>
      <c r="B61" s="432"/>
      <c r="C61" s="433"/>
      <c r="D61" s="434"/>
      <c r="E61" s="435"/>
      <c r="F61" s="1060"/>
      <c r="G61" s="58"/>
      <c r="H61" s="415"/>
      <c r="I61" s="417"/>
      <c r="J61" s="882"/>
    </row>
    <row s="2524" customFormat="1" customHeight="1" ht="33.75" hidden="1">
      <c r="A62" s="791"/>
      <c r="B62" s="84"/>
      <c r="C62" s="414"/>
      <c r="D62" s="416"/>
      <c r="E62" s="1173" t="s">
        <v>69</v>
      </c>
      <c r="F62" s="1711" t="s">
        <v>62</v>
      </c>
      <c r="G62" s="58"/>
      <c r="H62" s="779" t="s">
        <v>18</v>
      </c>
      <c r="I62" s="417"/>
      <c r="J62" s="882"/>
    </row>
    <row s="2516" customFormat="1" customHeight="1" ht="6">
      <c r="A63" s="791"/>
      <c r="B63" s="218"/>
      <c r="C63" s="219"/>
      <c r="D63" s="225"/>
      <c r="E63" s="223"/>
      <c r="F63" s="226"/>
      <c r="G63" s="62"/>
      <c r="H63" s="415"/>
      <c r="I63" s="417"/>
      <c r="J63" s="880"/>
    </row>
    <row customHeight="1" ht="19.5">
      <c r="A64" s="793"/>
      <c r="B64" s="85"/>
      <c r="D64" s="67"/>
      <c r="E64" s="397" t="s">
        <v>70</v>
      </c>
      <c r="F64" s="202" t="s">
        <v>71</v>
      </c>
      <c r="G64" s="62"/>
    </row>
    <row customHeight="1" ht="19.5">
      <c r="A65" s="793"/>
      <c r="B65" s="85"/>
      <c r="D65" s="67"/>
      <c r="E65" s="397" t="s">
        <v>72</v>
      </c>
      <c r="F65" s="202" t="s">
        <v>73</v>
      </c>
      <c r="G65" s="62"/>
    </row>
    <row customHeight="1" ht="35.25">
      <c r="D66" s="60"/>
      <c r="E66" s="399" t="s">
        <v>74</v>
      </c>
      <c r="F66" s="1061"/>
      <c r="G66" s="58"/>
    </row>
    <row customHeight="1" ht="19.5">
      <c r="A67" s="793"/>
      <c r="D67" s="416"/>
      <c r="E67" s="397" t="s">
        <v>75</v>
      </c>
      <c r="F67" s="257" t="s">
        <v>76</v>
      </c>
      <c r="G67" s="62"/>
    </row>
    <row customHeight="1" ht="19.5">
      <c r="A68" s="793"/>
      <c r="B68" s="85"/>
      <c r="D68" s="67"/>
      <c r="E68" s="397" t="s">
        <v>77</v>
      </c>
      <c r="F68" s="257" t="s">
        <v>78</v>
      </c>
      <c r="G68" s="62"/>
    </row>
    <row customHeight="1" ht="19.5">
      <c r="A69" s="793"/>
      <c r="B69" s="85"/>
      <c r="D69" s="67"/>
      <c r="E69" s="397" t="s">
        <v>79</v>
      </c>
      <c r="F69" s="257" t="s">
        <v>80</v>
      </c>
      <c r="G69" s="62"/>
    </row>
    <row customHeight="1" ht="19.5">
      <c r="D70" s="416"/>
      <c r="E70" s="397" t="s">
        <v>81</v>
      </c>
      <c r="F70" s="257" t="s">
        <v>82</v>
      </c>
      <c r="G70" s="58"/>
    </row>
    <row customHeight="1" ht="20.25">
      <c r="A71" s="793"/>
      <c r="D71" s="58"/>
      <c r="F71" s="119"/>
      <c r="G71" s="62"/>
    </row>
    <row customHeight="1" ht="19.5">
      <c r="A72" s="793"/>
      <c r="B72" s="85"/>
      <c r="D72" s="67"/>
      <c r="E72" s="66"/>
      <c r="F72" s="120"/>
      <c r="G72" s="62"/>
    </row>
    <row customHeight="1" ht="19.5">
      <c r="A73" s="793"/>
      <c r="B73" s="85"/>
      <c r="D73" s="67"/>
      <c r="E73" s="66"/>
      <c r="F73" s="120"/>
      <c r="G73" s="62"/>
    </row>
    <row customHeight="1" ht="19.5">
      <c r="A74" s="793"/>
      <c r="B74" s="85"/>
      <c r="D74" s="67"/>
      <c r="E74" s="71"/>
      <c r="F74" s="120"/>
      <c r="G74" s="62"/>
    </row>
    <row customHeight="1" ht="19.5">
      <c r="A75" s="793"/>
      <c r="B75" s="85"/>
      <c r="D75" s="67"/>
      <c r="E75" s="66"/>
      <c r="F75" s="120"/>
      <c r="G75" s="62"/>
    </row>
    <row r="78" customHeight="1" ht="11.25">
      <c r="E78" s="396"/>
      <c r="F78" s="396"/>
      <c r="G78" s="396"/>
      <c r="H78" s="396"/>
      <c r="I78" s="396"/>
    </row>
  </sheetData>
  <sheetProtection formatColumns="0" formatRows="0" sort="0" autoFilter="0" insertRows="0" insertColumns="1" deleteRows="0" deleteColumns="0"/>
  <mergeCells count="3">
    <mergeCell ref="E5:F5"/>
    <mergeCell ref="J18:J19"/>
    <mergeCell ref="A11:A12"/>
  </mergeCells>
  <dataValidations count="1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37:F38 F61">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E361DEC4-75ED-5BAF-D131-76EDE5C22DB2}"/>
    <hyperlink ref="H17" location="Титульный!H9" display="Как заполнить?" tooltip="Помощь по работе с полями отчётной формы" xr:uid="{32C9CC88-7A9F-AE35-F466-7535EB81FD8C}"/>
    <hyperlink ref="H39" location="Титульный!H9" display="Как заполнить?" tooltip="Помощь по работе с полями отчётной формы" xr:uid="{0579A0FB-28BD-DCAC-3013-CA46A9CE496E}"/>
    <hyperlink ref="H62" location="Титульный!H9" display="Как заполнить?" tooltip="Помощь по работе с полями отчётной формы" xr:uid="{95EDEF51-C142-C6C6-75C5-3FFA5181D09F}"/>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1DE5448-B248-F45B-5FCF-DC1DEAD4252E}" mc:Ignorable="x14ac xr xr2 xr3">
  <sheetPr>
    <tabColor rgb="FFCCCCFF"/>
    <pageSetUpPr fitToPage="1"/>
  </sheetPr>
  <dimension ref="A1:AB28"/>
  <sheetViews>
    <sheetView topLeftCell="A1" showGridLines="0" zoomScale="90" workbookViewId="0">
      <selection activeCell="G13" sqref="G13"/>
    </sheetView>
  </sheetViews>
  <sheetFormatPr defaultColWidth="9.140625" customHeight="1" defaultRowHeight="14.25"/>
  <cols>
    <col min="1" max="1" style="2623" width="8.00390625" hidden="1" customWidth="1"/>
    <col min="2" max="2" style="2624" width="6.00390625" hidden="1" customWidth="1"/>
    <col min="3" max="3" style="2623" width="3.7109375" customWidth="1"/>
    <col min="4" max="4" style="2685" width="3.7109375" customWidth="1"/>
    <col min="5" max="5" style="2687" width="6.28125" customWidth="1"/>
    <col min="6" max="6" style="2623" width="2.7109375" hidden="1" customWidth="1"/>
    <col min="7" max="7" style="2687" width="46.7109375" customWidth="1"/>
    <col min="8" max="8" style="2687" width="43.140625" customWidth="1"/>
    <col min="9" max="9" style="2687" width="14.8515625" customWidth="1"/>
    <col min="10" max="10" style="2629" width="3.7109375" customWidth="1"/>
    <col min="11" max="13" style="2629" width="9.140625" hidden="1"/>
    <col min="14" max="14" style="2630" width="25.7109375" hidden="1" customWidth="1"/>
    <col min="15" max="15" style="2629" width="14.421875" hidden="1" customWidth="1"/>
    <col min="16" max="19" style="2631" width="9.140625" hidden="1"/>
    <col min="20" max="27" style="2687" width="9.140625" hidden="1"/>
    <col min="28" max="28" style="2687" width="9.140625"/>
  </cols>
  <sheetData>
    <row s="2609" customFormat="1" customHeight="1" ht="5.25" hidden="1">
      <c r="A1" s="502"/>
      <c r="B1" s="517"/>
      <c r="C1" s="517"/>
      <c r="D1" s="207"/>
      <c r="F1" s="517"/>
      <c r="G1" s="233" t="s">
        <v>83</v>
      </c>
      <c r="H1" s="500" t="s">
        <v>84</v>
      </c>
      <c r="I1" s="213" t="s">
        <v>85</v>
      </c>
      <c r="J1" s="233" t="s">
        <v>83</v>
      </c>
      <c r="K1" s="233"/>
      <c r="L1" s="233"/>
      <c r="M1" s="233"/>
      <c r="N1" s="234"/>
      <c r="O1" s="233"/>
      <c r="P1" s="233"/>
      <c r="Q1" s="233"/>
      <c r="R1" s="233"/>
      <c r="S1" s="233"/>
      <c r="T1" s="213"/>
      <c r="U1" s="213"/>
      <c r="V1" s="213"/>
      <c r="W1" s="213"/>
      <c r="X1" s="213"/>
      <c r="Y1" s="213"/>
      <c r="Z1" s="213"/>
      <c r="AA1" s="213"/>
      <c r="AB1" s="213"/>
    </row>
    <row s="2617" customFormat="1" customHeight="1" ht="11.25">
      <c r="A2" s="837"/>
      <c r="B2" s="214"/>
      <c r="C2" s="214"/>
      <c r="D2" s="215"/>
      <c r="E2" s="214"/>
      <c r="F2" s="214"/>
      <c r="G2" s="214"/>
      <c r="H2" s="214"/>
      <c r="I2" s="214"/>
      <c r="J2" s="233"/>
      <c r="K2" s="233"/>
      <c r="L2" s="233"/>
      <c r="M2" s="233"/>
      <c r="N2" s="234"/>
      <c r="O2" s="233"/>
      <c r="P2" s="216"/>
      <c r="Q2" s="216"/>
      <c r="R2" s="216"/>
      <c r="S2" s="216"/>
      <c r="T2" s="215"/>
      <c r="U2" s="215"/>
      <c r="V2" s="215"/>
      <c r="W2" s="215"/>
      <c r="X2" s="215"/>
      <c r="Y2" s="215"/>
      <c r="Z2" s="215"/>
      <c r="AA2" s="215"/>
      <c r="AB2" s="215"/>
    </row>
    <row s="2622" customFormat="1" customHeight="1" ht="3">
      <c r="A3" s="764"/>
      <c r="B3" s="423"/>
      <c r="C3" s="764"/>
      <c r="D3" s="150"/>
      <c r="E3" s="89"/>
      <c r="F3" s="515"/>
      <c r="G3" s="89"/>
      <c r="H3" s="89"/>
      <c r="I3" s="152"/>
      <c r="J3" s="233"/>
      <c r="K3" s="141"/>
      <c r="L3" s="141"/>
      <c r="M3" s="141"/>
      <c r="N3" s="212"/>
      <c r="O3" s="141"/>
      <c r="P3" s="211"/>
      <c r="Q3" s="211"/>
      <c r="R3" s="211"/>
      <c r="S3" s="211"/>
    </row>
    <row s="2622" customFormat="1" customHeight="1" ht="25.5">
      <c r="A4" s="764"/>
      <c r="B4" s="423"/>
      <c r="C4" s="764"/>
      <c r="D4" s="150"/>
      <c r="E4" s="1954" t="str">
        <f>NameTemplatesInListMO</f>
        <v>Перечень муниципальных районов и муниципальных образований (территорий действия тарифа)</v>
      </c>
      <c r="F4" s="1954"/>
      <c r="G4" s="1954"/>
      <c r="H4" s="1954"/>
      <c r="I4" s="1954"/>
      <c r="J4" s="233"/>
      <c r="K4" s="141"/>
      <c r="L4" s="141"/>
      <c r="M4" s="141"/>
      <c r="N4" s="212"/>
      <c r="O4" s="141"/>
      <c r="P4" s="211"/>
      <c r="Q4" s="211"/>
      <c r="R4" s="211"/>
      <c r="S4" s="211"/>
    </row>
    <row s="2622" customFormat="1" customHeight="1" ht="3">
      <c r="A5" s="764"/>
      <c r="B5" s="423"/>
      <c r="C5" s="764"/>
      <c r="D5" s="150"/>
      <c r="E5" s="89"/>
      <c r="F5" s="515"/>
      <c r="G5" s="153"/>
      <c r="H5" s="153"/>
      <c r="I5" s="154"/>
      <c r="J5" s="141"/>
      <c r="K5" s="141"/>
      <c r="L5" s="141"/>
      <c r="M5" s="141"/>
      <c r="N5" s="212"/>
      <c r="O5" s="141"/>
      <c r="P5" s="211"/>
      <c r="Q5" s="211"/>
      <c r="R5" s="211"/>
      <c r="S5" s="211"/>
    </row>
    <row s="2622" customFormat="1" customHeight="1" ht="20.25" hidden="1">
      <c r="A6" s="843"/>
      <c r="B6" s="839"/>
      <c r="C6" s="155"/>
      <c r="D6" s="150"/>
      <c r="E6" s="785"/>
      <c r="F6" s="785"/>
      <c r="G6" s="153"/>
      <c r="H6" s="156"/>
      <c r="I6" s="156"/>
      <c r="J6" s="141"/>
      <c r="K6" s="141"/>
      <c r="L6" s="141"/>
      <c r="M6" s="141"/>
      <c r="N6" s="212"/>
      <c r="O6" s="141"/>
      <c r="P6" s="211"/>
      <c r="Q6" s="211"/>
      <c r="R6" s="211"/>
      <c r="S6" s="211"/>
    </row>
    <row customHeight="1" ht="25.5" hidden="1"/>
    <row s="2622" customFormat="1" customHeight="1" ht="14.25">
      <c r="A8" s="764"/>
      <c r="B8" s="423"/>
      <c r="C8" s="764"/>
      <c r="D8" s="150"/>
      <c r="E8" s="1955" t="s">
        <v>86</v>
      </c>
      <c r="F8" s="1956"/>
      <c r="G8" s="1957"/>
      <c r="H8" s="1958" t="s">
        <v>87</v>
      </c>
      <c r="I8" s="1958"/>
      <c r="J8" s="141"/>
      <c r="K8" s="141"/>
      <c r="L8" s="141"/>
      <c r="M8" s="141"/>
      <c r="N8" s="212"/>
      <c r="O8" s="141"/>
      <c r="P8" s="211"/>
      <c r="Q8" s="211"/>
      <c r="R8" s="211"/>
      <c r="S8" s="211"/>
    </row>
    <row s="2622" customFormat="1" customHeight="1" ht="20.25">
      <c r="A9" s="764"/>
      <c r="B9" s="423"/>
      <c r="C9" s="764"/>
      <c r="D9" s="150"/>
      <c r="E9" s="783" t="s">
        <v>88</v>
      </c>
      <c r="F9" s="783"/>
      <c r="G9" s="158" t="s">
        <v>89</v>
      </c>
      <c r="H9" s="158" t="s">
        <v>89</v>
      </c>
      <c r="I9" s="158" t="s">
        <v>85</v>
      </c>
      <c r="J9" s="141"/>
      <c r="K9" s="141"/>
      <c r="L9" s="141"/>
      <c r="M9" s="141"/>
      <c r="N9" s="212"/>
      <c r="O9" s="141"/>
      <c r="P9" s="211"/>
      <c r="Q9" s="211"/>
      <c r="R9" s="211"/>
      <c r="S9" s="211"/>
    </row>
    <row customHeight="1" ht="11.25">
      <c r="D10" s="162"/>
      <c r="E10" s="784" t="s">
        <v>90</v>
      </c>
      <c r="F10" s="784"/>
      <c r="G10" s="209" t="s">
        <v>91</v>
      </c>
      <c r="H10" s="209" t="s">
        <v>92</v>
      </c>
      <c r="I10" s="209" t="s">
        <v>93</v>
      </c>
      <c r="J10" s="172"/>
      <c r="K10" s="172"/>
      <c r="L10" s="172"/>
      <c r="M10" s="172"/>
      <c r="N10" s="157"/>
      <c r="O10" s="172"/>
      <c r="P10" s="210"/>
      <c r="Q10" s="210"/>
      <c r="R10" s="210"/>
      <c r="S10" s="210"/>
    </row>
    <row s="2622" customFormat="1" customHeight="1" ht="0.75">
      <c r="A11" s="764"/>
      <c r="B11" s="423"/>
      <c r="C11" s="764"/>
      <c r="D11" s="150"/>
      <c r="E11" s="796"/>
      <c r="F11" s="796"/>
      <c r="G11" s="159"/>
      <c r="H11" s="159"/>
      <c r="I11" s="161"/>
      <c r="J11" s="235" t="s">
        <v>94</v>
      </c>
      <c r="K11" s="141"/>
      <c r="L11" s="141"/>
      <c r="M11" s="141" t="s">
        <v>95</v>
      </c>
      <c r="N11" s="212" t="s">
        <v>96</v>
      </c>
      <c r="O11" s="141" t="s">
        <v>97</v>
      </c>
      <c r="P11" s="211"/>
      <c r="Q11" s="211"/>
      <c r="R11" s="211"/>
      <c r="S11" s="211"/>
    </row>
    <row s="2656" customFormat="1" customHeight="1" ht="14.25">
      <c r="A12" s="1953">
        <v>1</v>
      </c>
      <c r="B12" s="423"/>
      <c r="C12" s="764"/>
      <c r="D12" s="788"/>
      <c r="E12" s="205">
        <f>A12</f>
        <v>1</v>
      </c>
      <c r="F12" s="808" t="s">
        <v>98</v>
      </c>
      <c r="G12" s="546" t="str">
        <f>"Территория "&amp;E12</f>
        <v>Территория 1</v>
      </c>
      <c r="H12" s="798"/>
      <c r="I12" s="798"/>
      <c r="J12" s="795"/>
      <c r="K12" s="506"/>
      <c r="L12" s="506"/>
      <c r="M12" s="506"/>
      <c r="N12" s="212"/>
      <c r="O12" s="506"/>
      <c r="P12" s="211"/>
      <c r="Q12" s="211"/>
      <c r="R12" s="211"/>
      <c r="S12" s="211"/>
    </row>
    <row s="2665" customFormat="1" customHeight="1" ht="15">
      <c r="A13" s="1953"/>
      <c r="B13" s="423">
        <v>1</v>
      </c>
      <c r="C13" s="423"/>
      <c r="D13" s="806"/>
      <c r="E13" s="786" t="str">
        <f>A12&amp;"."&amp;B13</f>
        <v>1.1</v>
      </c>
      <c r="F13" s="801" t="s">
        <v>99</v>
      </c>
      <c r="G13" s="799" t="s">
        <v>100</v>
      </c>
      <c r="H13" s="799" t="s">
        <v>101</v>
      </c>
      <c r="I13" s="797" t="s">
        <v>102</v>
      </c>
      <c r="J13" s="506">
        <f>MERGEVALUE(G13)</f>
      </c>
      <c r="K13" s="517"/>
      <c r="L13" s="517"/>
      <c r="M13" s="506" t="str">
        <f t="array" ref="M13:M13">IF(ISERROR(MATCH(MID(N13,1,250),MID(note_ter,1,250),0)),"n","y")</f>
        <v>n</v>
      </c>
      <c r="N13" s="517"/>
      <c r="O13" s="506" t="str">
        <f>H13&amp;"("&amp;I13&amp;")"</f>
        <v>Тайшетское городское поселение(25636101)</v>
      </c>
      <c r="P13" s="423"/>
      <c r="Q13" s="423"/>
      <c r="R13" s="426"/>
      <c r="S13" s="423"/>
      <c r="T13" s="423"/>
      <c r="U13" s="423"/>
      <c r="V13" s="428"/>
      <c r="W13" s="428"/>
      <c r="X13" s="425"/>
      <c r="Y13" s="425"/>
      <c r="Z13" s="425"/>
      <c r="AA13" s="425"/>
      <c r="AB13" s="425"/>
    </row>
    <row s="2665" customFormat="1" customHeight="1" ht="15">
      <c r="A14" s="1953"/>
      <c r="B14" s="423"/>
      <c r="C14" s="418"/>
      <c r="D14" s="807"/>
      <c r="E14" s="427"/>
      <c r="F14" s="163"/>
      <c r="G14" s="421" t="s">
        <v>103</v>
      </c>
      <c r="H14" s="173"/>
      <c r="I14" s="430"/>
      <c r="J14" s="517"/>
      <c r="K14" s="517"/>
      <c r="L14" s="517"/>
      <c r="M14" s="517"/>
      <c r="N14" s="506"/>
      <c r="O14" s="517"/>
      <c r="P14" s="423"/>
      <c r="Q14" s="423"/>
      <c r="R14" s="426"/>
      <c r="S14" s="423"/>
      <c r="T14" s="423"/>
      <c r="U14" s="423"/>
      <c r="V14" s="428"/>
      <c r="W14" s="428"/>
      <c r="X14" s="425"/>
      <c r="Y14" s="425"/>
      <c r="Z14" s="425"/>
      <c r="AA14" s="425"/>
      <c r="AB14" s="425"/>
    </row>
    <row s="2622" customFormat="1" customHeight="1" ht="14.25">
      <c r="A15" s="764"/>
      <c r="B15" s="423"/>
      <c r="C15" s="764"/>
      <c r="D15" s="788"/>
      <c r="E15" s="800"/>
      <c r="F15" s="164"/>
      <c r="G15" s="422" t="s">
        <v>104</v>
      </c>
      <c r="H15" s="164"/>
      <c r="I15" s="165"/>
      <c r="J15" s="235"/>
      <c r="K15" s="141"/>
      <c r="L15" s="141"/>
      <c r="M15" s="141"/>
      <c r="N15" s="212" t="s">
        <v>105</v>
      </c>
      <c r="O15" s="141"/>
      <c r="P15" s="211"/>
      <c r="Q15" s="211"/>
      <c r="R15" s="211"/>
      <c r="S15" s="211"/>
    </row>
    <row s="2622" customFormat="1" customHeight="1" ht="21">
      <c r="A16" s="764"/>
      <c r="B16" s="423"/>
      <c r="C16" s="764"/>
      <c r="D16" s="151"/>
      <c r="E16" s="166"/>
      <c r="F16" s="166"/>
      <c r="G16" s="166"/>
      <c r="H16" s="166"/>
      <c r="I16" s="166"/>
      <c r="J16" s="141"/>
      <c r="K16" s="141"/>
      <c r="L16" s="141"/>
      <c r="M16" s="141"/>
      <c r="N16" s="212"/>
      <c r="O16" s="141"/>
      <c r="P16" s="211"/>
      <c r="Q16" s="211"/>
      <c r="R16" s="211"/>
      <c r="S16" s="211"/>
    </row>
    <row s="2622" customFormat="1" customHeight="1" ht="14.25">
      <c r="A17" s="764"/>
      <c r="B17" s="423"/>
      <c r="C17" s="764"/>
      <c r="D17" s="151"/>
      <c r="E17" s="68"/>
      <c r="F17" s="764"/>
      <c r="G17" s="68"/>
      <c r="H17" s="68"/>
      <c r="I17" s="68"/>
      <c r="J17" s="141"/>
      <c r="K17" s="141"/>
      <c r="L17" s="141"/>
      <c r="M17" s="141"/>
      <c r="N17" s="212"/>
      <c r="O17" s="141"/>
      <c r="P17" s="211"/>
      <c r="Q17" s="211"/>
      <c r="R17" s="211"/>
      <c r="S17" s="211"/>
    </row>
    <row s="2622" customFormat="1" customHeight="1" ht="0.75">
      <c r="A18" s="764"/>
      <c r="B18" s="423"/>
      <c r="C18" s="764"/>
      <c r="D18" s="151"/>
      <c r="E18" s="68"/>
      <c r="F18" s="764"/>
      <c r="G18" s="68"/>
      <c r="H18" s="68"/>
      <c r="I18" s="68"/>
      <c r="J18" s="141"/>
      <c r="K18" s="141"/>
      <c r="L18" s="141"/>
      <c r="M18" s="141"/>
      <c r="N18" s="212"/>
      <c r="O18" s="141"/>
      <c r="P18" s="211"/>
      <c r="Q18" s="211"/>
      <c r="R18" s="211"/>
      <c r="S18" s="211"/>
    </row>
    <row s="2688" customFormat="1" customHeight="1" ht="10.5">
      <c r="B19" s="840"/>
      <c r="D19" s="168"/>
      <c r="J19" s="141"/>
      <c r="K19" s="141"/>
      <c r="L19" s="141"/>
      <c r="M19" s="141"/>
      <c r="N19" s="212"/>
      <c r="O19" s="141"/>
      <c r="P19" s="211"/>
      <c r="Q19" s="211"/>
      <c r="R19" s="211"/>
      <c r="S19" s="211"/>
    </row>
    <row s="2688" customFormat="1" customHeight="1" ht="10.5">
      <c r="B20" s="840"/>
      <c r="D20" s="168"/>
      <c r="J20" s="141"/>
      <c r="K20" s="141"/>
      <c r="L20" s="141"/>
      <c r="M20" s="141"/>
      <c r="N20" s="212"/>
      <c r="O20" s="141"/>
      <c r="P20" s="211"/>
      <c r="Q20" s="211"/>
      <c r="R20" s="211"/>
      <c r="S20" s="211"/>
    </row>
    <row r="24" customHeight="1" ht="14.25">
      <c r="H24" s="48"/>
    </row>
    <row r="28" customHeight="1" ht="14.25">
      <c r="J28" s="68"/>
      <c r="K28" s="68"/>
      <c r="L28" s="68"/>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60"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0E1BC85-0A4F-C4DA-E47B-352B415D2DBC}" mc:Ignorable="x14ac xr xr2 xr3">
  <sheetPr>
    <tabColor rgb="FFCCCCFF"/>
  </sheetPr>
  <dimension ref="A1:AL16"/>
  <sheetViews>
    <sheetView topLeftCell="A1" showGridLines="0" zoomScale="90" workbookViewId="0">
      <selection activeCell="A1" sqref="A1"/>
    </sheetView>
  </sheetViews>
  <sheetFormatPr defaultColWidth="9.140625" customHeight="1" defaultRowHeight="11.25"/>
  <cols>
    <col min="1" max="1" style="2774" width="6.421875" hidden="1" customWidth="1"/>
    <col min="2" max="2" style="2774" width="2.00390625" hidden="1" customWidth="1"/>
    <col min="3" max="3" style="2774" width="3.7109375" customWidth="1"/>
    <col min="4" max="4" style="2774" width="4.28125" customWidth="1"/>
    <col min="5" max="5" style="2774" width="45.00390625" customWidth="1"/>
    <col min="6" max="6" style="2774" width="6.421875" customWidth="1"/>
    <col min="7" max="7" style="2774" width="4.421875" customWidth="1"/>
    <col min="8" max="8" style="2774" width="5.57421875" customWidth="1"/>
    <col min="9" max="9" style="2774" width="52.8515625" customWidth="1"/>
    <col min="10" max="10" style="2774" width="7.00390625" customWidth="1"/>
    <col min="11" max="11" style="2774" width="3.7109375" customWidth="1"/>
    <col min="12" max="12" style="2774" width="6.28125" customWidth="1"/>
    <col min="13" max="13" style="2774" width="56.28125" customWidth="1"/>
    <col min="14" max="14" style="2696" width="9.140625"/>
    <col min="15" max="20" style="2733" width="9.140625" hidden="1"/>
    <col min="21" max="24" style="2775" width="9.140625" hidden="1"/>
    <col min="25" max="37" style="2696" width="9.140625" hidden="1"/>
    <col min="38" max="38" style="2696" width="9.140625"/>
  </cols>
  <sheetData>
    <row customHeight="1" ht="11.25" hidden="1"/>
    <row customHeight="1" ht="11.25" hidden="1"/>
    <row r="4" customHeight="1" ht="34.5">
      <c r="A4" s="591"/>
      <c r="B4" s="591"/>
      <c r="D4" s="1963" t="str">
        <f>Титульный!E5</f>
        <v>Показатели, подлежащие раскрытию в сфере теплоснабжения (цены и тарифы)</v>
      </c>
      <c r="E4" s="1964"/>
      <c r="F4" s="1964"/>
      <c r="G4" s="1964"/>
      <c r="H4" s="1964"/>
      <c r="I4" s="1965"/>
      <c r="J4" s="590"/>
      <c r="K4" s="590"/>
      <c r="L4" s="590"/>
      <c r="M4" s="590"/>
    </row>
    <row s="2697" customFormat="1" customHeight="1" ht="15">
      <c r="A5" s="591"/>
      <c r="B5" s="591"/>
      <c r="C5" s="591"/>
      <c r="D5" s="1966" t="str">
        <f>IF(org=0,"Не определено",org)</f>
        <v>ЗАО "Байкалэнерго"</v>
      </c>
      <c r="E5" s="1967"/>
      <c r="F5" s="1967"/>
      <c r="G5" s="1967"/>
      <c r="H5" s="1967"/>
      <c r="I5" s="1968"/>
      <c r="J5" s="592"/>
      <c r="K5" s="592"/>
      <c r="L5" s="592"/>
      <c r="M5" s="592"/>
      <c r="N5" s="592"/>
      <c r="O5" s="876"/>
      <c r="P5" s="876"/>
      <c r="Q5" s="876"/>
      <c r="R5" s="876"/>
      <c r="S5" s="876"/>
      <c r="T5" s="876"/>
      <c r="U5" s="1290"/>
      <c r="V5" s="1290"/>
      <c r="W5" s="1290"/>
      <c r="X5" s="1290"/>
      <c r="Y5" s="592"/>
      <c r="Z5" s="592"/>
      <c r="AA5" s="592"/>
      <c r="AB5" s="592"/>
      <c r="AC5" s="592"/>
      <c r="AD5" s="592"/>
      <c r="AE5" s="592"/>
      <c r="AF5" s="592"/>
      <c r="AG5" s="592"/>
      <c r="AH5" s="592"/>
      <c r="AI5" s="592"/>
      <c r="AJ5" s="592"/>
      <c r="AK5" s="592"/>
      <c r="AL5" s="592"/>
    </row>
    <row s="2704" customFormat="1" customHeight="1" ht="6">
      <c r="A6" s="1969"/>
      <c r="B6" s="1969"/>
      <c r="C6" s="1969"/>
      <c r="D6" s="1969"/>
      <c r="E6" s="1969"/>
      <c r="F6" s="1969"/>
      <c r="G6" s="594"/>
      <c r="H6" s="594"/>
      <c r="I6" s="594"/>
      <c r="J6" s="594"/>
      <c r="K6" s="594"/>
      <c r="N6" s="596"/>
      <c r="O6" s="1444"/>
      <c r="P6" s="1444"/>
      <c r="Q6" s="1444"/>
      <c r="R6" s="1444"/>
      <c r="S6" s="1444"/>
      <c r="T6" s="1444"/>
      <c r="U6" s="1293"/>
      <c r="V6" s="1293"/>
      <c r="W6" s="1293"/>
      <c r="X6" s="1293"/>
      <c r="Y6" s="596"/>
      <c r="Z6" s="596"/>
      <c r="AA6" s="596"/>
      <c r="AB6" s="596"/>
      <c r="AC6" s="596"/>
      <c r="AD6" s="596"/>
      <c r="AE6" s="596"/>
      <c r="AF6" s="596"/>
      <c r="AG6" s="596"/>
      <c r="AH6" s="596"/>
      <c r="AI6" s="596"/>
      <c r="AJ6" s="596"/>
      <c r="AK6" s="596"/>
      <c r="AL6" s="596"/>
    </row>
    <row customHeight="1" ht="45.75" hidden="1">
      <c r="E7" s="1974"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1975"/>
      <c r="G7" s="1975"/>
      <c r="H7" s="1975"/>
      <c r="I7" s="1975"/>
      <c r="J7" s="1975"/>
      <c r="K7" s="1975"/>
      <c r="L7" s="1975"/>
      <c r="M7" s="1975"/>
    </row>
    <row s="2697" customFormat="1" customHeight="1" ht="6">
      <c r="A8" s="597"/>
      <c r="B8" s="597"/>
      <c r="C8" s="597"/>
      <c r="D8" s="597"/>
      <c r="E8" s="597"/>
      <c r="F8" s="597"/>
      <c r="G8" s="597"/>
      <c r="H8" s="597"/>
      <c r="I8" s="597"/>
      <c r="J8" s="597"/>
      <c r="K8" s="597"/>
      <c r="L8" s="597"/>
      <c r="M8" s="595"/>
      <c r="N8" s="592"/>
      <c r="O8" s="876"/>
      <c r="P8" s="876"/>
      <c r="Q8" s="876"/>
      <c r="R8" s="876"/>
      <c r="S8" s="876"/>
      <c r="T8" s="876"/>
      <c r="U8" s="1290"/>
      <c r="V8" s="1290"/>
      <c r="W8" s="1290"/>
      <c r="X8" s="1290"/>
      <c r="Y8" s="592"/>
      <c r="Z8" s="592"/>
      <c r="AA8" s="592"/>
      <c r="AB8" s="592"/>
      <c r="AC8" s="592"/>
      <c r="AD8" s="592"/>
      <c r="AE8" s="592"/>
      <c r="AF8" s="592"/>
      <c r="AG8" s="592"/>
      <c r="AH8" s="592"/>
      <c r="AI8" s="592"/>
      <c r="AJ8" s="592"/>
      <c r="AK8" s="592"/>
      <c r="AL8" s="592"/>
    </row>
    <row customHeight="1" ht="18">
      <c r="A9" s="1970"/>
      <c r="B9" s="318"/>
      <c r="C9" s="318"/>
      <c r="D9" s="1971" t="s">
        <v>106</v>
      </c>
      <c r="E9" s="1971"/>
      <c r="F9" s="1972" t="s">
        <v>107</v>
      </c>
      <c r="G9" s="1973"/>
      <c r="H9" s="1973"/>
      <c r="I9" s="1973"/>
      <c r="J9" s="1976" t="s">
        <v>108</v>
      </c>
      <c r="K9" s="1976"/>
      <c r="L9" s="1976"/>
      <c r="M9" s="1976"/>
    </row>
    <row customHeight="1" ht="22.5">
      <c r="A10" s="1970"/>
      <c r="B10" s="598"/>
      <c r="C10" s="531"/>
      <c r="D10" s="529" t="s">
        <v>88</v>
      </c>
      <c r="E10" s="529" t="s">
        <v>89</v>
      </c>
      <c r="F10" s="529" t="s">
        <v>109</v>
      </c>
      <c r="G10" s="1977" t="s">
        <v>88</v>
      </c>
      <c r="H10" s="1978"/>
      <c r="I10" s="529" t="s">
        <v>89</v>
      </c>
      <c r="J10" s="529" t="s">
        <v>109</v>
      </c>
      <c r="K10" s="1977" t="s">
        <v>88</v>
      </c>
      <c r="L10" s="1978"/>
      <c r="M10" s="529" t="s">
        <v>89</v>
      </c>
      <c r="N10" s="1667"/>
    </row>
    <row s="2725" customFormat="1" customHeight="1" ht="11.25" hidden="1">
      <c r="A11" s="599"/>
      <c r="B11" s="599"/>
      <c r="C11" s="599"/>
      <c r="D11" s="600" t="s">
        <v>110</v>
      </c>
      <c r="E11" s="600" t="s">
        <v>111</v>
      </c>
      <c r="F11" s="600" t="s">
        <v>90</v>
      </c>
      <c r="G11" s="1959" t="s">
        <v>91</v>
      </c>
      <c r="H11" s="1960"/>
      <c r="I11" s="600" t="s">
        <v>112</v>
      </c>
      <c r="J11" s="600" t="s">
        <v>92</v>
      </c>
      <c r="K11" s="1961" t="s">
        <v>93</v>
      </c>
      <c r="L11" s="1962"/>
      <c r="M11" s="600" t="s">
        <v>113</v>
      </c>
      <c r="N11" s="1666"/>
      <c r="O11" s="1443"/>
      <c r="P11" s="1445"/>
      <c r="Q11" s="1445"/>
      <c r="R11" s="1445"/>
      <c r="S11" s="1445"/>
      <c r="T11" s="1445"/>
      <c r="U11" s="1294"/>
      <c r="V11" s="1294"/>
      <c r="W11" s="1294"/>
      <c r="X11" s="1294"/>
      <c r="Y11" s="601"/>
      <c r="Z11" s="601"/>
      <c r="AA11" s="601"/>
      <c r="AB11" s="601"/>
      <c r="AC11" s="601"/>
      <c r="AD11" s="601"/>
      <c r="AE11" s="601"/>
      <c r="AF11" s="601"/>
      <c r="AG11" s="601"/>
      <c r="AH11" s="601"/>
      <c r="AI11" s="601"/>
      <c r="AJ11" s="601"/>
      <c r="AK11" s="601"/>
      <c r="AL11" s="601"/>
    </row>
    <row customHeight="1" ht="0.75">
      <c r="A12" s="603"/>
      <c r="B12" s="604"/>
      <c r="C12" s="604"/>
      <c r="D12" s="605"/>
      <c r="E12" s="367"/>
      <c r="F12" s="606"/>
      <c r="G12" s="1066"/>
      <c r="H12" s="1066"/>
      <c r="I12" s="606"/>
      <c r="J12" s="606"/>
      <c r="K12" s="160"/>
      <c r="L12" s="367"/>
      <c r="M12" s="607"/>
      <c r="N12" s="1667"/>
      <c r="O12" s="1443" t="s">
        <v>114</v>
      </c>
      <c r="P12" s="1443" t="s">
        <v>115</v>
      </c>
      <c r="Q12" s="1443" t="s">
        <v>116</v>
      </c>
      <c r="R12" s="1443" t="s">
        <v>117</v>
      </c>
    </row>
    <row s="2745" customFormat="1" customHeight="1" ht="15">
      <c r="A13" s="281"/>
      <c r="B13" s="281"/>
      <c r="C13" s="532"/>
      <c r="D13" s="1982" t="s">
        <v>110</v>
      </c>
      <c r="E13" s="1983"/>
      <c r="F13" s="1986" t="s">
        <v>62</v>
      </c>
      <c r="G13" s="1987"/>
      <c r="H13" s="1988">
        <v>1</v>
      </c>
      <c r="I13" s="1979" t="str">
        <f>IF(U13="","",INDEX(TERRITORY_MR_LIST,MATCH(U13,TERRITORY_LIST_ID,0)))</f>
        <v/>
      </c>
      <c r="J13" s="1981" t="s">
        <v>57</v>
      </c>
      <c r="K13" s="608"/>
      <c r="L13" s="533" t="s">
        <v>110</v>
      </c>
      <c r="M13" s="609" t="s">
        <v>24</v>
      </c>
      <c r="N13" s="818"/>
      <c r="O13" s="1446" t="s">
        <v>118</v>
      </c>
      <c r="P13" s="1443">
        <f>$E$13</f>
        <v>0</v>
      </c>
      <c r="Q13" s="1443" t="str">
        <f>IF($F$13="нет","без дифференциации",$I$13)</f>
        <v/>
      </c>
      <c r="R13" s="1443" t="str">
        <f>IF($J$13="нет","без дифференциации",M13)</f>
        <v>без дифференциации</v>
      </c>
      <c r="S13" s="1446"/>
      <c r="T13" s="1446"/>
      <c r="U13" s="1295"/>
      <c r="V13" s="1295"/>
      <c r="W13" s="1295"/>
      <c r="X13" s="1295"/>
      <c r="Y13" s="610" t="s">
        <v>119</v>
      </c>
      <c r="Z13" s="610">
        <v>1705000</v>
      </c>
      <c r="AA13" s="610"/>
      <c r="AB13" s="610"/>
      <c r="AC13" s="610"/>
      <c r="AD13" s="610"/>
      <c r="AE13" s="610"/>
      <c r="AF13" s="610"/>
      <c r="AG13" s="610"/>
      <c r="AH13" s="610"/>
      <c r="AI13" s="610"/>
      <c r="AJ13" s="610"/>
      <c r="AK13" s="610"/>
      <c r="AL13" s="610"/>
    </row>
    <row s="2745" customFormat="1" customHeight="1" ht="15">
      <c r="A14" s="281"/>
      <c r="B14" s="281"/>
      <c r="C14" s="162"/>
      <c r="D14" s="1982"/>
      <c r="E14" s="1984"/>
      <c r="F14" s="1981"/>
      <c r="G14" s="1987"/>
      <c r="H14" s="1988"/>
      <c r="I14" s="1980"/>
      <c r="J14" s="1981"/>
      <c r="K14" s="427"/>
      <c r="L14" s="163"/>
      <c r="M14" s="613" t="s">
        <v>120</v>
      </c>
      <c r="N14" s="818"/>
      <c r="O14" s="1446"/>
      <c r="P14" s="1443"/>
      <c r="Q14" s="1443"/>
      <c r="R14" s="1443"/>
      <c r="S14" s="1446"/>
      <c r="T14" s="1446"/>
      <c r="U14" s="1295"/>
      <c r="V14" s="1295"/>
      <c r="W14" s="1295"/>
      <c r="X14" s="1295"/>
      <c r="Y14" s="610"/>
      <c r="Z14" s="610"/>
      <c r="AA14" s="610"/>
      <c r="AB14" s="610"/>
      <c r="AC14" s="610"/>
      <c r="AD14" s="610"/>
      <c r="AE14" s="610"/>
      <c r="AF14" s="610"/>
      <c r="AG14" s="610"/>
      <c r="AH14" s="610"/>
      <c r="AI14" s="610"/>
      <c r="AJ14" s="610"/>
      <c r="AK14" s="610"/>
      <c r="AL14" s="610"/>
    </row>
    <row s="2745" customFormat="1" customHeight="1" ht="15">
      <c r="A15" s="281"/>
      <c r="B15" s="281"/>
      <c r="C15" s="162"/>
      <c r="D15" s="1982"/>
      <c r="E15" s="1985"/>
      <c r="F15" s="1981"/>
      <c r="G15" s="1067"/>
      <c r="H15" s="1068"/>
      <c r="I15" s="586" t="s">
        <v>121</v>
      </c>
      <c r="J15" s="163"/>
      <c r="K15" s="163"/>
      <c r="L15" s="163"/>
      <c r="M15" s="614"/>
      <c r="N15" s="818"/>
      <c r="O15" s="1446"/>
      <c r="P15" s="1443"/>
      <c r="Q15" s="1443"/>
      <c r="R15" s="1443"/>
      <c r="S15" s="1446"/>
      <c r="T15" s="1446"/>
      <c r="U15" s="1295"/>
      <c r="V15" s="1295"/>
      <c r="W15" s="1295"/>
      <c r="X15" s="1295"/>
      <c r="Y15" s="610"/>
      <c r="Z15" s="610"/>
      <c r="AA15" s="610"/>
      <c r="AB15" s="610"/>
      <c r="AC15" s="610"/>
      <c r="AD15" s="610"/>
      <c r="AE15" s="610"/>
      <c r="AF15" s="610"/>
      <c r="AG15" s="610"/>
      <c r="AH15" s="610"/>
      <c r="AI15" s="610"/>
      <c r="AJ15" s="610"/>
      <c r="AK15" s="610"/>
      <c r="AL15" s="610"/>
    </row>
    <row customHeight="1" ht="15">
      <c r="A16" s="615"/>
      <c r="B16" s="121"/>
      <c r="C16" s="812"/>
      <c r="D16" s="427"/>
      <c r="E16" s="577" t="s">
        <v>122</v>
      </c>
      <c r="F16" s="163"/>
      <c r="G16" s="163"/>
      <c r="H16" s="163"/>
      <c r="I16" s="163"/>
      <c r="J16" s="163"/>
      <c r="K16" s="163" t="s">
        <v>24</v>
      </c>
      <c r="L16" s="163"/>
      <c r="M16" s="614"/>
      <c r="N16" s="1667"/>
    </row>
  </sheetData>
  <sheetProtection formatColumns="0" formatRows="0" autoFilter="0" sort="0" insertRows="0" insertColumns="1" deleteRows="0" deleteColumns="0"/>
  <mergeCells count="19">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05C98A1-5103-1C76-4439-D49D2F3E35C5}" mc:Ignorable="x14ac xr xr2 xr3">
  <sheetPr>
    <tabColor rgb="FFCCCCFF"/>
  </sheetPr>
  <dimension ref="A1:AR130"/>
  <sheetViews>
    <sheetView topLeftCell="A1" showGridLines="0" zoomScale="90" workbookViewId="0">
      <selection activeCell="R22" sqref="R22"/>
    </sheetView>
  </sheetViews>
  <sheetFormatPr defaultColWidth="9.140625" customHeight="1" defaultRowHeight="11.25"/>
  <cols>
    <col min="1" max="2" style="2930" width="3.7109375" hidden="1" customWidth="1"/>
    <col min="3" max="3" style="2931" width="3.7109375" customWidth="1"/>
    <col min="4" max="4" style="2931" width="6.140625" customWidth="1"/>
    <col min="5" max="5" style="2931" width="43.140625" customWidth="1"/>
    <col min="6" max="6" style="2852" width="15.00390625" customWidth="1"/>
    <col min="7" max="7" style="2931" width="43.140625" customWidth="1"/>
    <col min="8" max="8" style="2931" width="3.7109375" customWidth="1"/>
    <col min="9" max="9" style="2931" width="5.421875" customWidth="1"/>
    <col min="10" max="10" style="2931" width="47.8515625" customWidth="1"/>
    <col min="11" max="12" style="2931" width="3.7109375" customWidth="1"/>
    <col min="13" max="13" style="2931" width="5.7109375" customWidth="1"/>
    <col min="14" max="14" style="2931" width="28.140625" customWidth="1"/>
    <col min="15" max="16" style="2931" width="3.7109375" customWidth="1"/>
    <col min="17" max="17" style="2931" width="5.7109375" customWidth="1"/>
    <col min="18" max="18" style="2931" width="34.421875" customWidth="1"/>
    <col min="19" max="20" style="2932" width="3.7109375" customWidth="1"/>
    <col min="21" max="21" style="2932" width="5.7109375" customWidth="1"/>
    <col min="22" max="22" style="2932" width="34.421875" customWidth="1"/>
    <col min="23" max="23" style="2931" width="30.7109375" customWidth="1"/>
    <col min="24" max="24" style="2931" width="3.7109375" customWidth="1"/>
    <col min="25" max="28" style="2800" width="9.8515625" hidden="1" customWidth="1"/>
    <col min="29" max="29" style="2800" width="27.00390625" hidden="1" customWidth="1"/>
    <col min="30" max="30" style="2800" width="10.57421875" hidden="1" customWidth="1"/>
    <col min="31" max="31" style="2800" width="10.7109375" hidden="1" customWidth="1"/>
    <col min="32" max="32" style="2800" width="10.00390625" hidden="1" customWidth="1"/>
    <col min="33" max="33" style="2800" width="12.8515625" hidden="1" customWidth="1"/>
    <col min="34" max="34" style="2800" width="10.28125" hidden="1" customWidth="1"/>
    <col min="35" max="35" style="2800" width="15.8515625" hidden="1" customWidth="1"/>
    <col min="36" max="36" style="2800" width="19.421875" hidden="1" customWidth="1"/>
    <col min="37" max="37" style="2800" width="11.00390625" hidden="1" customWidth="1"/>
    <col min="38" max="38" style="2800" width="23.57421875" hidden="1" customWidth="1"/>
    <col min="39" max="39" style="2800" width="23.8515625" hidden="1" customWidth="1"/>
    <col min="40" max="40" style="2800" width="25.28125" hidden="1" customWidth="1"/>
    <col min="41" max="41" style="2800" width="16.8515625" hidden="1" customWidth="1"/>
    <col min="42" max="42" style="2800" width="29.57421875" hidden="1" customWidth="1"/>
    <col min="43" max="43" style="2800" width="29.8515625" hidden="1" customWidth="1"/>
    <col min="44" max="44" style="2931" width="9.140625" hidden="1"/>
  </cols>
  <sheetData>
    <row customHeight="1" ht="11.25" hidden="1">
      <c r="A1" s="142"/>
    </row>
    <row customHeight="1" ht="11.25" hidden="1"/>
    <row customHeight="1" ht="11.25" hidden="1"/>
    <row customHeight="1" ht="3"/>
    <row s="2777" customFormat="1" customHeight="1" ht="29.25">
      <c r="A5" s="140"/>
      <c r="B5" s="140"/>
      <c r="D5" s="2019"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020"/>
      <c r="F5" s="2020"/>
      <c r="G5" s="2020"/>
      <c r="H5" s="2020"/>
      <c r="I5" s="2020"/>
      <c r="J5" s="2021"/>
      <c r="K5" s="251"/>
      <c r="L5" s="128"/>
      <c r="M5" s="128"/>
      <c r="N5" s="128"/>
      <c r="O5" s="128"/>
      <c r="P5" s="128"/>
      <c r="Q5" s="128"/>
      <c r="R5" s="128"/>
      <c r="S5" s="278"/>
      <c r="T5" s="278"/>
      <c r="U5" s="278"/>
      <c r="V5" s="278"/>
      <c r="W5" s="128"/>
      <c r="Y5" s="1289"/>
      <c r="Z5" s="1289"/>
      <c r="AA5" s="1289"/>
      <c r="AB5" s="1289"/>
      <c r="AC5" s="1289"/>
      <c r="AD5" s="1289"/>
      <c r="AE5" s="1289"/>
      <c r="AF5" s="1289"/>
      <c r="AG5" s="1289"/>
      <c r="AH5" s="1289"/>
      <c r="AI5" s="1289"/>
      <c r="AJ5" s="1289"/>
      <c r="AK5" s="1289"/>
      <c r="AL5" s="1289"/>
      <c r="AM5" s="1289"/>
      <c r="AN5" s="1289"/>
      <c r="AO5" s="1289"/>
      <c r="AP5" s="1289"/>
      <c r="AQ5" s="1289"/>
    </row>
    <row s="2697" customFormat="1" customHeight="1" ht="15">
      <c r="A6" s="591"/>
      <c r="B6" s="591"/>
      <c r="C6" s="591"/>
      <c r="D6" s="2025" t="str">
        <f>IF(org=0,"Не определено",org)</f>
        <v>ЗАО "Байкалэнерго"</v>
      </c>
      <c r="E6" s="2025"/>
      <c r="F6" s="2025"/>
      <c r="G6" s="2025"/>
      <c r="H6" s="2025"/>
      <c r="I6" s="2025"/>
      <c r="J6" s="2025"/>
      <c r="K6" s="592"/>
      <c r="L6" s="592"/>
      <c r="M6" s="592"/>
      <c r="N6" s="592"/>
      <c r="O6" s="876"/>
      <c r="P6" s="876"/>
      <c r="Q6" s="876"/>
      <c r="R6" s="876"/>
      <c r="S6" s="876"/>
      <c r="T6" s="876"/>
      <c r="U6" s="876"/>
      <c r="V6" s="876"/>
      <c r="W6" s="876"/>
      <c r="X6" s="592"/>
      <c r="Y6" s="1290"/>
      <c r="Z6" s="1290"/>
      <c r="AA6" s="1290"/>
      <c r="AB6" s="1290"/>
      <c r="AC6" s="1290"/>
      <c r="AD6" s="1290"/>
      <c r="AE6" s="1290"/>
      <c r="AF6" s="1290"/>
      <c r="AG6" s="1290"/>
      <c r="AH6" s="1290"/>
      <c r="AI6" s="1290"/>
      <c r="AJ6" s="1290"/>
      <c r="AK6" s="1290"/>
      <c r="AL6" s="1290"/>
      <c r="AM6" s="1290"/>
      <c r="AN6" s="1290"/>
      <c r="AO6" s="1290"/>
      <c r="AP6" s="1290"/>
      <c r="AQ6" s="1290"/>
    </row>
    <row s="2787" customFormat="1" customHeight="1" ht="11.25">
      <c r="A7" s="197"/>
      <c r="B7" s="197"/>
      <c r="D7" s="2022"/>
      <c r="E7" s="2023"/>
      <c r="F7" s="2023"/>
      <c r="G7" s="2023"/>
      <c r="H7" s="2023"/>
      <c r="I7" s="2023"/>
      <c r="J7" s="2024"/>
      <c r="S7" s="287"/>
      <c r="T7" s="287"/>
      <c r="U7" s="287"/>
      <c r="V7" s="287"/>
      <c r="Y7" s="1291"/>
      <c r="Z7" s="1291"/>
      <c r="AA7" s="1291"/>
      <c r="AB7" s="1291"/>
      <c r="AC7" s="1291"/>
      <c r="AD7" s="1291"/>
      <c r="AE7" s="1291"/>
      <c r="AF7" s="1291"/>
      <c r="AG7" s="1291"/>
      <c r="AH7" s="1291"/>
      <c r="AI7" s="1291"/>
      <c r="AJ7" s="1291"/>
      <c r="AK7" s="1291"/>
      <c r="AL7" s="1291"/>
      <c r="AM7" s="1291"/>
      <c r="AN7" s="1291"/>
      <c r="AO7" s="1291"/>
      <c r="AP7" s="1291"/>
      <c r="AQ7" s="1291"/>
    </row>
    <row s="2777" customFormat="1" customHeight="1" ht="0.75">
      <c r="A8" s="140"/>
      <c r="B8" s="140"/>
      <c r="D8" s="198"/>
      <c r="E8" s="198"/>
      <c r="F8" s="198"/>
      <c r="G8" s="198"/>
      <c r="H8" s="198"/>
      <c r="I8" s="198"/>
      <c r="J8" s="198"/>
      <c r="K8" s="198"/>
      <c r="L8" s="198"/>
      <c r="M8" s="198"/>
      <c r="N8" s="198"/>
      <c r="O8" s="198"/>
      <c r="P8" s="198"/>
      <c r="Q8" s="198"/>
      <c r="R8" s="198"/>
      <c r="S8" s="198"/>
      <c r="T8" s="198"/>
      <c r="U8" s="198"/>
      <c r="V8" s="198"/>
      <c r="W8" s="198"/>
      <c r="X8" s="118"/>
      <c r="Y8" s="1289"/>
      <c r="Z8" s="1289"/>
      <c r="AA8" s="1289"/>
      <c r="AB8" s="1289"/>
      <c r="AC8" s="1289"/>
      <c r="AD8" s="1289"/>
      <c r="AE8" s="1289"/>
      <c r="AF8" s="1289"/>
      <c r="AG8" s="1289"/>
      <c r="AH8" s="1289"/>
      <c r="AI8" s="1289"/>
      <c r="AJ8" s="1289"/>
      <c r="AK8" s="1289"/>
      <c r="AL8" s="1289"/>
      <c r="AM8" s="1289"/>
      <c r="AN8" s="1289"/>
      <c r="AO8" s="1289"/>
      <c r="AP8" s="1289"/>
      <c r="AQ8" s="1289"/>
    </row>
    <row customHeight="1" ht="27">
      <c r="D9" s="1971" t="s">
        <v>88</v>
      </c>
      <c r="E9" s="1955" t="s">
        <v>123</v>
      </c>
      <c r="F9" s="1957"/>
      <c r="G9" s="1971" t="s">
        <v>106</v>
      </c>
      <c r="H9" s="1971" t="s">
        <v>88</v>
      </c>
      <c r="I9" s="1971"/>
      <c r="J9" s="1971" t="s">
        <v>124</v>
      </c>
      <c r="K9" s="2026" t="s">
        <v>125</v>
      </c>
      <c r="L9" s="2026"/>
      <c r="M9" s="2026"/>
      <c r="N9" s="2026"/>
      <c r="O9" s="2026" t="s">
        <v>126</v>
      </c>
      <c r="P9" s="2026"/>
      <c r="Q9" s="2026"/>
      <c r="R9" s="2026"/>
      <c r="S9" s="2026" t="s">
        <v>127</v>
      </c>
      <c r="T9" s="2026"/>
      <c r="U9" s="2026"/>
      <c r="V9" s="2026"/>
      <c r="W9" s="1971" t="s">
        <v>128</v>
      </c>
    </row>
    <row customHeight="1" ht="30">
      <c r="D10" s="1971"/>
      <c r="E10" s="1314" t="s">
        <v>89</v>
      </c>
      <c r="F10" s="1314" t="s">
        <v>129</v>
      </c>
      <c r="G10" s="1971"/>
      <c r="H10" s="1971"/>
      <c r="I10" s="1971"/>
      <c r="J10" s="1971"/>
      <c r="K10" s="96" t="s">
        <v>109</v>
      </c>
      <c r="L10" s="1971" t="s">
        <v>88</v>
      </c>
      <c r="M10" s="1971"/>
      <c r="N10" s="96" t="s">
        <v>130</v>
      </c>
      <c r="O10" s="96" t="s">
        <v>109</v>
      </c>
      <c r="P10" s="1971" t="s">
        <v>88</v>
      </c>
      <c r="Q10" s="1971"/>
      <c r="R10" s="96" t="s">
        <v>130</v>
      </c>
      <c r="S10" s="271" t="s">
        <v>109</v>
      </c>
      <c r="T10" s="1971" t="s">
        <v>88</v>
      </c>
      <c r="U10" s="1971"/>
      <c r="V10" s="271" t="s">
        <v>89</v>
      </c>
      <c r="W10" s="1971"/>
      <c r="Z10" s="1288" t="s">
        <v>131</v>
      </c>
      <c r="AA10" s="1288" t="s">
        <v>132</v>
      </c>
      <c r="AB10" s="1288" t="s">
        <v>133</v>
      </c>
      <c r="AC10" s="1288" t="s">
        <v>134</v>
      </c>
      <c r="AD10" s="1288" t="s">
        <v>135</v>
      </c>
      <c r="AE10" s="1288" t="s">
        <v>136</v>
      </c>
      <c r="AF10" s="1288" t="s">
        <v>137</v>
      </c>
      <c r="AG10" s="1288" t="s">
        <v>138</v>
      </c>
      <c r="AH10" s="1288" t="s">
        <v>139</v>
      </c>
      <c r="AI10" s="1288" t="s">
        <v>140</v>
      </c>
      <c r="AJ10" s="1288" t="s">
        <v>141</v>
      </c>
      <c r="AK10" s="1288" t="s">
        <v>142</v>
      </c>
      <c r="AL10" s="1288" t="s">
        <v>143</v>
      </c>
      <c r="AM10" s="1288" t="s">
        <v>144</v>
      </c>
      <c r="AN10" s="1288" t="s">
        <v>145</v>
      </c>
      <c r="AO10" s="1288" t="s">
        <v>146</v>
      </c>
      <c r="AP10" s="1288" t="s">
        <v>147</v>
      </c>
      <c r="AQ10" s="1288" t="s">
        <v>148</v>
      </c>
    </row>
    <row s="2801" customFormat="1" customHeight="1" ht="12" hidden="1">
      <c r="D11" s="1268" t="s">
        <v>110</v>
      </c>
      <c r="E11" s="1268" t="s">
        <v>111</v>
      </c>
      <c r="F11" s="1268"/>
      <c r="G11" s="1268" t="s">
        <v>90</v>
      </c>
      <c r="H11" s="2018" t="s">
        <v>112</v>
      </c>
      <c r="I11" s="2018"/>
      <c r="J11" s="1268" t="s">
        <v>92</v>
      </c>
      <c r="K11" s="1268" t="s">
        <v>93</v>
      </c>
      <c r="L11" s="2018" t="s">
        <v>113</v>
      </c>
      <c r="M11" s="2018"/>
      <c r="N11" s="1268" t="s">
        <v>149</v>
      </c>
      <c r="O11" s="1268" t="s">
        <v>150</v>
      </c>
      <c r="P11" s="2018" t="s">
        <v>151</v>
      </c>
      <c r="Q11" s="2018"/>
      <c r="R11" s="1268" t="s">
        <v>152</v>
      </c>
      <c r="S11" s="1268" t="s">
        <v>151</v>
      </c>
      <c r="T11" s="2018" t="s">
        <v>152</v>
      </c>
      <c r="U11" s="2018"/>
      <c r="V11" s="1268" t="s">
        <v>153</v>
      </c>
      <c r="W11" s="1268" t="s">
        <v>154</v>
      </c>
      <c r="Y11" s="1288"/>
      <c r="Z11" s="1288"/>
      <c r="AA11" s="1288"/>
      <c r="AB11" s="1288"/>
      <c r="AC11" s="1288"/>
      <c r="AD11" s="1288"/>
      <c r="AE11" s="1288"/>
      <c r="AF11" s="1288"/>
      <c r="AG11" s="1288"/>
      <c r="AH11" s="1288"/>
      <c r="AI11" s="1288"/>
      <c r="AJ11" s="1288"/>
      <c r="AK11" s="1288"/>
      <c r="AL11" s="1288"/>
      <c r="AM11" s="1288"/>
      <c r="AN11" s="1288"/>
      <c r="AO11" s="1288"/>
      <c r="AP11" s="1288"/>
      <c r="AQ11" s="1288"/>
    </row>
    <row customHeight="1" ht="14.25" hidden="1">
      <c r="C12" s="195"/>
      <c r="D12" s="1312">
        <v>0</v>
      </c>
      <c r="E12" s="236"/>
      <c r="F12" s="236"/>
      <c r="G12" s="236"/>
      <c r="H12" s="237"/>
      <c r="I12" s="237"/>
      <c r="J12" s="144"/>
      <c r="K12" s="98"/>
      <c r="L12" s="144"/>
      <c r="M12" s="144"/>
      <c r="N12" s="238"/>
      <c r="O12" s="98"/>
      <c r="P12" s="144"/>
      <c r="Q12" s="144"/>
      <c r="R12" s="239"/>
      <c r="S12" s="272"/>
      <c r="T12" s="280"/>
      <c r="U12" s="280"/>
      <c r="V12" s="284"/>
      <c r="W12" s="98"/>
      <c r="X12" s="127"/>
    </row>
    <row s="2816" customFormat="1" customHeight="1" ht="17.25">
      <c r="A13" s="314"/>
      <c r="C13" s="195"/>
      <c r="D13" s="1991">
        <v>1</v>
      </c>
      <c r="E13" s="1993" t="s">
        <v>155</v>
      </c>
      <c r="F13" s="1995" t="s">
        <v>57</v>
      </c>
      <c r="G13" s="1993"/>
      <c r="H13" s="1998"/>
      <c r="I13" s="2000"/>
      <c r="J13" s="2002"/>
      <c r="K13" s="1989"/>
      <c r="L13" s="1989"/>
      <c r="M13" s="1989"/>
      <c r="N13" s="2005"/>
      <c r="O13" s="1989"/>
      <c r="P13" s="1989"/>
      <c r="Q13" s="1989"/>
      <c r="R13" s="2008"/>
      <c r="S13" s="1989"/>
      <c r="T13" s="1450"/>
      <c r="U13" s="1450"/>
      <c r="V13" s="1449"/>
      <c r="W13" s="1326"/>
      <c r="Y13" s="1296"/>
      <c r="Z13" s="1296"/>
      <c r="AA13" s="1296"/>
      <c r="AB13" s="1296"/>
      <c r="AC13" s="1296" t="s">
        <v>156</v>
      </c>
      <c r="AD13" s="1296" t="s">
        <v>157</v>
      </c>
      <c r="AE13" s="1296" t="s">
        <v>158</v>
      </c>
      <c r="AF13" s="1296" t="s">
        <v>159</v>
      </c>
      <c r="AG13" s="1296" t="s">
        <v>160</v>
      </c>
      <c r="AH13" s="1296"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96" t="str">
        <f>IF($G$13=0,"",$G$13)</f>
        <v/>
      </c>
      <c r="AJ13" s="1296" t="str">
        <f>IF($J$13=0,"",$J$13)</f>
        <v/>
      </c>
      <c r="AK13" s="1296" t="str">
        <f>IF($K$13="нет","без дифференциации",IF($N$13=0,"",$N$13))</f>
        <v/>
      </c>
      <c r="AL13" s="1296" t="str">
        <f>IF($O$13="нет","без дифференциации",IF($R$13=0,"",$R$13))</f>
        <v/>
      </c>
      <c r="AM13" s="1296" t="str">
        <f>IF($S$13="нет","без дифференциации",IF($V$13=0,"",$V$13))</f>
        <v/>
      </c>
      <c r="AN13" s="1296">
        <f>$I$13</f>
        <v>0</v>
      </c>
      <c r="AO13" s="1296" t="str">
        <f>$I$13&amp;"."&amp;$M$13</f>
        <v>.</v>
      </c>
      <c r="AP13" s="1296" t="str">
        <f>$I$13&amp;"."&amp;$M$13&amp;"."&amp;$Q$13</f>
        <v>..</v>
      </c>
      <c r="AQ13" s="1296" t="str">
        <f>$I$13&amp;"."&amp;$M$13&amp;"."&amp;$Q$13&amp;"."&amp;$U$13</f>
        <v>...</v>
      </c>
    </row>
    <row s="2816" customFormat="1" customHeight="1" ht="17.25">
      <c r="A14" s="314"/>
      <c r="C14" s="313"/>
      <c r="D14" s="1991"/>
      <c r="E14" s="1993"/>
      <c r="F14" s="1996"/>
      <c r="G14" s="1993"/>
      <c r="H14" s="1999"/>
      <c r="I14" s="2001"/>
      <c r="J14" s="2003"/>
      <c r="K14" s="1990"/>
      <c r="L14" s="1990"/>
      <c r="M14" s="1990"/>
      <c r="N14" s="2006"/>
      <c r="O14" s="1990"/>
      <c r="P14" s="1990"/>
      <c r="Q14" s="1990"/>
      <c r="R14" s="2007"/>
      <c r="S14" s="1990"/>
      <c r="T14" s="1327"/>
      <c r="U14" s="1327"/>
      <c r="V14" s="1327"/>
      <c r="W14" s="1328"/>
      <c r="Y14" s="1288"/>
      <c r="Z14" s="1288"/>
      <c r="AA14" s="1288"/>
      <c r="AB14" s="1288"/>
      <c r="AC14" s="1288"/>
      <c r="AD14" s="1288"/>
      <c r="AE14" s="1288"/>
      <c r="AF14" s="1288"/>
      <c r="AG14" s="1288"/>
      <c r="AH14" s="1288"/>
      <c r="AI14" s="1288"/>
      <c r="AJ14" s="1288"/>
      <c r="AK14" s="1288"/>
      <c r="AL14" s="1288"/>
      <c r="AM14" s="1288"/>
      <c r="AN14" s="1288"/>
      <c r="AO14" s="1288"/>
      <c r="AP14" s="1288"/>
      <c r="AQ14" s="1288"/>
    </row>
    <row s="2841" customFormat="1" customHeight="1" ht="17.25">
      <c r="A15" s="314"/>
      <c r="C15" s="195"/>
      <c r="D15" s="1991"/>
      <c r="E15" s="1993"/>
      <c r="F15" s="1996"/>
      <c r="G15" s="1993"/>
      <c r="H15" s="1999"/>
      <c r="I15" s="2001"/>
      <c r="J15" s="2004"/>
      <c r="K15" s="1990"/>
      <c r="L15" s="1990"/>
      <c r="M15" s="1990"/>
      <c r="N15" s="2007"/>
      <c r="O15" s="1990"/>
      <c r="P15" s="1448"/>
      <c r="Q15" s="1327"/>
      <c r="R15" s="1327"/>
      <c r="S15" s="325"/>
      <c r="T15" s="325"/>
      <c r="U15" s="325"/>
      <c r="V15" s="325"/>
      <c r="W15" s="1328"/>
      <c r="Y15" s="1296"/>
      <c r="Z15" s="1296"/>
      <c r="AA15" s="1296"/>
      <c r="AB15" s="1296"/>
      <c r="AC15" s="1296"/>
      <c r="AD15" s="1296"/>
      <c r="AE15" s="1296"/>
      <c r="AF15" s="1296"/>
      <c r="AG15" s="1296"/>
      <c r="AH15" s="1296"/>
      <c r="AI15" s="1296"/>
      <c r="AJ15" s="1296"/>
      <c r="AK15" s="1296"/>
      <c r="AL15" s="1296"/>
      <c r="AM15" s="1296"/>
      <c r="AN15" s="1296"/>
      <c r="AO15" s="1296"/>
      <c r="AP15" s="1296"/>
      <c r="AQ15" s="1296"/>
    </row>
    <row s="2841" customFormat="1" customHeight="1" ht="17.25">
      <c r="A16" s="314"/>
      <c r="C16" s="313"/>
      <c r="D16" s="1991"/>
      <c r="E16" s="1993"/>
      <c r="F16" s="1996"/>
      <c r="G16" s="1993"/>
      <c r="H16" s="1999"/>
      <c r="I16" s="2001"/>
      <c r="J16" s="2004"/>
      <c r="K16" s="1990"/>
      <c r="L16" s="1327"/>
      <c r="M16" s="1327"/>
      <c r="N16" s="1327"/>
      <c r="O16" s="1327"/>
      <c r="P16" s="1327"/>
      <c r="Q16" s="1327"/>
      <c r="R16" s="1327"/>
      <c r="S16" s="325"/>
      <c r="T16" s="325"/>
      <c r="U16" s="325"/>
      <c r="V16" s="325"/>
      <c r="W16" s="1328"/>
      <c r="Y16" s="1288"/>
      <c r="Z16" s="1288"/>
      <c r="AA16" s="1288"/>
      <c r="AB16" s="1288"/>
      <c r="AC16" s="1288"/>
      <c r="AD16" s="1288"/>
      <c r="AE16" s="1288"/>
      <c r="AF16" s="1288"/>
      <c r="AG16" s="1288"/>
      <c r="AH16" s="1288"/>
      <c r="AI16" s="1288"/>
      <c r="AJ16" s="1288"/>
      <c r="AK16" s="1288"/>
      <c r="AL16" s="1288"/>
      <c r="AM16" s="1288"/>
      <c r="AN16" s="1288"/>
      <c r="AO16" s="1288"/>
      <c r="AP16" s="1288"/>
      <c r="AQ16" s="1288"/>
    </row>
    <row s="2816" customFormat="1" customHeight="1" ht="17.25">
      <c r="A17" s="314"/>
      <c r="C17" s="313"/>
      <c r="D17" s="1992"/>
      <c r="E17" s="1994"/>
      <c r="F17" s="1997"/>
      <c r="G17" s="1994"/>
      <c r="H17" s="1329"/>
      <c r="I17" s="1330"/>
      <c r="J17" s="1330"/>
      <c r="K17" s="1330"/>
      <c r="L17" s="1330"/>
      <c r="M17" s="1330"/>
      <c r="N17" s="1330"/>
      <c r="O17" s="1330"/>
      <c r="P17" s="1330"/>
      <c r="Q17" s="1330"/>
      <c r="R17" s="1330"/>
      <c r="S17" s="1331"/>
      <c r="T17" s="1331"/>
      <c r="U17" s="1331"/>
      <c r="V17" s="1331"/>
      <c r="W17" s="1332"/>
      <c r="Y17" s="1288"/>
      <c r="Z17" s="1288"/>
      <c r="AA17" s="1288"/>
      <c r="AB17" s="1288"/>
      <c r="AC17" s="1288"/>
      <c r="AD17" s="1288"/>
      <c r="AE17" s="1288"/>
      <c r="AF17" s="1288"/>
      <c r="AG17" s="1288"/>
      <c r="AH17" s="1288"/>
      <c r="AI17" s="1288"/>
      <c r="AJ17" s="1288"/>
      <c r="AK17" s="1288"/>
      <c r="AL17" s="1288"/>
      <c r="AM17" s="1288"/>
      <c r="AN17" s="1288"/>
      <c r="AO17" s="1288"/>
      <c r="AP17" s="1288"/>
      <c r="AQ17" s="1288"/>
    </row>
    <row s="2852" customFormat="1" customHeight="1" ht="17.25">
      <c r="A18" s="314"/>
      <c r="C18" s="195"/>
      <c r="D18" s="1991">
        <v>2</v>
      </c>
      <c r="E18" s="1993" t="s">
        <v>161</v>
      </c>
      <c r="F18" s="1995" t="s">
        <v>57</v>
      </c>
      <c r="G18" s="1993"/>
      <c r="H18" s="1998"/>
      <c r="I18" s="2000"/>
      <c r="J18" s="2002"/>
      <c r="K18" s="1989"/>
      <c r="L18" s="1989"/>
      <c r="M18" s="1989"/>
      <c r="N18" s="2005"/>
      <c r="O18" s="1989"/>
      <c r="P18" s="1989"/>
      <c r="Q18" s="1989"/>
      <c r="R18" s="2008"/>
      <c r="S18" s="1989"/>
      <c r="T18" s="1450"/>
      <c r="U18" s="1450"/>
      <c r="V18" s="1449"/>
      <c r="W18" s="1326"/>
      <c r="X18" s="1296"/>
      <c r="Y18" s="1296"/>
      <c r="Z18" s="1296"/>
      <c r="AA18" s="1296"/>
      <c r="AB18" s="1296"/>
      <c r="AC18" s="1296" t="s">
        <v>162</v>
      </c>
      <c r="AD18" s="1296" t="s">
        <v>163</v>
      </c>
      <c r="AE18" s="1296" t="s">
        <v>164</v>
      </c>
      <c r="AF18" s="1296" t="s">
        <v>165</v>
      </c>
      <c r="AG18" s="1296" t="s">
        <v>166</v>
      </c>
      <c r="AH18" s="1296" t="str">
        <f>IF($E$18=0,"",$E$18)</f>
        <v>Тарифы на тепловую энергию (мощность), поставляемую теплоснабжающими организациями потребителям, другим теплоснабжающим организациям</v>
      </c>
      <c r="AI18" s="1296" t="str">
        <f>IF($G$18=0,"",$G$18)</f>
        <v/>
      </c>
      <c r="AJ18" s="1296" t="str">
        <f>IF($J$18=0,"",$J$18)</f>
        <v/>
      </c>
      <c r="AK18" s="1296" t="str">
        <f>IF($K$18="нет","без дифференциации",IF($N$18=0,"",$N$18))</f>
        <v/>
      </c>
      <c r="AL18" s="1296" t="str">
        <f>IF($O$18="нет","без дифференциации",IF($R$18=0,"",$R$18))</f>
        <v/>
      </c>
      <c r="AM18" s="1296" t="str">
        <f>IF($S$18="нет","без дифференциации",IF($V$18=0,"",$V$18))</f>
        <v/>
      </c>
      <c r="AN18" s="1813">
        <f>$I$18</f>
        <v>0</v>
      </c>
      <c r="AO18" s="1296" t="str">
        <f>$I$18&amp;"."&amp;$M$18</f>
        <v>.</v>
      </c>
      <c r="AP18" s="1288" t="str">
        <f>$I$18&amp;"."&amp;$M$18&amp;"."&amp;$Q$18</f>
        <v>..</v>
      </c>
      <c r="AQ18" s="1288" t="str">
        <f>$I$18&amp;"."&amp;$M$18&amp;"."&amp;$Q$18&amp;"."&amp;$U$18</f>
        <v>...</v>
      </c>
    </row>
    <row s="2852" customFormat="1" customHeight="1" ht="17.25">
      <c r="A19" s="314"/>
      <c r="C19" s="313"/>
      <c r="D19" s="1991"/>
      <c r="E19" s="1993"/>
      <c r="F19" s="1996"/>
      <c r="G19" s="1993"/>
      <c r="H19" s="1999"/>
      <c r="I19" s="2001"/>
      <c r="J19" s="2003"/>
      <c r="K19" s="1990"/>
      <c r="L19" s="1990"/>
      <c r="M19" s="1990"/>
      <c r="N19" s="2006"/>
      <c r="O19" s="1990"/>
      <c r="P19" s="1990"/>
      <c r="Q19" s="1990"/>
      <c r="R19" s="2007"/>
      <c r="S19" s="1990"/>
      <c r="T19" s="1327"/>
      <c r="U19" s="1327"/>
      <c r="V19" s="1327"/>
      <c r="W19" s="1328"/>
      <c r="X19" s="1288"/>
      <c r="Y19" s="1288"/>
      <c r="Z19" s="1288"/>
      <c r="AA19" s="1288"/>
      <c r="AB19" s="1288"/>
      <c r="AC19" s="1288"/>
      <c r="AD19" s="1288"/>
      <c r="AE19" s="1288"/>
      <c r="AF19" s="1288"/>
      <c r="AG19" s="1288"/>
      <c r="AH19" s="1288"/>
      <c r="AI19" s="1288"/>
      <c r="AJ19" s="1288"/>
      <c r="AK19" s="1288"/>
      <c r="AL19" s="1288"/>
      <c r="AM19" s="1288"/>
      <c r="AN19" s="1288"/>
      <c r="AO19" s="1288"/>
      <c r="AP19" s="1288"/>
      <c r="AQ19" s="1288"/>
    </row>
    <row s="2852" customFormat="1" customHeight="1" ht="17.25">
      <c r="A20" s="314"/>
      <c r="C20" s="313"/>
      <c r="D20" s="1992"/>
      <c r="E20" s="1994"/>
      <c r="F20" s="1996"/>
      <c r="G20" s="1994"/>
      <c r="H20" s="1999"/>
      <c r="I20" s="2001"/>
      <c r="J20" s="2004"/>
      <c r="K20" s="1990"/>
      <c r="L20" s="1990"/>
      <c r="M20" s="1990"/>
      <c r="N20" s="2007"/>
      <c r="O20" s="1990"/>
      <c r="P20" s="1448"/>
      <c r="Q20" s="1327"/>
      <c r="R20" s="1327"/>
      <c r="S20" s="325"/>
      <c r="T20" s="325"/>
      <c r="U20" s="325"/>
      <c r="V20" s="325"/>
      <c r="W20" s="1328"/>
      <c r="X20" s="1288"/>
      <c r="Y20" s="1288"/>
      <c r="Z20" s="1288"/>
      <c r="AA20" s="1288"/>
      <c r="AB20" s="1288"/>
      <c r="AC20" s="1288"/>
      <c r="AD20" s="1288"/>
      <c r="AE20" s="1288"/>
      <c r="AF20" s="1288"/>
      <c r="AG20" s="1288"/>
      <c r="AH20" s="1288"/>
      <c r="AI20" s="1288"/>
      <c r="AJ20" s="1288"/>
      <c r="AK20" s="1288"/>
      <c r="AL20" s="1288"/>
      <c r="AM20" s="1288"/>
      <c r="AN20" s="1288"/>
      <c r="AO20" s="1288"/>
      <c r="AP20" s="1288"/>
      <c r="AQ20" s="1288"/>
    </row>
    <row s="2852" customFormat="1" customHeight="1" ht="17.25">
      <c r="A21" s="314"/>
      <c r="C21" s="313"/>
      <c r="D21" s="1992"/>
      <c r="E21" s="1994"/>
      <c r="F21" s="1996"/>
      <c r="G21" s="1994"/>
      <c r="H21" s="1999"/>
      <c r="I21" s="2001"/>
      <c r="J21" s="2004"/>
      <c r="K21" s="1990"/>
      <c r="L21" s="1327"/>
      <c r="M21" s="1327"/>
      <c r="N21" s="1327"/>
      <c r="O21" s="1327"/>
      <c r="P21" s="1327"/>
      <c r="Q21" s="1327"/>
      <c r="R21" s="1327"/>
      <c r="S21" s="325"/>
      <c r="T21" s="325"/>
      <c r="U21" s="325"/>
      <c r="V21" s="325"/>
      <c r="W21" s="1328"/>
      <c r="X21" s="1288"/>
      <c r="Y21" s="1288"/>
      <c r="Z21" s="1288"/>
      <c r="AA21" s="1288"/>
      <c r="AB21" s="1288"/>
      <c r="AC21" s="1288"/>
      <c r="AD21" s="1288"/>
      <c r="AE21" s="1288"/>
      <c r="AF21" s="1288"/>
      <c r="AG21" s="1288"/>
      <c r="AH21" s="1288"/>
      <c r="AI21" s="1288"/>
      <c r="AJ21" s="1288"/>
      <c r="AK21" s="1288"/>
      <c r="AL21" s="1288"/>
      <c r="AM21" s="1288"/>
      <c r="AN21" s="1288"/>
      <c r="AO21" s="1288"/>
      <c r="AP21" s="1288"/>
      <c r="AQ21" s="1288"/>
    </row>
    <row s="2852" customFormat="1" customHeight="1" ht="17.25">
      <c r="A22" s="314"/>
      <c r="C22" s="313"/>
      <c r="D22" s="1992"/>
      <c r="E22" s="1994"/>
      <c r="F22" s="1997"/>
      <c r="G22" s="1994"/>
      <c r="H22" s="1329"/>
      <c r="I22" s="1330"/>
      <c r="J22" s="1330"/>
      <c r="K22" s="1330"/>
      <c r="L22" s="1330"/>
      <c r="M22" s="1330"/>
      <c r="N22" s="1330"/>
      <c r="O22" s="1330"/>
      <c r="P22" s="1330"/>
      <c r="Q22" s="1330"/>
      <c r="R22" s="1330"/>
      <c r="S22" s="1331"/>
      <c r="T22" s="1331"/>
      <c r="U22" s="1331"/>
      <c r="V22" s="1331"/>
      <c r="W22" s="1332"/>
      <c r="X22" s="1288"/>
      <c r="Y22" s="1288"/>
      <c r="Z22" s="1288"/>
      <c r="AA22" s="1288"/>
      <c r="AB22" s="1288"/>
      <c r="AC22" s="1288"/>
      <c r="AD22" s="1288"/>
      <c r="AE22" s="1288"/>
      <c r="AF22" s="1288"/>
      <c r="AG22" s="1288"/>
      <c r="AH22" s="1288"/>
      <c r="AI22" s="1288"/>
      <c r="AJ22" s="1288"/>
      <c r="AK22" s="1288"/>
      <c r="AL22" s="1288"/>
      <c r="AM22" s="1288"/>
      <c r="AN22" s="1288"/>
      <c r="AO22" s="1288"/>
      <c r="AP22" s="1288"/>
      <c r="AQ22" s="1288"/>
    </row>
    <row s="2852" customFormat="1" customHeight="1" ht="17.25">
      <c r="A23" s="314"/>
      <c r="C23" s="195"/>
      <c r="D23" s="1991">
        <v>3</v>
      </c>
      <c r="E23" s="1993" t="s">
        <v>167</v>
      </c>
      <c r="F23" s="1995" t="s">
        <v>57</v>
      </c>
      <c r="G23" s="1993"/>
      <c r="H23" s="1998"/>
      <c r="I23" s="2000"/>
      <c r="J23" s="2002"/>
      <c r="K23" s="1989"/>
      <c r="L23" s="1989"/>
      <c r="M23" s="1989"/>
      <c r="N23" s="2005"/>
      <c r="O23" s="1989"/>
      <c r="P23" s="1989"/>
      <c r="Q23" s="1989"/>
      <c r="R23" s="2008"/>
      <c r="S23" s="1989"/>
      <c r="T23" s="1450"/>
      <c r="U23" s="1450"/>
      <c r="V23" s="1449"/>
      <c r="W23" s="1326"/>
      <c r="X23" s="1296"/>
      <c r="Y23" s="1296"/>
      <c r="Z23" s="1296"/>
      <c r="AA23" s="1296"/>
      <c r="AB23" s="1296"/>
      <c r="AC23" s="1296" t="s">
        <v>168</v>
      </c>
      <c r="AD23" s="1296" t="s">
        <v>169</v>
      </c>
      <c r="AE23" s="1296" t="s">
        <v>170</v>
      </c>
      <c r="AF23" s="1296" t="s">
        <v>171</v>
      </c>
      <c r="AG23" s="1296" t="s">
        <v>172</v>
      </c>
      <c r="AH23" s="1296" t="str">
        <f>IF($E$23=0,"",$E$23)</f>
        <v>Тарифы на теплоноситель, поставляемый теплоснабжающими организациями потребителям, другим теплоснабжающим организациям</v>
      </c>
      <c r="AI23" s="1296" t="str">
        <f>IF($G$23=0,"",$G$23)</f>
        <v/>
      </c>
      <c r="AJ23" s="1296" t="str">
        <f>IF($J$23=0,"",$J$23)</f>
        <v/>
      </c>
      <c r="AK23" s="1296" t="str">
        <f>IF($K$23="нет","без дифференциации",IF($N$23=0,"",$N$23))</f>
        <v/>
      </c>
      <c r="AL23" s="1296" t="str">
        <f>IF($O$23="нет","без дифференциации",IF($R$23=0,"",$R$23))</f>
        <v/>
      </c>
      <c r="AM23" s="1296" t="str">
        <f>IF($S$23="нет","без дифференциации",IF($V$23=0,"",$V$23))</f>
        <v/>
      </c>
      <c r="AN23" s="1813">
        <f>$I$23</f>
        <v>0</v>
      </c>
      <c r="AO23" s="1296" t="str">
        <f>$I$23&amp;"."&amp;$M$23</f>
        <v>.</v>
      </c>
      <c r="AP23" s="1288" t="str">
        <f>$I$23&amp;"."&amp;$M$23&amp;"."&amp;$Q$23</f>
        <v>..</v>
      </c>
      <c r="AQ23" s="1288" t="str">
        <f>$I$23&amp;"."&amp;$M$23&amp;"."&amp;$Q$23&amp;"."&amp;$U$23</f>
        <v>...</v>
      </c>
    </row>
    <row s="2852" customFormat="1" customHeight="1" ht="17.25">
      <c r="A24" s="314"/>
      <c r="C24" s="313"/>
      <c r="D24" s="1991"/>
      <c r="E24" s="1993"/>
      <c r="F24" s="1996"/>
      <c r="G24" s="1993"/>
      <c r="H24" s="1999"/>
      <c r="I24" s="2001"/>
      <c r="J24" s="2003"/>
      <c r="K24" s="1990"/>
      <c r="L24" s="1990"/>
      <c r="M24" s="1990"/>
      <c r="N24" s="2006"/>
      <c r="O24" s="1990"/>
      <c r="P24" s="1990"/>
      <c r="Q24" s="1990"/>
      <c r="R24" s="2007"/>
      <c r="S24" s="1990"/>
      <c r="T24" s="1327"/>
      <c r="U24" s="1327"/>
      <c r="V24" s="1327"/>
      <c r="W24" s="1328"/>
      <c r="X24" s="1288"/>
      <c r="Y24" s="1288"/>
      <c r="Z24" s="1288"/>
      <c r="AA24" s="1288"/>
      <c r="AB24" s="1288"/>
      <c r="AC24" s="1288"/>
      <c r="AD24" s="1288"/>
      <c r="AE24" s="1288"/>
      <c r="AF24" s="1288"/>
      <c r="AG24" s="1288"/>
      <c r="AH24" s="1288"/>
      <c r="AI24" s="1288"/>
      <c r="AJ24" s="1288"/>
      <c r="AK24" s="1288"/>
      <c r="AL24" s="1288"/>
      <c r="AM24" s="1288"/>
      <c r="AN24" s="1288"/>
      <c r="AO24" s="1288"/>
      <c r="AP24" s="1288"/>
      <c r="AQ24" s="1288"/>
    </row>
    <row s="2852" customFormat="1" customHeight="1" ht="17.25">
      <c r="A25" s="314"/>
      <c r="C25" s="313"/>
      <c r="D25" s="1992"/>
      <c r="E25" s="1994"/>
      <c r="F25" s="1996"/>
      <c r="G25" s="1994"/>
      <c r="H25" s="1999"/>
      <c r="I25" s="2001"/>
      <c r="J25" s="2004"/>
      <c r="K25" s="1990"/>
      <c r="L25" s="1990"/>
      <c r="M25" s="1990"/>
      <c r="N25" s="2007"/>
      <c r="O25" s="1990"/>
      <c r="P25" s="1448"/>
      <c r="Q25" s="1327"/>
      <c r="R25" s="1327"/>
      <c r="S25" s="325"/>
      <c r="T25" s="325"/>
      <c r="U25" s="325"/>
      <c r="V25" s="325"/>
      <c r="W25" s="1328"/>
      <c r="X25" s="1288"/>
      <c r="Y25" s="1288"/>
      <c r="Z25" s="1288"/>
      <c r="AA25" s="1288"/>
      <c r="AB25" s="1288"/>
      <c r="AC25" s="1288"/>
      <c r="AD25" s="1288"/>
      <c r="AE25" s="1288"/>
      <c r="AF25" s="1288"/>
      <c r="AG25" s="1288"/>
      <c r="AH25" s="1288"/>
      <c r="AI25" s="1288"/>
      <c r="AJ25" s="1288"/>
      <c r="AK25" s="1288"/>
      <c r="AL25" s="1288"/>
      <c r="AM25" s="1288"/>
      <c r="AN25" s="1288"/>
      <c r="AO25" s="1288"/>
      <c r="AP25" s="1288"/>
      <c r="AQ25" s="1288"/>
    </row>
    <row s="2852" customFormat="1" customHeight="1" ht="17.25">
      <c r="A26" s="314"/>
      <c r="C26" s="313"/>
      <c r="D26" s="1992"/>
      <c r="E26" s="1994"/>
      <c r="F26" s="1996"/>
      <c r="G26" s="1994"/>
      <c r="H26" s="1999"/>
      <c r="I26" s="2001"/>
      <c r="J26" s="2004"/>
      <c r="K26" s="1990"/>
      <c r="L26" s="1327"/>
      <c r="M26" s="1327"/>
      <c r="N26" s="1327"/>
      <c r="O26" s="1327"/>
      <c r="P26" s="1327"/>
      <c r="Q26" s="1327"/>
      <c r="R26" s="1327"/>
      <c r="S26" s="325"/>
      <c r="T26" s="325"/>
      <c r="U26" s="325"/>
      <c r="V26" s="325"/>
      <c r="W26" s="1328"/>
      <c r="X26" s="1288"/>
      <c r="Y26" s="1288"/>
      <c r="Z26" s="1288"/>
      <c r="AA26" s="1288"/>
      <c r="AB26" s="1288"/>
      <c r="AC26" s="1288"/>
      <c r="AD26" s="1288"/>
      <c r="AE26" s="1288"/>
      <c r="AF26" s="1288"/>
      <c r="AG26" s="1288"/>
      <c r="AH26" s="1288"/>
      <c r="AI26" s="1288"/>
      <c r="AJ26" s="1288"/>
      <c r="AK26" s="1288"/>
      <c r="AL26" s="1288"/>
      <c r="AM26" s="1288"/>
      <c r="AN26" s="1288"/>
      <c r="AO26" s="1288"/>
      <c r="AP26" s="1288"/>
      <c r="AQ26" s="1288"/>
    </row>
    <row s="2852" customFormat="1" customHeight="1" ht="17.25">
      <c r="A27" s="314"/>
      <c r="C27" s="313"/>
      <c r="D27" s="1992"/>
      <c r="E27" s="1994"/>
      <c r="F27" s="1997"/>
      <c r="G27" s="1994"/>
      <c r="H27" s="1329"/>
      <c r="I27" s="1330"/>
      <c r="J27" s="1330"/>
      <c r="K27" s="1330"/>
      <c r="L27" s="1330"/>
      <c r="M27" s="1330"/>
      <c r="N27" s="1330"/>
      <c r="O27" s="1330"/>
      <c r="P27" s="1330"/>
      <c r="Q27" s="1330"/>
      <c r="R27" s="1330"/>
      <c r="S27" s="1331"/>
      <c r="T27" s="1331"/>
      <c r="U27" s="1331"/>
      <c r="V27" s="1331"/>
      <c r="W27" s="1332"/>
      <c r="X27" s="1288"/>
      <c r="Y27" s="1288"/>
      <c r="Z27" s="1288"/>
      <c r="AA27" s="1288"/>
      <c r="AB27" s="1288"/>
      <c r="AC27" s="1288"/>
      <c r="AD27" s="1288"/>
      <c r="AE27" s="1288"/>
      <c r="AF27" s="1288"/>
      <c r="AG27" s="1288"/>
      <c r="AH27" s="1288"/>
      <c r="AI27" s="1288"/>
      <c r="AJ27" s="1288"/>
      <c r="AK27" s="1288"/>
      <c r="AL27" s="1288"/>
      <c r="AM27" s="1288"/>
      <c r="AN27" s="1288"/>
      <c r="AO27" s="1288"/>
      <c r="AP27" s="1288"/>
      <c r="AQ27" s="1288"/>
    </row>
    <row s="2852" customFormat="1" customHeight="1" ht="17.25">
      <c r="A28" s="314"/>
      <c r="C28" s="195"/>
      <c r="D28" s="1991">
        <v>4</v>
      </c>
      <c r="E28" s="1993" t="s">
        <v>173</v>
      </c>
      <c r="F28" s="1995" t="s">
        <v>62</v>
      </c>
      <c r="G28" s="2854" t="str">
        <f>INDEX(HEAT_PT_VED_NAME,MATCH(4190064,HEAT_PT_VED_ID,0))</f>
        <v>Производство тепловой энергии. Некомбинированная выработка</v>
      </c>
      <c r="H28" s="2855"/>
      <c r="I28" s="2855">
        <v>1</v>
      </c>
      <c r="J28" s="2856" t="s">
        <v>174</v>
      </c>
      <c r="K28" s="2857" t="s">
        <v>57</v>
      </c>
      <c r="L28" s="2858"/>
      <c r="M28" s="2858" t="s">
        <v>110</v>
      </c>
      <c r="N28" s="2859" t="s">
        <v>24</v>
      </c>
      <c r="O28" s="2857" t="s">
        <v>57</v>
      </c>
      <c r="P28" s="2858"/>
      <c r="Q28" s="2858" t="s">
        <v>110</v>
      </c>
      <c r="R28" s="2860" t="s">
        <v>24</v>
      </c>
      <c r="S28" s="2861" t="s">
        <v>57</v>
      </c>
      <c r="T28" s="2858"/>
      <c r="U28" s="2858" t="s">
        <v>110</v>
      </c>
      <c r="V28" s="2860" t="s">
        <v>24</v>
      </c>
      <c r="W28" s="2856"/>
      <c r="X28" s="1296"/>
      <c r="Y28" s="1296"/>
      <c r="Z28" s="1296"/>
      <c r="AA28" s="1296"/>
      <c r="AB28" s="1296" t="s">
        <v>175</v>
      </c>
      <c r="AC28" s="1296" t="s">
        <v>176</v>
      </c>
      <c r="AD28" s="1296" t="s">
        <v>177</v>
      </c>
      <c r="AE28" s="1296" t="s">
        <v>178</v>
      </c>
      <c r="AF28" s="1296" t="s">
        <v>179</v>
      </c>
      <c r="AG28" s="1296" t="s">
        <v>180</v>
      </c>
      <c r="AH28" s="1296"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296" t="str">
        <f>IF($G$28=0,"",$G$28)</f>
        <v>Производство тепловой энергии. Некомбинированная выработка</v>
      </c>
      <c r="AJ28" s="1296" t="str">
        <f>IF($J$28=0,"",$J$28)</f>
        <v>Долгосрочный тариф на горячую воду, поставляемую потребителям с использованием открытой системы теплоснабжения</v>
      </c>
      <c r="AK28" s="1296" t="str">
        <f>IF($K$28="нет","без дифференциации",IF($N$28=0,"",$N$28))</f>
        <v>без дифференциации</v>
      </c>
      <c r="AL28" s="1296" t="str">
        <f>IF($O$28="нет","без дифференциации",IF($R$28=0,"",$R$28))</f>
        <v>без дифференциации</v>
      </c>
      <c r="AM28" s="1296" t="str">
        <f>IF($S$28="нет","без дифференциации",IF($V$28=0,"",$V$28))</f>
        <v>без дифференциации</v>
      </c>
      <c r="AN28" s="1813">
        <f>$I$28</f>
        <v>1</v>
      </c>
      <c r="AO28" s="1296" t="str">
        <f>$I$28&amp;"."&amp;$M$28</f>
        <v>1.1</v>
      </c>
      <c r="AP28" s="1288" t="str">
        <f>$I$28&amp;"."&amp;$M$28&amp;"."&amp;$Q$28</f>
        <v>1.1.1</v>
      </c>
      <c r="AQ28" s="1288" t="str">
        <f>$I$28&amp;"."&amp;$M$28&amp;"."&amp;$Q$28&amp;"."&amp;$U$28</f>
        <v>1.1.1.1</v>
      </c>
    </row>
    <row s="2852" customFormat="1" customHeight="1" ht="17.25">
      <c r="A29" s="314"/>
      <c r="C29" s="313"/>
      <c r="D29" s="1991"/>
      <c r="E29" s="1993"/>
      <c r="F29" s="1996"/>
      <c r="G29" s="2854"/>
      <c r="H29" s="2855"/>
      <c r="I29" s="2855"/>
      <c r="J29" s="2856"/>
      <c r="K29" s="2862"/>
      <c r="L29" s="2858"/>
      <c r="M29" s="2858"/>
      <c r="N29" s="2859" t="s">
        <v>24</v>
      </c>
      <c r="O29" s="2862"/>
      <c r="P29" s="2858"/>
      <c r="Q29" s="2858"/>
      <c r="R29" s="2860" t="s">
        <v>24</v>
      </c>
      <c r="S29" s="2861"/>
      <c r="T29" s="2863"/>
      <c r="U29" s="2864"/>
      <c r="V29" s="2865" t="s">
        <v>181</v>
      </c>
      <c r="W29" s="2866"/>
      <c r="X29" s="1288"/>
      <c r="Y29" s="1288"/>
      <c r="Z29" s="1288"/>
      <c r="AA29" s="1288"/>
      <c r="AB29" s="1288"/>
      <c r="AC29" s="1288"/>
      <c r="AD29" s="1288"/>
      <c r="AE29" s="1288"/>
      <c r="AF29" s="1288"/>
      <c r="AG29" s="1288"/>
      <c r="AH29" s="1288"/>
      <c r="AI29" s="1288"/>
      <c r="AJ29" s="1288"/>
      <c r="AK29" s="1288"/>
      <c r="AL29" s="1288"/>
      <c r="AM29" s="1288"/>
      <c r="AN29" s="1288"/>
      <c r="AO29" s="1288"/>
      <c r="AP29" s="1288"/>
      <c r="AQ29" s="1288"/>
    </row>
    <row s="2852" customFormat="1" customHeight="1" ht="17.25">
      <c r="A30" s="314"/>
      <c r="C30" s="313"/>
      <c r="D30" s="1992"/>
      <c r="E30" s="1994"/>
      <c r="F30" s="1996"/>
      <c r="G30" s="2867"/>
      <c r="H30" s="2868"/>
      <c r="I30" s="2868"/>
      <c r="J30" s="2869"/>
      <c r="K30" s="2862"/>
      <c r="L30" s="2868"/>
      <c r="M30" s="2868"/>
      <c r="N30" s="2860" t="s">
        <v>24</v>
      </c>
      <c r="O30" s="2870"/>
      <c r="P30" s="2871"/>
      <c r="Q30" s="2872"/>
      <c r="R30" s="2873" t="s">
        <v>182</v>
      </c>
      <c r="S30" s="2874"/>
      <c r="T30" s="2875"/>
      <c r="U30" s="2876"/>
      <c r="V30" s="2877"/>
      <c r="W30" s="2878"/>
      <c r="X30" s="1288"/>
      <c r="Y30" s="1288"/>
      <c r="Z30" s="1288"/>
      <c r="AA30" s="1288"/>
      <c r="AB30" s="1288"/>
      <c r="AC30" s="1288"/>
      <c r="AD30" s="1288"/>
      <c r="AE30" s="1288"/>
      <c r="AF30" s="1288"/>
      <c r="AG30" s="1288"/>
      <c r="AH30" s="1288"/>
      <c r="AI30" s="1288"/>
      <c r="AJ30" s="1288"/>
      <c r="AK30" s="1288"/>
      <c r="AL30" s="1288"/>
      <c r="AM30" s="1288"/>
      <c r="AN30" s="1288"/>
      <c r="AO30" s="1288"/>
      <c r="AP30" s="1288"/>
      <c r="AQ30" s="1288"/>
    </row>
    <row s="2852" customFormat="1" customHeight="1" ht="17.25">
      <c r="A31" s="314"/>
      <c r="C31" s="313"/>
      <c r="D31" s="1992"/>
      <c r="E31" s="1994"/>
      <c r="F31" s="1996"/>
      <c r="G31" s="2867"/>
      <c r="H31" s="2868"/>
      <c r="I31" s="2868"/>
      <c r="J31" s="2869"/>
      <c r="K31" s="2870"/>
      <c r="L31" s="2879"/>
      <c r="M31" s="2880"/>
      <c r="N31" s="2881" t="s">
        <v>183</v>
      </c>
      <c r="O31" s="2882"/>
      <c r="P31" s="2883"/>
      <c r="Q31" s="2884"/>
      <c r="R31" s="2885"/>
      <c r="S31" s="2886"/>
      <c r="T31" s="2887"/>
      <c r="U31" s="2888"/>
      <c r="V31" s="2889"/>
      <c r="W31" s="2890"/>
      <c r="X31" s="1288"/>
      <c r="Y31" s="1288"/>
      <c r="Z31" s="1288"/>
      <c r="AA31" s="1288"/>
      <c r="AB31" s="1288"/>
      <c r="AC31" s="1288"/>
      <c r="AD31" s="1288"/>
      <c r="AE31" s="1288"/>
      <c r="AF31" s="1288"/>
      <c r="AG31" s="1288"/>
      <c r="AH31" s="1288"/>
      <c r="AI31" s="1288"/>
      <c r="AJ31" s="1288"/>
      <c r="AK31" s="1288"/>
      <c r="AL31" s="1288"/>
      <c r="AM31" s="1288"/>
      <c r="AN31" s="1288"/>
      <c r="AO31" s="1288"/>
      <c r="AP31" s="1288"/>
      <c r="AQ31" s="1288"/>
    </row>
    <row s="2852" customFormat="1" customHeight="1" ht="17.25">
      <c r="A32" s="314"/>
      <c r="C32" s="313"/>
      <c r="D32" s="1992"/>
      <c r="E32" s="1994"/>
      <c r="F32" s="1997"/>
      <c r="G32" s="2867"/>
      <c r="H32" s="2891"/>
      <c r="I32" s="2892"/>
      <c r="J32" s="2893" t="s">
        <v>184</v>
      </c>
      <c r="K32" s="2894"/>
      <c r="L32" s="2895"/>
      <c r="M32" s="2896"/>
      <c r="N32" s="2897"/>
      <c r="O32" s="2898"/>
      <c r="P32" s="2899"/>
      <c r="Q32" s="2900"/>
      <c r="R32" s="2901"/>
      <c r="S32" s="2902"/>
      <c r="T32" s="2903"/>
      <c r="U32" s="2904"/>
      <c r="V32" s="2905"/>
      <c r="W32" s="2906"/>
      <c r="X32" s="1288"/>
      <c r="Y32" s="1288"/>
      <c r="Z32" s="1288"/>
      <c r="AA32" s="1288"/>
      <c r="AB32" s="1288"/>
      <c r="AC32" s="1288"/>
      <c r="AD32" s="1288"/>
      <c r="AE32" s="1288"/>
      <c r="AF32" s="1288"/>
      <c r="AG32" s="1288"/>
      <c r="AH32" s="1288"/>
      <c r="AI32" s="1288"/>
      <c r="AJ32" s="1288"/>
      <c r="AK32" s="1288"/>
      <c r="AL32" s="1288"/>
      <c r="AM32" s="1288"/>
      <c r="AN32" s="1288"/>
      <c r="AO32" s="1288"/>
      <c r="AP32" s="1288"/>
      <c r="AQ32" s="1288"/>
    </row>
    <row s="2852" customFormat="1" customHeight="1" ht="17.25">
      <c r="A33" s="314"/>
      <c r="C33" s="195"/>
      <c r="D33" s="1991">
        <v>5</v>
      </c>
      <c r="E33" s="1993" t="s">
        <v>185</v>
      </c>
      <c r="F33" s="1995" t="s">
        <v>57</v>
      </c>
      <c r="G33" s="1993"/>
      <c r="H33" s="1998"/>
      <c r="I33" s="2000"/>
      <c r="J33" s="2002"/>
      <c r="K33" s="1989"/>
      <c r="L33" s="1989"/>
      <c r="M33" s="1989"/>
      <c r="N33" s="2005"/>
      <c r="O33" s="1989"/>
      <c r="P33" s="1989"/>
      <c r="Q33" s="1989"/>
      <c r="R33" s="2008"/>
      <c r="S33" s="1989"/>
      <c r="T33" s="1450"/>
      <c r="U33" s="1450"/>
      <c r="V33" s="1449"/>
      <c r="W33" s="1326"/>
      <c r="X33" s="1296"/>
      <c r="Y33" s="1296"/>
      <c r="Z33" s="1296"/>
      <c r="AA33" s="1296"/>
      <c r="AB33" s="1296"/>
      <c r="AC33" s="1296" t="s">
        <v>186</v>
      </c>
      <c r="AD33" s="1296" t="s">
        <v>187</v>
      </c>
      <c r="AE33" s="1296" t="s">
        <v>188</v>
      </c>
      <c r="AF33" s="1296" t="s">
        <v>189</v>
      </c>
      <c r="AG33" s="1296" t="s">
        <v>190</v>
      </c>
      <c r="AH33" s="1296" t="str">
        <f>IF($E$33=0,"",$E$33)</f>
        <v>Тарифы на услуги по передаче тепловой энергии</v>
      </c>
      <c r="AI33" s="1296" t="str">
        <f>IF($G$33=0,"",$G$33)</f>
        <v/>
      </c>
      <c r="AJ33" s="1296" t="str">
        <f>IF($J$33=0,"",$J$33)</f>
        <v/>
      </c>
      <c r="AK33" s="1296" t="str">
        <f>IF($K$33="нет","без дифференциации",IF($N$33=0,"",$N$33))</f>
        <v/>
      </c>
      <c r="AL33" s="1296" t="str">
        <f>IF($O$33="нет","без дифференциации",IF($R$33=0,"",$R$33))</f>
        <v/>
      </c>
      <c r="AM33" s="1296" t="str">
        <f>IF($S$33="нет","без дифференциации",IF($V$33=0,"",$V$33))</f>
        <v/>
      </c>
      <c r="AN33" s="1813">
        <f>$I$33</f>
        <v>0</v>
      </c>
      <c r="AO33" s="1296" t="str">
        <f>$I$33&amp;"."&amp;$M$33</f>
        <v>.</v>
      </c>
      <c r="AP33" s="1288" t="str">
        <f>$I$33&amp;"."&amp;$M$33&amp;"."&amp;$Q$33</f>
        <v>..</v>
      </c>
      <c r="AQ33" s="1288" t="str">
        <f>$I$33&amp;"."&amp;$M$33&amp;"."&amp;$Q$33&amp;"."&amp;$U$33</f>
        <v>...</v>
      </c>
    </row>
    <row s="2852" customFormat="1" customHeight="1" ht="17.25">
      <c r="A34" s="314"/>
      <c r="C34" s="313"/>
      <c r="D34" s="1991"/>
      <c r="E34" s="1993"/>
      <c r="F34" s="1996"/>
      <c r="G34" s="1993"/>
      <c r="H34" s="1999"/>
      <c r="I34" s="2001"/>
      <c r="J34" s="2003"/>
      <c r="K34" s="1990"/>
      <c r="L34" s="1990"/>
      <c r="M34" s="1990"/>
      <c r="N34" s="2006"/>
      <c r="O34" s="1990"/>
      <c r="P34" s="1990"/>
      <c r="Q34" s="1990"/>
      <c r="R34" s="2007"/>
      <c r="S34" s="1990"/>
      <c r="T34" s="1327"/>
      <c r="U34" s="1327"/>
      <c r="V34" s="1327"/>
      <c r="W34" s="1328"/>
      <c r="X34" s="1288"/>
      <c r="Y34" s="1288"/>
      <c r="Z34" s="1288"/>
      <c r="AA34" s="1288"/>
      <c r="AB34" s="1288"/>
      <c r="AC34" s="1288"/>
      <c r="AD34" s="1288"/>
      <c r="AE34" s="1288"/>
      <c r="AF34" s="1288"/>
      <c r="AG34" s="1288"/>
      <c r="AH34" s="1288"/>
      <c r="AI34" s="1288"/>
      <c r="AJ34" s="1288"/>
      <c r="AK34" s="1288"/>
      <c r="AL34" s="1288"/>
      <c r="AM34" s="1288"/>
      <c r="AN34" s="1288"/>
      <c r="AO34" s="1288"/>
      <c r="AP34" s="1288"/>
      <c r="AQ34" s="1288"/>
    </row>
    <row s="2852" customFormat="1" customHeight="1" ht="17.25">
      <c r="A35" s="314"/>
      <c r="C35" s="313"/>
      <c r="D35" s="1992"/>
      <c r="E35" s="1994"/>
      <c r="F35" s="1996"/>
      <c r="G35" s="1994"/>
      <c r="H35" s="1999"/>
      <c r="I35" s="2001"/>
      <c r="J35" s="2004"/>
      <c r="K35" s="1990"/>
      <c r="L35" s="1990"/>
      <c r="M35" s="1990"/>
      <c r="N35" s="2007"/>
      <c r="O35" s="1990"/>
      <c r="P35" s="1448"/>
      <c r="Q35" s="1327"/>
      <c r="R35" s="1327"/>
      <c r="S35" s="325"/>
      <c r="T35" s="325"/>
      <c r="U35" s="325"/>
      <c r="V35" s="325"/>
      <c r="W35" s="1328"/>
      <c r="X35" s="1288"/>
      <c r="Y35" s="1288"/>
      <c r="Z35" s="1288"/>
      <c r="AA35" s="1288"/>
      <c r="AB35" s="1288"/>
      <c r="AC35" s="1288"/>
      <c r="AD35" s="1288"/>
      <c r="AE35" s="1288"/>
      <c r="AF35" s="1288"/>
      <c r="AG35" s="1288"/>
      <c r="AH35" s="1288"/>
      <c r="AI35" s="1288"/>
      <c r="AJ35" s="1288"/>
      <c r="AK35" s="1288"/>
      <c r="AL35" s="1288"/>
      <c r="AM35" s="1288"/>
      <c r="AN35" s="1288"/>
      <c r="AO35" s="1288"/>
      <c r="AP35" s="1288"/>
      <c r="AQ35" s="1288"/>
    </row>
    <row s="2852" customFormat="1" customHeight="1" ht="17.25">
      <c r="A36" s="314"/>
      <c r="C36" s="313"/>
      <c r="D36" s="1992"/>
      <c r="E36" s="1994"/>
      <c r="F36" s="1996"/>
      <c r="G36" s="1994"/>
      <c r="H36" s="1999"/>
      <c r="I36" s="2001"/>
      <c r="J36" s="2004"/>
      <c r="K36" s="1990"/>
      <c r="L36" s="1327"/>
      <c r="M36" s="1327"/>
      <c r="N36" s="1327"/>
      <c r="O36" s="1327"/>
      <c r="P36" s="1327"/>
      <c r="Q36" s="1327"/>
      <c r="R36" s="1327"/>
      <c r="S36" s="325"/>
      <c r="T36" s="325"/>
      <c r="U36" s="325"/>
      <c r="V36" s="325"/>
      <c r="W36" s="1328"/>
      <c r="X36" s="1288"/>
      <c r="Y36" s="1288"/>
      <c r="Z36" s="1288"/>
      <c r="AA36" s="1288"/>
      <c r="AB36" s="1288"/>
      <c r="AC36" s="1288"/>
      <c r="AD36" s="1288"/>
      <c r="AE36" s="1288"/>
      <c r="AF36" s="1288"/>
      <c r="AG36" s="1288"/>
      <c r="AH36" s="1288"/>
      <c r="AI36" s="1288"/>
      <c r="AJ36" s="1288"/>
      <c r="AK36" s="1288"/>
      <c r="AL36" s="1288"/>
      <c r="AM36" s="1288"/>
      <c r="AN36" s="1288"/>
      <c r="AO36" s="1288"/>
      <c r="AP36" s="1288"/>
      <c r="AQ36" s="1288"/>
    </row>
    <row s="2852" customFormat="1" customHeight="1" ht="17.25">
      <c r="A37" s="314"/>
      <c r="C37" s="313"/>
      <c r="D37" s="1992"/>
      <c r="E37" s="1994"/>
      <c r="F37" s="1997"/>
      <c r="G37" s="1994"/>
      <c r="H37" s="1329"/>
      <c r="I37" s="1330"/>
      <c r="J37" s="1330"/>
      <c r="K37" s="1330"/>
      <c r="L37" s="1330"/>
      <c r="M37" s="1330"/>
      <c r="N37" s="1330"/>
      <c r="O37" s="1330"/>
      <c r="P37" s="1330"/>
      <c r="Q37" s="1330"/>
      <c r="R37" s="1330"/>
      <c r="S37" s="1331"/>
      <c r="T37" s="1331"/>
      <c r="U37" s="1331"/>
      <c r="V37" s="1331"/>
      <c r="W37" s="1332"/>
      <c r="X37" s="1288"/>
      <c r="Y37" s="1288"/>
      <c r="Z37" s="1288"/>
      <c r="AA37" s="1288"/>
      <c r="AB37" s="1288"/>
      <c r="AC37" s="1288"/>
      <c r="AD37" s="1288"/>
      <c r="AE37" s="1288"/>
      <c r="AF37" s="1288"/>
      <c r="AG37" s="1288"/>
      <c r="AH37" s="1288"/>
      <c r="AI37" s="1288"/>
      <c r="AJ37" s="1288"/>
      <c r="AK37" s="1288"/>
      <c r="AL37" s="1288"/>
      <c r="AM37" s="1288"/>
      <c r="AN37" s="1288"/>
      <c r="AO37" s="1288"/>
      <c r="AP37" s="1288"/>
      <c r="AQ37" s="1288"/>
    </row>
    <row s="2852" customFormat="1" customHeight="1" ht="17.25">
      <c r="A38" s="314"/>
      <c r="C38" s="195"/>
      <c r="D38" s="1991">
        <v>6</v>
      </c>
      <c r="E38" s="1993" t="s">
        <v>191</v>
      </c>
      <c r="F38" s="1995" t="s">
        <v>57</v>
      </c>
      <c r="G38" s="1993"/>
      <c r="H38" s="1998"/>
      <c r="I38" s="2000"/>
      <c r="J38" s="2002"/>
      <c r="K38" s="1989"/>
      <c r="L38" s="1989"/>
      <c r="M38" s="1989"/>
      <c r="N38" s="2005"/>
      <c r="O38" s="1989"/>
      <c r="P38" s="1989"/>
      <c r="Q38" s="1989"/>
      <c r="R38" s="2008"/>
      <c r="S38" s="1989"/>
      <c r="T38" s="1450"/>
      <c r="U38" s="1450"/>
      <c r="V38" s="1449"/>
      <c r="W38" s="1326"/>
      <c r="X38" s="1296"/>
      <c r="Y38" s="1296"/>
      <c r="Z38" s="1296"/>
      <c r="AA38" s="1296"/>
      <c r="AB38" s="1296"/>
      <c r="AC38" s="1296" t="s">
        <v>192</v>
      </c>
      <c r="AD38" s="1296" t="s">
        <v>193</v>
      </c>
      <c r="AE38" s="1296" t="s">
        <v>194</v>
      </c>
      <c r="AF38" s="1296" t="s">
        <v>195</v>
      </c>
      <c r="AG38" s="1296" t="s">
        <v>196</v>
      </c>
      <c r="AH38" s="1296" t="str">
        <f>IF($E$38=0,"",$E$38)</f>
        <v>Тарифы на услуги по передаче теплоносителя</v>
      </c>
      <c r="AI38" s="1296" t="str">
        <f>IF($G$38=0,"",$G$38)</f>
        <v/>
      </c>
      <c r="AJ38" s="1296" t="str">
        <f>IF($J$38=0,"",$J$38)</f>
        <v/>
      </c>
      <c r="AK38" s="1296" t="str">
        <f>IF($K$38="нет","без дифференциации",IF($N$38=0,"",$N$38))</f>
        <v/>
      </c>
      <c r="AL38" s="1296" t="str">
        <f>IF($O$38="нет","без дифференциации",IF($R$38=0,"",$R$38))</f>
        <v/>
      </c>
      <c r="AM38" s="1296" t="str">
        <f>IF($S$38="нет","без дифференциации",IF($V$38=0,"",$V$38))</f>
        <v/>
      </c>
      <c r="AN38" s="1813">
        <f>$I$38</f>
        <v>0</v>
      </c>
      <c r="AO38" s="1296" t="str">
        <f>$I$38&amp;"."&amp;$M$38</f>
        <v>.</v>
      </c>
      <c r="AP38" s="1288" t="str">
        <f>$I$38&amp;"."&amp;$M$38&amp;"."&amp;$Q$38</f>
        <v>..</v>
      </c>
      <c r="AQ38" s="1288" t="str">
        <f>$I$38&amp;"."&amp;$M$38&amp;"."&amp;$Q$38&amp;"."&amp;$U$38</f>
        <v>...</v>
      </c>
    </row>
    <row s="2852" customFormat="1" customHeight="1" ht="17.25">
      <c r="A39" s="314"/>
      <c r="C39" s="313"/>
      <c r="D39" s="1991"/>
      <c r="E39" s="1993"/>
      <c r="F39" s="1996"/>
      <c r="G39" s="1993"/>
      <c r="H39" s="1999"/>
      <c r="I39" s="2001"/>
      <c r="J39" s="2003"/>
      <c r="K39" s="1990"/>
      <c r="L39" s="1990"/>
      <c r="M39" s="1990"/>
      <c r="N39" s="2006"/>
      <c r="O39" s="1990"/>
      <c r="P39" s="1990"/>
      <c r="Q39" s="1990"/>
      <c r="R39" s="2007"/>
      <c r="S39" s="1990"/>
      <c r="T39" s="1327"/>
      <c r="U39" s="1327"/>
      <c r="V39" s="1327"/>
      <c r="W39" s="1328"/>
      <c r="X39" s="1288"/>
      <c r="Y39" s="1288"/>
      <c r="Z39" s="1288"/>
      <c r="AA39" s="1288"/>
      <c r="AB39" s="1288"/>
      <c r="AC39" s="1288"/>
      <c r="AD39" s="1288"/>
      <c r="AE39" s="1288"/>
      <c r="AF39" s="1288"/>
      <c r="AG39" s="1288"/>
      <c r="AH39" s="1288"/>
      <c r="AI39" s="1288"/>
      <c r="AJ39" s="1288"/>
      <c r="AK39" s="1288"/>
      <c r="AL39" s="1288"/>
      <c r="AM39" s="1288"/>
      <c r="AN39" s="1288"/>
      <c r="AO39" s="1288"/>
      <c r="AP39" s="1288"/>
      <c r="AQ39" s="1288"/>
    </row>
    <row s="2852" customFormat="1" customHeight="1" ht="17.25">
      <c r="A40" s="314"/>
      <c r="C40" s="313"/>
      <c r="D40" s="1992"/>
      <c r="E40" s="1994"/>
      <c r="F40" s="1996"/>
      <c r="G40" s="1994"/>
      <c r="H40" s="1999"/>
      <c r="I40" s="2001"/>
      <c r="J40" s="2004"/>
      <c r="K40" s="1990"/>
      <c r="L40" s="1990"/>
      <c r="M40" s="1990"/>
      <c r="N40" s="2007"/>
      <c r="O40" s="1990"/>
      <c r="P40" s="1448"/>
      <c r="Q40" s="1327"/>
      <c r="R40" s="1327"/>
      <c r="S40" s="325"/>
      <c r="T40" s="325"/>
      <c r="U40" s="325"/>
      <c r="V40" s="325"/>
      <c r="W40" s="1328"/>
      <c r="X40" s="1288"/>
      <c r="Y40" s="1288"/>
      <c r="Z40" s="1288"/>
      <c r="AA40" s="1288"/>
      <c r="AB40" s="1288"/>
      <c r="AC40" s="1288"/>
      <c r="AD40" s="1288"/>
      <c r="AE40" s="1288"/>
      <c r="AF40" s="1288"/>
      <c r="AG40" s="1288"/>
      <c r="AH40" s="1288"/>
      <c r="AI40" s="1288"/>
      <c r="AJ40" s="1288"/>
      <c r="AK40" s="1288"/>
      <c r="AL40" s="1288"/>
      <c r="AM40" s="1288"/>
      <c r="AN40" s="1288"/>
      <c r="AO40" s="1288"/>
      <c r="AP40" s="1288"/>
      <c r="AQ40" s="1288"/>
    </row>
    <row s="2907" customFormat="1" customHeight="1" ht="17.25">
      <c r="A41" s="314"/>
      <c r="C41" s="195"/>
      <c r="D41" s="1992"/>
      <c r="E41" s="1994"/>
      <c r="F41" s="1996"/>
      <c r="G41" s="1994"/>
      <c r="H41" s="1999"/>
      <c r="I41" s="2001"/>
      <c r="J41" s="2004"/>
      <c r="K41" s="1990"/>
      <c r="L41" s="1327"/>
      <c r="M41" s="1327"/>
      <c r="N41" s="1327"/>
      <c r="O41" s="1327"/>
      <c r="P41" s="1327"/>
      <c r="Q41" s="1327"/>
      <c r="R41" s="1327"/>
      <c r="S41" s="325"/>
      <c r="T41" s="325"/>
      <c r="U41" s="325"/>
      <c r="V41" s="325"/>
      <c r="W41" s="1328"/>
      <c r="Y41" s="1296"/>
      <c r="Z41" s="1296"/>
      <c r="AA41" s="1296"/>
      <c r="AB41" s="1296"/>
      <c r="AC41" s="1296"/>
      <c r="AD41" s="1296"/>
      <c r="AE41" s="1296"/>
      <c r="AF41" s="1296"/>
      <c r="AG41" s="1296"/>
      <c r="AH41" s="1296"/>
      <c r="AI41" s="1296"/>
      <c r="AJ41" s="1296"/>
      <c r="AK41" s="1296"/>
      <c r="AL41" s="1296"/>
      <c r="AM41" s="1296"/>
      <c r="AN41" s="1296"/>
      <c r="AO41" s="1296"/>
      <c r="AP41" s="1296"/>
      <c r="AQ41" s="1296"/>
    </row>
    <row s="2852" customFormat="1" customHeight="1" ht="17.25">
      <c r="A42" s="314"/>
      <c r="C42" s="313"/>
      <c r="D42" s="1992"/>
      <c r="E42" s="1994"/>
      <c r="F42" s="1997"/>
      <c r="G42" s="1994"/>
      <c r="H42" s="1329"/>
      <c r="I42" s="1330"/>
      <c r="J42" s="1330"/>
      <c r="K42" s="1330"/>
      <c r="L42" s="1330"/>
      <c r="M42" s="1330"/>
      <c r="N42" s="1330"/>
      <c r="O42" s="1330"/>
      <c r="P42" s="1330"/>
      <c r="Q42" s="1330"/>
      <c r="R42" s="1330"/>
      <c r="S42" s="1331"/>
      <c r="T42" s="1331"/>
      <c r="U42" s="1331"/>
      <c r="V42" s="1331"/>
      <c r="W42" s="1332"/>
      <c r="X42" s="1288"/>
      <c r="Y42" s="1288"/>
      <c r="Z42" s="1288"/>
      <c r="AA42" s="1288"/>
      <c r="AB42" s="1288"/>
      <c r="AC42" s="1288"/>
      <c r="AD42" s="1288"/>
      <c r="AE42" s="1288"/>
      <c r="AF42" s="1288"/>
      <c r="AG42" s="1288"/>
      <c r="AH42" s="1288"/>
      <c r="AI42" s="1288"/>
      <c r="AJ42" s="1288"/>
      <c r="AK42" s="1288"/>
      <c r="AL42" s="1288"/>
      <c r="AM42" s="1288"/>
      <c r="AN42" s="1288"/>
      <c r="AO42" s="1288"/>
      <c r="AP42" s="1288"/>
      <c r="AQ42" s="1288"/>
    </row>
    <row s="2908" customFormat="1" customHeight="1" ht="17.25">
      <c r="A43" s="314"/>
      <c r="C43" s="195"/>
      <c r="D43" s="2012">
        <v>7</v>
      </c>
      <c r="E43" s="2015" t="s">
        <v>197</v>
      </c>
      <c r="F43" s="1995" t="s">
        <v>57</v>
      </c>
      <c r="G43" s="2015"/>
      <c r="H43" s="1998"/>
      <c r="I43" s="2000"/>
      <c r="J43" s="2002"/>
      <c r="K43" s="1989"/>
      <c r="L43" s="1989"/>
      <c r="M43" s="1989"/>
      <c r="N43" s="2005"/>
      <c r="O43" s="1989"/>
      <c r="P43" s="1989"/>
      <c r="Q43" s="1989"/>
      <c r="R43" s="2008"/>
      <c r="S43" s="1989"/>
      <c r="T43" s="1450"/>
      <c r="U43" s="1450"/>
      <c r="V43" s="1449"/>
      <c r="W43" s="1326"/>
      <c r="X43" s="1296"/>
      <c r="Y43" s="1296"/>
      <c r="Z43" s="1296"/>
      <c r="AA43" s="1296"/>
      <c r="AB43" s="1296"/>
      <c r="AC43" s="1296" t="s">
        <v>198</v>
      </c>
      <c r="AD43" s="1296" t="s">
        <v>199</v>
      </c>
      <c r="AE43" s="1296" t="s">
        <v>200</v>
      </c>
      <c r="AF43" s="1296" t="s">
        <v>201</v>
      </c>
      <c r="AG43" s="1296" t="s">
        <v>202</v>
      </c>
      <c r="AH43" s="1296" t="str">
        <f>IF($E$43=0,"",$E$43)</f>
        <v>Плата за услуги по поддержанию резервной тепловой мощности при отсутствии потребления тепловой энергии</v>
      </c>
      <c r="AI43" s="1296" t="str">
        <f>IF($G$43=0,"",$G$43)</f>
        <v/>
      </c>
      <c r="AJ43" s="1296" t="str">
        <f>IF($J$43=0,"",$J$43)</f>
        <v/>
      </c>
      <c r="AK43" s="1296" t="str">
        <f>IF($K$43="нет","без дифференциации",IF($N$43=0,"",$N$43))</f>
        <v/>
      </c>
      <c r="AL43" s="1296" t="str">
        <f>IF($O$43="нет","без дифференциации",IF($R$43=0,"",$R$43))</f>
        <v/>
      </c>
      <c r="AM43" s="1296" t="str">
        <f>IF($S$43="нет","без дифференциации",IF($V$43=0,"",$V$43))</f>
        <v/>
      </c>
      <c r="AN43" s="1813">
        <f>$I$43</f>
        <v>0</v>
      </c>
      <c r="AO43" s="1296" t="str">
        <f>$I$43&amp;"."&amp;$M$43</f>
        <v>.</v>
      </c>
      <c r="AP43" s="1288" t="str">
        <f>$I$43&amp;"."&amp;$M$43&amp;"."&amp;$Q$43</f>
        <v>..</v>
      </c>
      <c r="AQ43" s="1288" t="str">
        <f>$I$43&amp;"."&amp;$M$43&amp;"."&amp;$Q$43&amp;"."&amp;$U$43</f>
        <v>...</v>
      </c>
    </row>
    <row s="2908" customFormat="1" customHeight="1" ht="17.25">
      <c r="A44" s="314"/>
      <c r="C44" s="313"/>
      <c r="D44" s="2013"/>
      <c r="E44" s="2016"/>
      <c r="F44" s="1996"/>
      <c r="G44" s="2016"/>
      <c r="H44" s="1999"/>
      <c r="I44" s="2001"/>
      <c r="J44" s="2003"/>
      <c r="K44" s="1990"/>
      <c r="L44" s="1990"/>
      <c r="M44" s="1990"/>
      <c r="N44" s="2006"/>
      <c r="O44" s="1990"/>
      <c r="P44" s="1990"/>
      <c r="Q44" s="1990"/>
      <c r="R44" s="2007"/>
      <c r="S44" s="1990"/>
      <c r="T44" s="1327"/>
      <c r="U44" s="1327"/>
      <c r="V44" s="1327"/>
      <c r="W44" s="1328"/>
      <c r="X44" s="1288"/>
      <c r="Y44" s="1288"/>
      <c r="Z44" s="1288"/>
      <c r="AA44" s="1288"/>
      <c r="AB44" s="1288"/>
      <c r="AC44" s="1288"/>
      <c r="AD44" s="1288"/>
      <c r="AE44" s="1288"/>
      <c r="AF44" s="1288"/>
      <c r="AG44" s="1288"/>
      <c r="AH44" s="1288"/>
      <c r="AI44" s="1288"/>
      <c r="AJ44" s="1288"/>
      <c r="AK44" s="1288"/>
      <c r="AL44" s="1288"/>
      <c r="AM44" s="1288"/>
      <c r="AN44" s="1288"/>
      <c r="AO44" s="1288"/>
      <c r="AP44" s="1288"/>
      <c r="AQ44" s="1288"/>
    </row>
    <row s="2908" customFormat="1" customHeight="1" ht="17.25">
      <c r="A45" s="314"/>
      <c r="C45" s="313"/>
      <c r="D45" s="2013"/>
      <c r="E45" s="2016"/>
      <c r="F45" s="1996"/>
      <c r="G45" s="2016"/>
      <c r="H45" s="1999"/>
      <c r="I45" s="2001"/>
      <c r="J45" s="2004"/>
      <c r="K45" s="1990"/>
      <c r="L45" s="1990"/>
      <c r="M45" s="1990"/>
      <c r="N45" s="2007"/>
      <c r="O45" s="1990"/>
      <c r="P45" s="1448"/>
      <c r="Q45" s="1327"/>
      <c r="R45" s="1327"/>
      <c r="S45" s="325"/>
      <c r="T45" s="325"/>
      <c r="U45" s="325"/>
      <c r="V45" s="325"/>
      <c r="W45" s="1328"/>
      <c r="X45" s="1288"/>
      <c r="Y45" s="1288"/>
      <c r="Z45" s="1288"/>
      <c r="AA45" s="1288"/>
      <c r="AB45" s="1288"/>
      <c r="AC45" s="1288"/>
      <c r="AD45" s="1288"/>
      <c r="AE45" s="1288"/>
      <c r="AF45" s="1288"/>
      <c r="AG45" s="1288"/>
      <c r="AH45" s="1288"/>
      <c r="AI45" s="1288"/>
      <c r="AJ45" s="1288"/>
      <c r="AK45" s="1288"/>
      <c r="AL45" s="1288"/>
      <c r="AM45" s="1288"/>
      <c r="AN45" s="1288"/>
      <c r="AO45" s="1288"/>
      <c r="AP45" s="1288"/>
      <c r="AQ45" s="1288"/>
    </row>
    <row s="2907" customFormat="1" customHeight="1" ht="17.25">
      <c r="A46" s="314"/>
      <c r="C46" s="195"/>
      <c r="D46" s="2013"/>
      <c r="E46" s="2016"/>
      <c r="F46" s="1996"/>
      <c r="G46" s="2016"/>
      <c r="H46" s="1999"/>
      <c r="I46" s="2001"/>
      <c r="J46" s="2004"/>
      <c r="K46" s="1990"/>
      <c r="L46" s="1327"/>
      <c r="M46" s="1327"/>
      <c r="N46" s="1327"/>
      <c r="O46" s="1327"/>
      <c r="P46" s="1327"/>
      <c r="Q46" s="1327"/>
      <c r="R46" s="1327"/>
      <c r="S46" s="325"/>
      <c r="T46" s="325"/>
      <c r="U46" s="325"/>
      <c r="V46" s="325"/>
      <c r="W46" s="1328"/>
      <c r="Y46" s="1296"/>
      <c r="Z46" s="1296"/>
      <c r="AA46" s="1296"/>
      <c r="AB46" s="1296"/>
      <c r="AC46" s="1296"/>
      <c r="AD46" s="1296"/>
      <c r="AE46" s="1296"/>
      <c r="AF46" s="1296"/>
      <c r="AG46" s="1296"/>
      <c r="AH46" s="1296"/>
      <c r="AI46" s="1296"/>
      <c r="AJ46" s="1296"/>
      <c r="AK46" s="1296"/>
      <c r="AL46" s="1296"/>
      <c r="AM46" s="1296"/>
      <c r="AN46" s="1296"/>
      <c r="AO46" s="1296"/>
      <c r="AP46" s="1296"/>
      <c r="AQ46" s="1296"/>
    </row>
    <row s="2908" customFormat="1" customHeight="1" ht="17.25">
      <c r="A47" s="314"/>
      <c r="C47" s="313"/>
      <c r="D47" s="2014"/>
      <c r="E47" s="2017"/>
      <c r="F47" s="1997"/>
      <c r="G47" s="2017"/>
      <c r="H47" s="1329"/>
      <c r="I47" s="1330"/>
      <c r="J47" s="1330"/>
      <c r="K47" s="1330"/>
      <c r="L47" s="1330"/>
      <c r="M47" s="1330"/>
      <c r="N47" s="1330"/>
      <c r="O47" s="1330"/>
      <c r="P47" s="1330"/>
      <c r="Q47" s="1330"/>
      <c r="R47" s="1330"/>
      <c r="S47" s="1331"/>
      <c r="T47" s="1331"/>
      <c r="U47" s="1331"/>
      <c r="V47" s="1331"/>
      <c r="W47" s="1332"/>
      <c r="X47" s="1288"/>
      <c r="Y47" s="1288"/>
      <c r="Z47" s="1288"/>
      <c r="AA47" s="1288"/>
      <c r="AB47" s="1288"/>
      <c r="AC47" s="1288"/>
      <c r="AD47" s="1288"/>
      <c r="AE47" s="1288"/>
      <c r="AF47" s="1288"/>
      <c r="AG47" s="1288"/>
      <c r="AH47" s="1288"/>
      <c r="AI47" s="1288"/>
      <c r="AJ47" s="1288"/>
      <c r="AK47" s="1288"/>
      <c r="AL47" s="1288"/>
      <c r="AM47" s="1288"/>
      <c r="AN47" s="1288"/>
      <c r="AO47" s="1288"/>
      <c r="AP47" s="1288"/>
      <c r="AQ47" s="1288"/>
    </row>
    <row s="2908" customFormat="1" customHeight="1" ht="17.25">
      <c r="A48" s="314"/>
      <c r="C48" s="195"/>
      <c r="D48" s="1991">
        <v>8</v>
      </c>
      <c r="E48" s="1993" t="s">
        <v>203</v>
      </c>
      <c r="F48" s="1995" t="s">
        <v>57</v>
      </c>
      <c r="G48" s="1993"/>
      <c r="H48" s="1998"/>
      <c r="I48" s="2000"/>
      <c r="J48" s="2002"/>
      <c r="K48" s="1989"/>
      <c r="L48" s="1989"/>
      <c r="M48" s="1989"/>
      <c r="N48" s="2005"/>
      <c r="O48" s="1989"/>
      <c r="P48" s="1989"/>
      <c r="Q48" s="1989"/>
      <c r="R48" s="2008"/>
      <c r="S48" s="1989"/>
      <c r="T48" s="1500"/>
      <c r="U48" s="1500"/>
      <c r="V48" s="1502"/>
      <c r="W48" s="1326"/>
      <c r="X48" s="1296"/>
      <c r="Y48" s="1296"/>
      <c r="Z48" s="1296"/>
      <c r="AA48" s="1296"/>
      <c r="AB48" s="1296"/>
      <c r="AC48" s="1296" t="s">
        <v>204</v>
      </c>
      <c r="AD48" s="1296" t="s">
        <v>205</v>
      </c>
      <c r="AE48" s="1296" t="s">
        <v>206</v>
      </c>
      <c r="AF48" s="1296" t="s">
        <v>207</v>
      </c>
      <c r="AG48" s="1296" t="s">
        <v>208</v>
      </c>
      <c r="AH48" s="1296" t="str">
        <f>IF($E$48=0,"",$E$48)</f>
        <v>Плата за подключение (технологическое присоединение) к системе теплоснабжения</v>
      </c>
      <c r="AI48" s="1296" t="str">
        <f>IF($G$48=0,"",$G$48)</f>
        <v/>
      </c>
      <c r="AJ48" s="1296" t="str">
        <f>IF($J$48=0,"",$J$48)</f>
        <v/>
      </c>
      <c r="AK48" s="1296" t="str">
        <f>IF($K$48="нет","без дифференциации",IF($N$48=0,"",$N$48))</f>
        <v/>
      </c>
      <c r="AL48" s="1296" t="str">
        <f>IF($O$48="нет","без дифференциации",IF($R$48=0,"",$R$48))</f>
        <v/>
      </c>
      <c r="AM48" s="1296" t="str">
        <f>IF($S$48="нет","без дифференциации",IF($V$48=0,"",$V$48))</f>
        <v/>
      </c>
      <c r="AN48" s="1813">
        <f>$I$48</f>
        <v>0</v>
      </c>
      <c r="AO48" s="1296" t="str">
        <f>$I$48&amp;"."&amp;$M$48</f>
        <v>.</v>
      </c>
      <c r="AP48" s="1288" t="str">
        <f>$I$48&amp;"."&amp;$M$48&amp;"."&amp;$Q$48</f>
        <v>..</v>
      </c>
      <c r="AQ48" s="1288" t="str">
        <f>$I$48&amp;"."&amp;$M$48&amp;"."&amp;$Q$48&amp;"."&amp;$U$48</f>
        <v>...</v>
      </c>
    </row>
    <row s="2908" customFormat="1" customHeight="1" ht="17.25">
      <c r="A49" s="314"/>
      <c r="C49" s="313"/>
      <c r="D49" s="1991"/>
      <c r="E49" s="1993"/>
      <c r="F49" s="1996"/>
      <c r="G49" s="1993"/>
      <c r="H49" s="1999"/>
      <c r="I49" s="2001"/>
      <c r="J49" s="2003"/>
      <c r="K49" s="1990"/>
      <c r="L49" s="1990"/>
      <c r="M49" s="1990"/>
      <c r="N49" s="2006"/>
      <c r="O49" s="1990"/>
      <c r="P49" s="1990"/>
      <c r="Q49" s="1990"/>
      <c r="R49" s="2007"/>
      <c r="S49" s="1990"/>
      <c r="T49" s="1327"/>
      <c r="U49" s="1327"/>
      <c r="V49" s="1327"/>
      <c r="W49" s="1328"/>
      <c r="X49" s="1288"/>
      <c r="Y49" s="1288"/>
      <c r="Z49" s="1288"/>
      <c r="AA49" s="1288"/>
      <c r="AB49" s="1288"/>
      <c r="AC49" s="1288"/>
      <c r="AD49" s="1288"/>
      <c r="AE49" s="1288"/>
      <c r="AF49" s="1288"/>
      <c r="AG49" s="1288"/>
      <c r="AH49" s="1288"/>
      <c r="AI49" s="1288"/>
      <c r="AJ49" s="1288"/>
      <c r="AK49" s="1288"/>
      <c r="AL49" s="1288"/>
      <c r="AM49" s="1288"/>
      <c r="AN49" s="1288"/>
      <c r="AO49" s="1288"/>
      <c r="AP49" s="1288"/>
      <c r="AQ49" s="1288"/>
    </row>
    <row s="2908" customFormat="1" customHeight="1" ht="17.25">
      <c r="A50" s="314"/>
      <c r="C50" s="313"/>
      <c r="D50" s="1992"/>
      <c r="E50" s="1994"/>
      <c r="F50" s="1996"/>
      <c r="G50" s="1994"/>
      <c r="H50" s="1999"/>
      <c r="I50" s="2001"/>
      <c r="J50" s="2004"/>
      <c r="K50" s="1990"/>
      <c r="L50" s="1990"/>
      <c r="M50" s="1990"/>
      <c r="N50" s="2007"/>
      <c r="O50" s="1990"/>
      <c r="P50" s="1501"/>
      <c r="Q50" s="1327"/>
      <c r="R50" s="1327"/>
      <c r="S50" s="325"/>
      <c r="T50" s="325"/>
      <c r="U50" s="325"/>
      <c r="V50" s="325"/>
      <c r="W50" s="1328"/>
      <c r="X50" s="1288"/>
      <c r="Y50" s="1288"/>
      <c r="Z50" s="1288"/>
      <c r="AA50" s="1288"/>
      <c r="AB50" s="1288"/>
      <c r="AC50" s="1288"/>
      <c r="AD50" s="1288"/>
      <c r="AE50" s="1288"/>
      <c r="AF50" s="1288"/>
      <c r="AG50" s="1288"/>
      <c r="AH50" s="1288"/>
      <c r="AI50" s="1288"/>
      <c r="AJ50" s="1288"/>
      <c r="AK50" s="1288"/>
      <c r="AL50" s="1288"/>
      <c r="AM50" s="1288"/>
      <c r="AN50" s="1288"/>
      <c r="AO50" s="1288"/>
      <c r="AP50" s="1288"/>
      <c r="AQ50" s="1288"/>
    </row>
    <row s="2907" customFormat="1" customHeight="1" ht="17.25">
      <c r="A51" s="314"/>
      <c r="C51" s="195"/>
      <c r="D51" s="1992"/>
      <c r="E51" s="1994"/>
      <c r="F51" s="1996"/>
      <c r="G51" s="1994"/>
      <c r="H51" s="1999"/>
      <c r="I51" s="2001"/>
      <c r="J51" s="2004"/>
      <c r="K51" s="1990"/>
      <c r="L51" s="1327"/>
      <c r="M51" s="1327"/>
      <c r="N51" s="1327"/>
      <c r="O51" s="1327"/>
      <c r="P51" s="1327"/>
      <c r="Q51" s="1327"/>
      <c r="R51" s="1327"/>
      <c r="S51" s="325"/>
      <c r="T51" s="325"/>
      <c r="U51" s="325"/>
      <c r="V51" s="325"/>
      <c r="W51" s="1328"/>
      <c r="Y51" s="1296"/>
      <c r="Z51" s="1296"/>
      <c r="AA51" s="1296"/>
      <c r="AB51" s="1296"/>
      <c r="AC51" s="1296"/>
      <c r="AD51" s="1296"/>
      <c r="AE51" s="1296"/>
      <c r="AF51" s="1296"/>
      <c r="AG51" s="1296"/>
      <c r="AH51" s="1296"/>
      <c r="AI51" s="1296"/>
      <c r="AJ51" s="1296"/>
      <c r="AK51" s="1296"/>
      <c r="AL51" s="1296"/>
      <c r="AM51" s="1296"/>
      <c r="AN51" s="1296"/>
      <c r="AO51" s="1296"/>
      <c r="AP51" s="1296"/>
      <c r="AQ51" s="1296"/>
    </row>
    <row s="2908" customFormat="1" customHeight="1" ht="17.25">
      <c r="A52" s="314"/>
      <c r="C52" s="313"/>
      <c r="D52" s="1992"/>
      <c r="E52" s="1994"/>
      <c r="F52" s="1997"/>
      <c r="G52" s="1994"/>
      <c r="H52" s="1329"/>
      <c r="I52" s="1330"/>
      <c r="J52" s="1330"/>
      <c r="K52" s="1330"/>
      <c r="L52" s="1330"/>
      <c r="M52" s="1330"/>
      <c r="N52" s="1330"/>
      <c r="O52" s="1330"/>
      <c r="P52" s="1330"/>
      <c r="Q52" s="1330"/>
      <c r="R52" s="1330"/>
      <c r="S52" s="1331"/>
      <c r="T52" s="1331"/>
      <c r="U52" s="1331"/>
      <c r="V52" s="1331"/>
      <c r="W52" s="1332"/>
      <c r="X52" s="1288"/>
      <c r="Y52" s="1288"/>
      <c r="Z52" s="1288"/>
      <c r="AA52" s="1288"/>
      <c r="AB52" s="1288"/>
      <c r="AC52" s="1288"/>
      <c r="AD52" s="1288"/>
      <c r="AE52" s="1288"/>
      <c r="AF52" s="1288"/>
      <c r="AG52" s="1288"/>
      <c r="AH52" s="1288"/>
      <c r="AI52" s="1288"/>
      <c r="AJ52" s="1288"/>
      <c r="AK52" s="1288"/>
      <c r="AL52" s="1288"/>
      <c r="AM52" s="1288"/>
      <c r="AN52" s="1288"/>
      <c r="AO52" s="1288"/>
      <c r="AP52" s="1288"/>
      <c r="AQ52" s="1288"/>
    </row>
    <row customHeight="1" ht="11.25"/>
    <row customHeight="1" ht="11.25">
      <c r="E54" s="2011" t="s">
        <v>209</v>
      </c>
      <c r="F54" s="2011"/>
      <c r="G54" s="2011"/>
      <c r="H54" s="2011"/>
      <c r="I54" s="2011"/>
      <c r="J54" s="2011"/>
      <c r="K54" s="2011"/>
      <c r="L54" s="2011"/>
      <c r="M54" s="2011"/>
      <c r="N54" s="2011"/>
      <c r="O54" s="2011"/>
      <c r="P54" s="2011"/>
      <c r="Q54" s="2011"/>
      <c r="R54" s="2011"/>
      <c r="S54" s="2011"/>
      <c r="T54" s="2011"/>
      <c r="U54" s="2011"/>
      <c r="V54" s="2011"/>
      <c r="W54" s="2011"/>
    </row>
    <row customHeight="1" ht="36.75">
      <c r="E55" s="2009" t="s">
        <v>210</v>
      </c>
      <c r="F55" s="2009"/>
      <c r="G55" s="2010"/>
      <c r="H55" s="2010"/>
      <c r="I55" s="2010"/>
      <c r="J55" s="2010"/>
      <c r="K55" s="2010"/>
      <c r="L55" s="2010"/>
      <c r="M55" s="2010"/>
      <c r="N55" s="2010"/>
      <c r="O55" s="2010"/>
      <c r="P55" s="2010"/>
      <c r="Q55" s="2010"/>
      <c r="R55" s="2010"/>
      <c r="S55" s="2010"/>
      <c r="T55" s="2010"/>
      <c r="U55" s="2010"/>
      <c r="V55" s="2010"/>
      <c r="W55" s="2010"/>
    </row>
    <row customHeight="1" ht="28.5">
      <c r="E56" s="2009" t="s">
        <v>211</v>
      </c>
      <c r="F56" s="2009"/>
      <c r="G56" s="2010"/>
      <c r="H56" s="2010"/>
      <c r="I56" s="2010"/>
      <c r="J56" s="2010"/>
      <c r="K56" s="2010"/>
      <c r="L56" s="2010"/>
      <c r="M56" s="2010"/>
      <c r="N56" s="2010"/>
      <c r="O56" s="2010"/>
      <c r="P56" s="2010"/>
      <c r="Q56" s="2010"/>
      <c r="R56" s="2010"/>
      <c r="S56" s="2010"/>
      <c r="T56" s="2010"/>
      <c r="U56" s="2010"/>
      <c r="V56" s="2010"/>
      <c r="W56" s="2010"/>
    </row>
    <row customHeight="1" ht="27">
      <c r="E57" s="2009" t="s">
        <v>212</v>
      </c>
      <c r="F57" s="2009"/>
      <c r="G57" s="2010"/>
      <c r="H57" s="2010"/>
      <c r="I57" s="2010"/>
      <c r="J57" s="2010"/>
      <c r="K57" s="2010"/>
      <c r="L57" s="2010"/>
      <c r="M57" s="2010"/>
      <c r="N57" s="2010"/>
      <c r="O57" s="2010"/>
      <c r="P57" s="2010"/>
      <c r="Q57" s="2010"/>
      <c r="R57" s="2010"/>
      <c r="S57" s="2010"/>
      <c r="T57" s="2010"/>
      <c r="U57" s="2010"/>
      <c r="V57" s="2010"/>
      <c r="W57" s="2010"/>
    </row>
    <row customHeight="1" ht="17.25">
      <c r="E58" s="2009" t="s">
        <v>213</v>
      </c>
      <c r="F58" s="2009"/>
      <c r="G58" s="2010"/>
      <c r="H58" s="2010"/>
      <c r="I58" s="2010"/>
      <c r="J58" s="2010"/>
      <c r="K58" s="2010"/>
      <c r="L58" s="2010"/>
      <c r="M58" s="2010"/>
      <c r="N58" s="2010"/>
      <c r="O58" s="2010"/>
      <c r="P58" s="2010"/>
      <c r="Q58" s="2010"/>
      <c r="R58" s="2010"/>
      <c r="S58" s="2010"/>
      <c r="T58" s="2010"/>
      <c r="U58" s="2010"/>
      <c r="V58" s="2010"/>
      <c r="W58" s="2010"/>
    </row>
    <row customHeight="1" ht="15">
      <c r="E59" s="336"/>
      <c r="F59" s="1315"/>
      <c r="G59" s="143"/>
      <c r="H59" s="143"/>
      <c r="I59" s="143"/>
      <c r="J59" s="143"/>
      <c r="K59" s="143"/>
      <c r="L59" s="143"/>
      <c r="M59" s="143"/>
      <c r="N59" s="143"/>
      <c r="O59" s="143"/>
      <c r="P59" s="143"/>
      <c r="Q59" s="143"/>
      <c r="R59" s="143"/>
      <c r="S59" s="143"/>
      <c r="T59" s="143"/>
      <c r="U59" s="143"/>
      <c r="V59" s="143"/>
      <c r="W59" s="143"/>
    </row>
    <row customHeight="1" ht="15">
      <c r="E60" s="2011" t="s">
        <v>214</v>
      </c>
      <c r="F60" s="2011"/>
      <c r="G60" s="2011"/>
      <c r="H60" s="2011"/>
      <c r="I60" s="2011"/>
      <c r="J60" s="2011"/>
      <c r="K60" s="2011"/>
      <c r="L60" s="2011"/>
      <c r="M60" s="2011"/>
      <c r="N60" s="2011"/>
      <c r="O60" s="2011"/>
      <c r="P60" s="2011"/>
      <c r="Q60" s="2011"/>
      <c r="R60" s="2011"/>
      <c r="S60" s="2011"/>
      <c r="T60" s="2011"/>
      <c r="U60" s="2011"/>
      <c r="V60" s="2011"/>
      <c r="W60" s="2011"/>
    </row>
    <row customHeight="1" ht="17.25">
      <c r="E61" s="2009" t="s">
        <v>215</v>
      </c>
      <c r="F61" s="2009"/>
      <c r="G61" s="2010"/>
      <c r="H61" s="2010"/>
      <c r="I61" s="2010"/>
      <c r="J61" s="2010"/>
      <c r="K61" s="2010"/>
      <c r="L61" s="2010"/>
      <c r="M61" s="2010"/>
      <c r="N61" s="2010"/>
      <c r="O61" s="2010"/>
      <c r="P61" s="2010"/>
      <c r="Q61" s="2010"/>
      <c r="R61" s="2010"/>
      <c r="S61" s="2010"/>
      <c r="T61" s="2010"/>
      <c r="U61" s="2010"/>
      <c r="V61" s="2010"/>
      <c r="W61" s="2010"/>
    </row>
    <row customHeight="1" ht="17.25">
      <c r="E62" s="2009" t="s">
        <v>216</v>
      </c>
      <c r="F62" s="2009"/>
      <c r="G62" s="2010"/>
      <c r="H62" s="2010"/>
      <c r="I62" s="2010"/>
      <c r="J62" s="2010"/>
      <c r="K62" s="2010"/>
      <c r="L62" s="2010"/>
      <c r="M62" s="2010"/>
      <c r="N62" s="2010"/>
      <c r="O62" s="2010"/>
      <c r="P62" s="2010"/>
      <c r="Q62" s="2010"/>
      <c r="R62" s="2010"/>
      <c r="S62" s="2010"/>
      <c r="T62" s="2010"/>
      <c r="U62" s="2010"/>
      <c r="V62" s="2010"/>
      <c r="W62" s="2010"/>
    </row>
    <row s="2924" customFormat="1" customHeight="1" ht="11.25" hidden="1">
      <c r="A63" s="263"/>
      <c r="B63" s="263"/>
      <c r="Y63" s="1288"/>
      <c r="Z63" s="1288"/>
      <c r="AA63" s="1288"/>
      <c r="AB63" s="1288"/>
      <c r="AC63" s="1288"/>
      <c r="AD63" s="1288"/>
      <c r="AE63" s="1288"/>
      <c r="AF63" s="1288"/>
      <c r="AG63" s="1288"/>
      <c r="AH63" s="1288"/>
      <c r="AI63" s="1288"/>
      <c r="AJ63" s="1288"/>
      <c r="AK63" s="1288"/>
      <c r="AL63" s="1288"/>
      <c r="AM63" s="1288"/>
      <c r="AN63" s="1288"/>
      <c r="AO63" s="1288"/>
      <c r="AP63" s="1288"/>
      <c r="AQ63" s="1288"/>
    </row>
    <row s="2924" customFormat="1" customHeight="1" ht="17.25" hidden="1">
      <c r="A64" s="314"/>
      <c r="C64" s="195"/>
      <c r="D64" s="1991">
        <v>1</v>
      </c>
      <c r="E64" s="1993" t="s">
        <v>217</v>
      </c>
      <c r="F64" s="1995" t="s">
        <v>57</v>
      </c>
      <c r="G64" s="1993"/>
      <c r="H64" s="1998"/>
      <c r="I64" s="2000"/>
      <c r="J64" s="2002"/>
      <c r="K64" s="1989"/>
      <c r="L64" s="1989"/>
      <c r="M64" s="1989"/>
      <c r="N64" s="2005"/>
      <c r="O64" s="1989"/>
      <c r="P64" s="1989"/>
      <c r="Q64" s="1989"/>
      <c r="R64" s="2008"/>
      <c r="S64" s="1989"/>
      <c r="T64" s="1500"/>
      <c r="U64" s="1500"/>
      <c r="V64" s="1502"/>
      <c r="W64" s="1326"/>
      <c r="Y64" s="1296"/>
      <c r="Z64" s="1296"/>
      <c r="AA64" s="1296"/>
      <c r="AB64" s="1296"/>
      <c r="AC64" s="1296" t="s">
        <v>218</v>
      </c>
      <c r="AD64" s="1296" t="s">
        <v>219</v>
      </c>
      <c r="AE64" s="1296" t="s">
        <v>220</v>
      </c>
      <c r="AF64" s="1296" t="s">
        <v>221</v>
      </c>
      <c r="AG64" s="1296"/>
      <c r="AH64" s="1296" t="str">
        <f>IF($E$64=0,"",$E$64)</f>
        <v>Тариф на питьевую воду (питьевое водоснабжение)</v>
      </c>
      <c r="AI64" s="1296" t="str">
        <f>IF($G$64=0,"",$G$64)</f>
        <v/>
      </c>
      <c r="AJ64" s="1296" t="str">
        <f>IF($J$64=0,"",$J$64)</f>
        <v/>
      </c>
      <c r="AK64" s="1296" t="str">
        <f>IF($K$64="нет","без дифференциации",IF($N$64=0,"",$N$64))</f>
        <v/>
      </c>
      <c r="AL64" s="1296" t="str">
        <f>IF($O$64="нет","без дифференциации",IF($R$64=0,"",$R$64))</f>
        <v/>
      </c>
      <c r="AM64" s="1296" t="str">
        <f>IF($S$64="нет","без дифференциации",IF($V$64=0,"",$V$64))</f>
        <v/>
      </c>
      <c r="AN64" s="1296">
        <f>$I$64</f>
        <v>0</v>
      </c>
      <c r="AO64" s="1296" t="str">
        <f>$I$64&amp;"."&amp;$M$64</f>
        <v>.</v>
      </c>
      <c r="AP64" s="1296" t="str">
        <f>$I$64&amp;"."&amp;$M$64&amp;"."&amp;$Q$64</f>
        <v>..</v>
      </c>
      <c r="AQ64" s="1296" t="str">
        <f>$I$64&amp;"."&amp;$M$64&amp;"."&amp;$Q$64&amp;"."&amp;$U$64</f>
        <v>...</v>
      </c>
    </row>
    <row s="2924" customFormat="1" customHeight="1" ht="17.25" hidden="1">
      <c r="A65" s="314"/>
      <c r="C65" s="313"/>
      <c r="D65" s="1991"/>
      <c r="E65" s="1993"/>
      <c r="F65" s="1996"/>
      <c r="G65" s="1993"/>
      <c r="H65" s="1999"/>
      <c r="I65" s="2001"/>
      <c r="J65" s="2003"/>
      <c r="K65" s="1990"/>
      <c r="L65" s="1990"/>
      <c r="M65" s="1990"/>
      <c r="N65" s="2006"/>
      <c r="O65" s="1990"/>
      <c r="P65" s="1990"/>
      <c r="Q65" s="1990"/>
      <c r="R65" s="2007"/>
      <c r="S65" s="1990"/>
      <c r="T65" s="1327"/>
      <c r="U65" s="1327"/>
      <c r="V65" s="1327"/>
      <c r="W65" s="1328"/>
      <c r="Y65" s="1288"/>
      <c r="Z65" s="1288"/>
      <c r="AA65" s="1288"/>
      <c r="AB65" s="1288"/>
      <c r="AC65" s="1288"/>
      <c r="AD65" s="1288"/>
      <c r="AE65" s="1288"/>
      <c r="AF65" s="1288"/>
      <c r="AG65" s="1288"/>
      <c r="AH65" s="1288"/>
      <c r="AI65" s="1288"/>
      <c r="AJ65" s="1288"/>
      <c r="AK65" s="1288"/>
      <c r="AL65" s="1288"/>
      <c r="AM65" s="1288"/>
      <c r="AN65" s="1288"/>
      <c r="AO65" s="1288"/>
      <c r="AP65" s="1288"/>
      <c r="AQ65" s="1288"/>
    </row>
    <row s="2925" customFormat="1" customHeight="1" ht="17.25" hidden="1">
      <c r="A66" s="314"/>
      <c r="C66" s="195"/>
      <c r="D66" s="1991"/>
      <c r="E66" s="1993"/>
      <c r="F66" s="1996"/>
      <c r="G66" s="1993"/>
      <c r="H66" s="1999"/>
      <c r="I66" s="2001"/>
      <c r="J66" s="2004"/>
      <c r="K66" s="1990"/>
      <c r="L66" s="1990"/>
      <c r="M66" s="1990"/>
      <c r="N66" s="2007"/>
      <c r="O66" s="1990"/>
      <c r="P66" s="1501"/>
      <c r="Q66" s="1327"/>
      <c r="R66" s="1327"/>
      <c r="S66" s="325"/>
      <c r="T66" s="325"/>
      <c r="U66" s="325"/>
      <c r="V66" s="325"/>
      <c r="W66" s="1328"/>
      <c r="Y66" s="1296"/>
      <c r="Z66" s="1296"/>
      <c r="AA66" s="1296"/>
      <c r="AB66" s="1296"/>
      <c r="AC66" s="1296"/>
      <c r="AD66" s="1296"/>
      <c r="AE66" s="1296"/>
      <c r="AF66" s="1296"/>
      <c r="AG66" s="1296"/>
      <c r="AH66" s="1296"/>
      <c r="AI66" s="1296"/>
      <c r="AJ66" s="1296"/>
      <c r="AK66" s="1296"/>
      <c r="AL66" s="1296"/>
      <c r="AM66" s="1296"/>
      <c r="AN66" s="1296"/>
      <c r="AO66" s="1296"/>
      <c r="AP66" s="1296"/>
      <c r="AQ66" s="1296"/>
    </row>
    <row s="2925" customFormat="1" customHeight="1" ht="17.25" hidden="1">
      <c r="A67" s="314"/>
      <c r="C67" s="313"/>
      <c r="D67" s="1991"/>
      <c r="E67" s="1993"/>
      <c r="F67" s="1996"/>
      <c r="G67" s="1993"/>
      <c r="H67" s="1999"/>
      <c r="I67" s="2001"/>
      <c r="J67" s="2004"/>
      <c r="K67" s="1990"/>
      <c r="L67" s="1327"/>
      <c r="M67" s="1327"/>
      <c r="N67" s="1327"/>
      <c r="O67" s="1327"/>
      <c r="P67" s="1327"/>
      <c r="Q67" s="1327"/>
      <c r="R67" s="1327"/>
      <c r="S67" s="325"/>
      <c r="T67" s="325"/>
      <c r="U67" s="325"/>
      <c r="V67" s="325"/>
      <c r="W67" s="1328"/>
      <c r="Y67" s="1288"/>
      <c r="Z67" s="1288"/>
      <c r="AA67" s="1288"/>
      <c r="AB67" s="1288"/>
      <c r="AC67" s="1288"/>
      <c r="AD67" s="1288"/>
      <c r="AE67" s="1288"/>
      <c r="AF67" s="1288"/>
      <c r="AG67" s="1288"/>
      <c r="AH67" s="1288"/>
      <c r="AI67" s="1288"/>
      <c r="AJ67" s="1288"/>
      <c r="AK67" s="1288"/>
      <c r="AL67" s="1288"/>
      <c r="AM67" s="1288"/>
      <c r="AN67" s="1288"/>
      <c r="AO67" s="1288"/>
      <c r="AP67" s="1288"/>
      <c r="AQ67" s="1288"/>
    </row>
    <row s="2924" customFormat="1" customHeight="1" ht="17.25" hidden="1">
      <c r="A68" s="314"/>
      <c r="C68" s="313"/>
      <c r="D68" s="1992"/>
      <c r="E68" s="1994"/>
      <c r="F68" s="1997"/>
      <c r="G68" s="1994"/>
      <c r="H68" s="1329"/>
      <c r="I68" s="1330"/>
      <c r="J68" s="1330"/>
      <c r="K68" s="1330"/>
      <c r="L68" s="1330"/>
      <c r="M68" s="1330"/>
      <c r="N68" s="1330"/>
      <c r="O68" s="1330"/>
      <c r="P68" s="1330"/>
      <c r="Q68" s="1330"/>
      <c r="R68" s="1330"/>
      <c r="S68" s="1331"/>
      <c r="T68" s="1331"/>
      <c r="U68" s="1331"/>
      <c r="V68" s="1331"/>
      <c r="W68" s="1332"/>
      <c r="Y68" s="1288"/>
      <c r="Z68" s="1288"/>
      <c r="AA68" s="1288"/>
      <c r="AB68" s="1288"/>
      <c r="AC68" s="1288"/>
      <c r="AD68" s="1288"/>
      <c r="AE68" s="1288"/>
      <c r="AF68" s="1288"/>
      <c r="AG68" s="1288"/>
      <c r="AH68" s="1288"/>
      <c r="AI68" s="1288"/>
      <c r="AJ68" s="1288"/>
      <c r="AK68" s="1288"/>
      <c r="AL68" s="1288"/>
      <c r="AM68" s="1288"/>
      <c r="AN68" s="1288"/>
      <c r="AO68" s="1288"/>
      <c r="AP68" s="1288"/>
      <c r="AQ68" s="1288"/>
    </row>
    <row s="2924" customFormat="1" customHeight="1" ht="17.25" hidden="1">
      <c r="A69" s="314"/>
      <c r="C69" s="195"/>
      <c r="D69" s="1991">
        <v>2</v>
      </c>
      <c r="E69" s="1993" t="s">
        <v>222</v>
      </c>
      <c r="F69" s="1995" t="s">
        <v>57</v>
      </c>
      <c r="G69" s="1993"/>
      <c r="H69" s="1998"/>
      <c r="I69" s="2000"/>
      <c r="J69" s="2002"/>
      <c r="K69" s="1989"/>
      <c r="L69" s="1989"/>
      <c r="M69" s="1989"/>
      <c r="N69" s="2005"/>
      <c r="O69" s="1989"/>
      <c r="P69" s="1989"/>
      <c r="Q69" s="1989"/>
      <c r="R69" s="2008"/>
      <c r="S69" s="1989"/>
      <c r="T69" s="1473"/>
      <c r="U69" s="1473"/>
      <c r="V69" s="1475"/>
      <c r="W69" s="1326"/>
      <c r="X69" s="1296"/>
      <c r="Y69" s="1296"/>
      <c r="Z69" s="1296"/>
      <c r="AA69" s="1296"/>
      <c r="AB69" s="1296"/>
      <c r="AC69" s="1296" t="s">
        <v>223</v>
      </c>
      <c r="AD69" s="1296" t="s">
        <v>224</v>
      </c>
      <c r="AE69" s="1296" t="s">
        <v>225</v>
      </c>
      <c r="AF69" s="1296" t="s">
        <v>226</v>
      </c>
      <c r="AG69" s="1296"/>
      <c r="AH69" s="1296" t="str">
        <f>IF($E$69=0,"",$E$69)</f>
        <v>Тариф на техническую воду</v>
      </c>
      <c r="AI69" s="1296" t="str">
        <f>IF($G$69=0,"",$G$69)</f>
        <v/>
      </c>
      <c r="AJ69" s="1296" t="str">
        <f>IF($J$69=0,"",$J$69)</f>
        <v/>
      </c>
      <c r="AK69" s="1296" t="str">
        <f>IF($K$69="нет","без дифференциации",IF($N$69=0,"",$N$69))</f>
        <v/>
      </c>
      <c r="AL69" s="1296" t="str">
        <f>IF($O$69="нет","без дифференциации",IF($R$69=0,"",$R$69))</f>
        <v/>
      </c>
      <c r="AM69" s="1296" t="str">
        <f>IF($S$69="нет","без дифференциации",IF($V$69=0,"",$V$69))</f>
        <v/>
      </c>
      <c r="AN69" s="1813">
        <f>$I$69</f>
        <v>0</v>
      </c>
      <c r="AO69" s="1296" t="str">
        <f>$I$69&amp;"."&amp;$M$69</f>
        <v>.</v>
      </c>
      <c r="AP69" s="1288" t="str">
        <f>$I$69&amp;"."&amp;$M$69&amp;"."&amp;$Q$69</f>
        <v>..</v>
      </c>
      <c r="AQ69" s="1288" t="str">
        <f>$I$69&amp;"."&amp;$M$69&amp;"."&amp;$Q$69&amp;"."&amp;$U$69</f>
        <v>...</v>
      </c>
    </row>
    <row s="2924" customFormat="1" customHeight="1" ht="17.25" hidden="1">
      <c r="A70" s="314"/>
      <c r="C70" s="313"/>
      <c r="D70" s="1991"/>
      <c r="E70" s="1993"/>
      <c r="F70" s="1996"/>
      <c r="G70" s="1993"/>
      <c r="H70" s="1999"/>
      <c r="I70" s="2001"/>
      <c r="J70" s="2003"/>
      <c r="K70" s="1990"/>
      <c r="L70" s="1990"/>
      <c r="M70" s="1990"/>
      <c r="N70" s="2006"/>
      <c r="O70" s="1990"/>
      <c r="P70" s="1990"/>
      <c r="Q70" s="1990"/>
      <c r="R70" s="2007"/>
      <c r="S70" s="1990"/>
      <c r="T70" s="1327"/>
      <c r="U70" s="1327"/>
      <c r="V70" s="1327"/>
      <c r="W70" s="1328"/>
      <c r="X70" s="1288"/>
      <c r="Y70" s="1288"/>
      <c r="Z70" s="1288"/>
      <c r="AA70" s="1288"/>
      <c r="AB70" s="1288"/>
      <c r="AC70" s="1288"/>
      <c r="AD70" s="1288"/>
      <c r="AE70" s="1288"/>
      <c r="AF70" s="1288"/>
      <c r="AG70" s="1288"/>
      <c r="AH70" s="1288"/>
      <c r="AI70" s="1288"/>
      <c r="AJ70" s="1288"/>
      <c r="AK70" s="1288"/>
      <c r="AL70" s="1288"/>
      <c r="AM70" s="1288"/>
      <c r="AN70" s="1288"/>
      <c r="AO70" s="1288"/>
      <c r="AP70" s="1288"/>
      <c r="AQ70" s="1288"/>
    </row>
    <row s="2924" customFormat="1" customHeight="1" ht="17.25" hidden="1">
      <c r="A71" s="314"/>
      <c r="C71" s="313"/>
      <c r="D71" s="1992"/>
      <c r="E71" s="1994"/>
      <c r="F71" s="1996"/>
      <c r="G71" s="1994"/>
      <c r="H71" s="1999"/>
      <c r="I71" s="2001"/>
      <c r="J71" s="2004"/>
      <c r="K71" s="1990"/>
      <c r="L71" s="1990"/>
      <c r="M71" s="1990"/>
      <c r="N71" s="2007"/>
      <c r="O71" s="1990"/>
      <c r="P71" s="1474"/>
      <c r="Q71" s="1327"/>
      <c r="R71" s="1327"/>
      <c r="S71" s="325"/>
      <c r="T71" s="325"/>
      <c r="U71" s="325"/>
      <c r="V71" s="325"/>
      <c r="W71" s="1328"/>
      <c r="X71" s="1288"/>
      <c r="Y71" s="1288"/>
      <c r="Z71" s="1288"/>
      <c r="AA71" s="1288"/>
      <c r="AB71" s="1288"/>
      <c r="AC71" s="1288"/>
      <c r="AD71" s="1288"/>
      <c r="AE71" s="1288"/>
      <c r="AF71" s="1288"/>
      <c r="AG71" s="1288"/>
      <c r="AH71" s="1288"/>
      <c r="AI71" s="1288"/>
      <c r="AJ71" s="1288"/>
      <c r="AK71" s="1288"/>
      <c r="AL71" s="1288"/>
      <c r="AM71" s="1288"/>
      <c r="AN71" s="1288"/>
      <c r="AO71" s="1288"/>
      <c r="AP71" s="1288"/>
      <c r="AQ71" s="1288"/>
    </row>
    <row s="2924" customFormat="1" customHeight="1" ht="17.25" hidden="1">
      <c r="A72" s="314"/>
      <c r="C72" s="313"/>
      <c r="D72" s="1992"/>
      <c r="E72" s="1994"/>
      <c r="F72" s="1996"/>
      <c r="G72" s="1994"/>
      <c r="H72" s="1999"/>
      <c r="I72" s="2001"/>
      <c r="J72" s="2004"/>
      <c r="K72" s="1990"/>
      <c r="L72" s="1327"/>
      <c r="M72" s="1327"/>
      <c r="N72" s="1327"/>
      <c r="O72" s="1327"/>
      <c r="P72" s="1327"/>
      <c r="Q72" s="1327"/>
      <c r="R72" s="1327"/>
      <c r="S72" s="325"/>
      <c r="T72" s="325"/>
      <c r="U72" s="325"/>
      <c r="V72" s="325"/>
      <c r="W72" s="1328"/>
      <c r="X72" s="1288"/>
      <c r="Y72" s="1288"/>
      <c r="Z72" s="1288"/>
      <c r="AA72" s="1288"/>
      <c r="AB72" s="1288"/>
      <c r="AC72" s="1288"/>
      <c r="AD72" s="1288"/>
      <c r="AE72" s="1288"/>
      <c r="AF72" s="1288"/>
      <c r="AG72" s="1288"/>
      <c r="AH72" s="1288"/>
      <c r="AI72" s="1288"/>
      <c r="AJ72" s="1288"/>
      <c r="AK72" s="1288"/>
      <c r="AL72" s="1288"/>
      <c r="AM72" s="1288"/>
      <c r="AN72" s="1288"/>
      <c r="AO72" s="1288"/>
      <c r="AP72" s="1288"/>
      <c r="AQ72" s="1288"/>
    </row>
    <row s="2924" customFormat="1" customHeight="1" ht="17.25" hidden="1">
      <c r="A73" s="314"/>
      <c r="C73" s="313"/>
      <c r="D73" s="1992"/>
      <c r="E73" s="1994"/>
      <c r="F73" s="1997"/>
      <c r="G73" s="1994"/>
      <c r="H73" s="1329"/>
      <c r="I73" s="1330"/>
      <c r="J73" s="1330"/>
      <c r="K73" s="1330"/>
      <c r="L73" s="1330"/>
      <c r="M73" s="1330"/>
      <c r="N73" s="1330"/>
      <c r="O73" s="1330"/>
      <c r="P73" s="1330"/>
      <c r="Q73" s="1330"/>
      <c r="R73" s="1330"/>
      <c r="S73" s="1331"/>
      <c r="T73" s="1331"/>
      <c r="U73" s="1331"/>
      <c r="V73" s="1331"/>
      <c r="W73" s="1332"/>
      <c r="X73" s="1288"/>
      <c r="Y73" s="1288"/>
      <c r="Z73" s="1288"/>
      <c r="AA73" s="1288"/>
      <c r="AB73" s="1288"/>
      <c r="AC73" s="1288"/>
      <c r="AD73" s="1288"/>
      <c r="AE73" s="1288"/>
      <c r="AF73" s="1288"/>
      <c r="AG73" s="1288"/>
      <c r="AH73" s="1288"/>
      <c r="AI73" s="1288"/>
      <c r="AJ73" s="1288"/>
      <c r="AK73" s="1288"/>
      <c r="AL73" s="1288"/>
      <c r="AM73" s="1288"/>
      <c r="AN73" s="1288"/>
      <c r="AO73" s="1288"/>
      <c r="AP73" s="1288"/>
      <c r="AQ73" s="1288"/>
    </row>
    <row s="2924" customFormat="1" customHeight="1" ht="17.25" hidden="1">
      <c r="A74" s="314"/>
      <c r="C74" s="195"/>
      <c r="D74" s="1991">
        <v>3</v>
      </c>
      <c r="E74" s="1993" t="s">
        <v>227</v>
      </c>
      <c r="F74" s="1995" t="s">
        <v>57</v>
      </c>
      <c r="G74" s="1993"/>
      <c r="H74" s="1998"/>
      <c r="I74" s="2000"/>
      <c r="J74" s="2002"/>
      <c r="K74" s="1989"/>
      <c r="L74" s="1989"/>
      <c r="M74" s="1989"/>
      <c r="N74" s="2005"/>
      <c r="O74" s="1989"/>
      <c r="P74" s="1989"/>
      <c r="Q74" s="1989"/>
      <c r="R74" s="2008"/>
      <c r="S74" s="1989"/>
      <c r="T74" s="1473"/>
      <c r="U74" s="1473"/>
      <c r="V74" s="1475"/>
      <c r="W74" s="1326"/>
      <c r="X74" s="1296"/>
      <c r="Y74" s="1296"/>
      <c r="Z74" s="1296"/>
      <c r="AA74" s="1296"/>
      <c r="AB74" s="1296"/>
      <c r="AC74" s="1296" t="s">
        <v>228</v>
      </c>
      <c r="AD74" s="1296" t="s">
        <v>229</v>
      </c>
      <c r="AE74" s="1296" t="s">
        <v>230</v>
      </c>
      <c r="AF74" s="1296" t="s">
        <v>231</v>
      </c>
      <c r="AG74" s="1296"/>
      <c r="AH74" s="1296" t="str">
        <f>IF($E$74=0,"",$E$74)</f>
        <v>Тариф на транспортировку воды</v>
      </c>
      <c r="AI74" s="1296" t="str">
        <f>IF($G$74=0,"",$G$74)</f>
        <v/>
      </c>
      <c r="AJ74" s="1296" t="str">
        <f>IF($J$74=0,"",$J$74)</f>
        <v/>
      </c>
      <c r="AK74" s="1296" t="str">
        <f>IF($K$74="нет","без дифференциации",IF($N$74=0,"",$N$74))</f>
        <v/>
      </c>
      <c r="AL74" s="1296" t="str">
        <f>IF($O$74="нет","без дифференциации",IF($R$74=0,"",$R$74))</f>
        <v/>
      </c>
      <c r="AM74" s="1296" t="str">
        <f>IF($S$74="нет","без дифференциации",IF($V$74=0,"",$V$74))</f>
        <v/>
      </c>
      <c r="AN74" s="1813">
        <f>$I$74</f>
        <v>0</v>
      </c>
      <c r="AO74" s="1296" t="str">
        <f>$I$74&amp;"."&amp;$M$74</f>
        <v>.</v>
      </c>
      <c r="AP74" s="1288" t="str">
        <f>$I$74&amp;"."&amp;$M$74&amp;"."&amp;$Q$74</f>
        <v>..</v>
      </c>
      <c r="AQ74" s="1288" t="str">
        <f>$I$74&amp;"."&amp;$M$74&amp;"."&amp;$Q$74&amp;"."&amp;$U$74</f>
        <v>...</v>
      </c>
    </row>
    <row s="2924" customFormat="1" customHeight="1" ht="17.25" hidden="1">
      <c r="A75" s="314"/>
      <c r="C75" s="313"/>
      <c r="D75" s="1991"/>
      <c r="E75" s="1993"/>
      <c r="F75" s="1996"/>
      <c r="G75" s="1993"/>
      <c r="H75" s="1999"/>
      <c r="I75" s="2001"/>
      <c r="J75" s="2003"/>
      <c r="K75" s="1990"/>
      <c r="L75" s="1990"/>
      <c r="M75" s="1990"/>
      <c r="N75" s="2006"/>
      <c r="O75" s="1990"/>
      <c r="P75" s="1990"/>
      <c r="Q75" s="1990"/>
      <c r="R75" s="2007"/>
      <c r="S75" s="1990"/>
      <c r="T75" s="1327"/>
      <c r="U75" s="1327"/>
      <c r="V75" s="1327"/>
      <c r="W75" s="1328"/>
      <c r="X75" s="1288"/>
      <c r="Y75" s="1288"/>
      <c r="Z75" s="1288"/>
      <c r="AA75" s="1288"/>
      <c r="AB75" s="1288"/>
      <c r="AC75" s="1288"/>
      <c r="AD75" s="1288"/>
      <c r="AE75" s="1288"/>
      <c r="AF75" s="1288"/>
      <c r="AG75" s="1288"/>
      <c r="AH75" s="1288"/>
      <c r="AI75" s="1288"/>
      <c r="AJ75" s="1288"/>
      <c r="AK75" s="1288"/>
      <c r="AL75" s="1288"/>
      <c r="AM75" s="1288"/>
      <c r="AN75" s="1288"/>
      <c r="AO75" s="1288"/>
      <c r="AP75" s="1288"/>
      <c r="AQ75" s="1288"/>
    </row>
    <row s="2924" customFormat="1" customHeight="1" ht="17.25" hidden="1">
      <c r="A76" s="314"/>
      <c r="C76" s="313"/>
      <c r="D76" s="1992"/>
      <c r="E76" s="1994"/>
      <c r="F76" s="1996"/>
      <c r="G76" s="1994"/>
      <c r="H76" s="1999"/>
      <c r="I76" s="2001"/>
      <c r="J76" s="2004"/>
      <c r="K76" s="1990"/>
      <c r="L76" s="1990"/>
      <c r="M76" s="1990"/>
      <c r="N76" s="2007"/>
      <c r="O76" s="1990"/>
      <c r="P76" s="1474"/>
      <c r="Q76" s="1327"/>
      <c r="R76" s="1327"/>
      <c r="S76" s="325"/>
      <c r="T76" s="325"/>
      <c r="U76" s="325"/>
      <c r="V76" s="325"/>
      <c r="W76" s="1328"/>
      <c r="X76" s="1288"/>
      <c r="Y76" s="1288"/>
      <c r="Z76" s="1288"/>
      <c r="AA76" s="1288"/>
      <c r="AB76" s="1288"/>
      <c r="AC76" s="1288"/>
      <c r="AD76" s="1288"/>
      <c r="AE76" s="1288"/>
      <c r="AF76" s="1288"/>
      <c r="AG76" s="1288"/>
      <c r="AH76" s="1288"/>
      <c r="AI76" s="1288"/>
      <c r="AJ76" s="1288"/>
      <c r="AK76" s="1288"/>
      <c r="AL76" s="1288"/>
      <c r="AM76" s="1288"/>
      <c r="AN76" s="1288"/>
      <c r="AO76" s="1288"/>
      <c r="AP76" s="1288"/>
      <c r="AQ76" s="1288"/>
    </row>
    <row s="2924" customFormat="1" customHeight="1" ht="17.25" hidden="1">
      <c r="A77" s="314"/>
      <c r="C77" s="313"/>
      <c r="D77" s="1992"/>
      <c r="E77" s="1994"/>
      <c r="F77" s="1996"/>
      <c r="G77" s="1994"/>
      <c r="H77" s="1999"/>
      <c r="I77" s="2001"/>
      <c r="J77" s="2004"/>
      <c r="K77" s="1990"/>
      <c r="L77" s="1327"/>
      <c r="M77" s="1327"/>
      <c r="N77" s="1327"/>
      <c r="O77" s="1327"/>
      <c r="P77" s="1327"/>
      <c r="Q77" s="1327"/>
      <c r="R77" s="1327"/>
      <c r="S77" s="325"/>
      <c r="T77" s="325"/>
      <c r="U77" s="325"/>
      <c r="V77" s="325"/>
      <c r="W77" s="1328"/>
      <c r="X77" s="1288"/>
      <c r="Y77" s="1288"/>
      <c r="Z77" s="1288"/>
      <c r="AA77" s="1288"/>
      <c r="AB77" s="1288"/>
      <c r="AC77" s="1288"/>
      <c r="AD77" s="1288"/>
      <c r="AE77" s="1288"/>
      <c r="AF77" s="1288"/>
      <c r="AG77" s="1288"/>
      <c r="AH77" s="1288"/>
      <c r="AI77" s="1288"/>
      <c r="AJ77" s="1288"/>
      <c r="AK77" s="1288"/>
      <c r="AL77" s="1288"/>
      <c r="AM77" s="1288"/>
      <c r="AN77" s="1288"/>
      <c r="AO77" s="1288"/>
      <c r="AP77" s="1288"/>
      <c r="AQ77" s="1288"/>
    </row>
    <row s="2924" customFormat="1" customHeight="1" ht="17.25" hidden="1">
      <c r="A78" s="314"/>
      <c r="C78" s="313"/>
      <c r="D78" s="1992"/>
      <c r="E78" s="1994"/>
      <c r="F78" s="1997"/>
      <c r="G78" s="1994"/>
      <c r="H78" s="1329"/>
      <c r="I78" s="1330"/>
      <c r="J78" s="1330"/>
      <c r="K78" s="1330"/>
      <c r="L78" s="1330"/>
      <c r="M78" s="1330"/>
      <c r="N78" s="1330"/>
      <c r="O78" s="1330"/>
      <c r="P78" s="1330"/>
      <c r="Q78" s="1330"/>
      <c r="R78" s="1330"/>
      <c r="S78" s="1331"/>
      <c r="T78" s="1331"/>
      <c r="U78" s="1331"/>
      <c r="V78" s="1331"/>
      <c r="W78" s="1332"/>
      <c r="X78" s="1288"/>
      <c r="Y78" s="1288"/>
      <c r="Z78" s="1288"/>
      <c r="AA78" s="1288"/>
      <c r="AB78" s="1288"/>
      <c r="AC78" s="1288"/>
      <c r="AD78" s="1288"/>
      <c r="AE78" s="1288"/>
      <c r="AF78" s="1288"/>
      <c r="AG78" s="1288"/>
      <c r="AH78" s="1288"/>
      <c r="AI78" s="1288"/>
      <c r="AJ78" s="1288"/>
      <c r="AK78" s="1288"/>
      <c r="AL78" s="1288"/>
      <c r="AM78" s="1288"/>
      <c r="AN78" s="1288"/>
      <c r="AO78" s="1288"/>
      <c r="AP78" s="1288"/>
      <c r="AQ78" s="1288"/>
    </row>
    <row s="2924" customFormat="1" customHeight="1" ht="17.25" hidden="1">
      <c r="A79" s="314"/>
      <c r="C79" s="195"/>
      <c r="D79" s="1991">
        <v>4</v>
      </c>
      <c r="E79" s="1993" t="s">
        <v>232</v>
      </c>
      <c r="F79" s="1995" t="s">
        <v>57</v>
      </c>
      <c r="G79" s="1993"/>
      <c r="H79" s="1998"/>
      <c r="I79" s="2000"/>
      <c r="J79" s="2002"/>
      <c r="K79" s="1989"/>
      <c r="L79" s="1989"/>
      <c r="M79" s="1989"/>
      <c r="N79" s="2005"/>
      <c r="O79" s="1989"/>
      <c r="P79" s="1989"/>
      <c r="Q79" s="1989"/>
      <c r="R79" s="2008"/>
      <c r="S79" s="1989"/>
      <c r="T79" s="1473"/>
      <c r="U79" s="1473"/>
      <c r="V79" s="1475"/>
      <c r="W79" s="1326"/>
      <c r="X79" s="1296"/>
      <c r="Y79" s="1296"/>
      <c r="Z79" s="1296"/>
      <c r="AA79" s="1296"/>
      <c r="AB79" s="1296"/>
      <c r="AC79" s="1296" t="s">
        <v>233</v>
      </c>
      <c r="AD79" s="1296" t="s">
        <v>234</v>
      </c>
      <c r="AE79" s="1296" t="s">
        <v>235</v>
      </c>
      <c r="AF79" s="1296" t="s">
        <v>236</v>
      </c>
      <c r="AG79" s="1296"/>
      <c r="AH79" s="1296" t="str">
        <f>IF($E$79=0,"",$E$79)</f>
        <v>Тариф на подвоз воды</v>
      </c>
      <c r="AI79" s="1296" t="str">
        <f>IF($G$79=0,"",$G$79)</f>
        <v/>
      </c>
      <c r="AJ79" s="1296" t="str">
        <f>IF($J$79=0,"",$J$79)</f>
        <v/>
      </c>
      <c r="AK79" s="1296" t="str">
        <f>IF($K$79="нет","без дифференциации",IF($N$79=0,"",$N$79))</f>
        <v/>
      </c>
      <c r="AL79" s="1296" t="str">
        <f>IF($O$79="нет","без дифференциации",IF($R$79=0,"",$R$79))</f>
        <v/>
      </c>
      <c r="AM79" s="1296" t="str">
        <f>IF($S$79="нет","без дифференциации",IF($V$79=0,"",$V$79))</f>
        <v/>
      </c>
      <c r="AN79" s="1813">
        <f>$I$79</f>
        <v>0</v>
      </c>
      <c r="AO79" s="1296" t="str">
        <f>$I$79&amp;"."&amp;$M$79</f>
        <v>.</v>
      </c>
      <c r="AP79" s="1288" t="str">
        <f>$I$79&amp;"."&amp;$M$79&amp;"."&amp;$Q$79</f>
        <v>..</v>
      </c>
      <c r="AQ79" s="1288" t="str">
        <f>$I$79&amp;"."&amp;$M$79&amp;"."&amp;$Q$79&amp;"."&amp;$U$79</f>
        <v>...</v>
      </c>
    </row>
    <row s="2924" customFormat="1" customHeight="1" ht="17.25" hidden="1">
      <c r="A80" s="314"/>
      <c r="C80" s="313"/>
      <c r="D80" s="1991"/>
      <c r="E80" s="1993"/>
      <c r="F80" s="1996"/>
      <c r="G80" s="1993"/>
      <c r="H80" s="1999"/>
      <c r="I80" s="2001"/>
      <c r="J80" s="2003"/>
      <c r="K80" s="1990"/>
      <c r="L80" s="1990"/>
      <c r="M80" s="1990"/>
      <c r="N80" s="2006"/>
      <c r="O80" s="1990"/>
      <c r="P80" s="1990"/>
      <c r="Q80" s="1990"/>
      <c r="R80" s="2007"/>
      <c r="S80" s="1990"/>
      <c r="T80" s="1327"/>
      <c r="U80" s="1327"/>
      <c r="V80" s="1327"/>
      <c r="W80" s="1328"/>
      <c r="X80" s="1288"/>
      <c r="Y80" s="1288"/>
      <c r="Z80" s="1288"/>
      <c r="AA80" s="1288"/>
      <c r="AB80" s="1288"/>
      <c r="AC80" s="1288"/>
      <c r="AD80" s="1288"/>
      <c r="AE80" s="1288"/>
      <c r="AF80" s="1288"/>
      <c r="AG80" s="1288"/>
      <c r="AH80" s="1288"/>
      <c r="AI80" s="1288"/>
      <c r="AJ80" s="1288"/>
      <c r="AK80" s="1288"/>
      <c r="AL80" s="1288"/>
      <c r="AM80" s="1288"/>
      <c r="AN80" s="1288"/>
      <c r="AO80" s="1288"/>
      <c r="AP80" s="1288"/>
      <c r="AQ80" s="1288"/>
    </row>
    <row s="2924" customFormat="1" customHeight="1" ht="17.25" hidden="1">
      <c r="A81" s="314"/>
      <c r="C81" s="313"/>
      <c r="D81" s="1992"/>
      <c r="E81" s="1994"/>
      <c r="F81" s="1996"/>
      <c r="G81" s="1994"/>
      <c r="H81" s="1999"/>
      <c r="I81" s="2001"/>
      <c r="J81" s="2004"/>
      <c r="K81" s="1990"/>
      <c r="L81" s="1990"/>
      <c r="M81" s="1990"/>
      <c r="N81" s="2007"/>
      <c r="O81" s="1990"/>
      <c r="P81" s="1474"/>
      <c r="Q81" s="1327"/>
      <c r="R81" s="1327"/>
      <c r="S81" s="325"/>
      <c r="T81" s="325"/>
      <c r="U81" s="325"/>
      <c r="V81" s="325"/>
      <c r="W81" s="1328"/>
      <c r="X81" s="1288"/>
      <c r="Y81" s="1288"/>
      <c r="Z81" s="1288"/>
      <c r="AA81" s="1288"/>
      <c r="AB81" s="1288"/>
      <c r="AC81" s="1288"/>
      <c r="AD81" s="1288"/>
      <c r="AE81" s="1288"/>
      <c r="AF81" s="1288"/>
      <c r="AG81" s="1288"/>
      <c r="AH81" s="1288"/>
      <c r="AI81" s="1288"/>
      <c r="AJ81" s="1288"/>
      <c r="AK81" s="1288"/>
      <c r="AL81" s="1288"/>
      <c r="AM81" s="1288"/>
      <c r="AN81" s="1288"/>
      <c r="AO81" s="1288"/>
      <c r="AP81" s="1288"/>
      <c r="AQ81" s="1288"/>
    </row>
    <row s="2924" customFormat="1" customHeight="1" ht="17.25" hidden="1">
      <c r="A82" s="314"/>
      <c r="C82" s="313"/>
      <c r="D82" s="1992"/>
      <c r="E82" s="1994"/>
      <c r="F82" s="1996"/>
      <c r="G82" s="1994"/>
      <c r="H82" s="1999"/>
      <c r="I82" s="2001"/>
      <c r="J82" s="2004"/>
      <c r="K82" s="1990"/>
      <c r="L82" s="1327"/>
      <c r="M82" s="1327"/>
      <c r="N82" s="1327"/>
      <c r="O82" s="1327"/>
      <c r="P82" s="1327"/>
      <c r="Q82" s="1327"/>
      <c r="R82" s="1327"/>
      <c r="S82" s="325"/>
      <c r="T82" s="325"/>
      <c r="U82" s="325"/>
      <c r="V82" s="325"/>
      <c r="W82" s="1328"/>
      <c r="X82" s="1288"/>
      <c r="Y82" s="1288"/>
      <c r="Z82" s="1288"/>
      <c r="AA82" s="1288"/>
      <c r="AB82" s="1288"/>
      <c r="AC82" s="1288"/>
      <c r="AD82" s="1288"/>
      <c r="AE82" s="1288"/>
      <c r="AF82" s="1288"/>
      <c r="AG82" s="1288"/>
      <c r="AH82" s="1288"/>
      <c r="AI82" s="1288"/>
      <c r="AJ82" s="1288"/>
      <c r="AK82" s="1288"/>
      <c r="AL82" s="1288"/>
      <c r="AM82" s="1288"/>
      <c r="AN82" s="1288"/>
      <c r="AO82" s="1288"/>
      <c r="AP82" s="1288"/>
      <c r="AQ82" s="1288"/>
    </row>
    <row s="2924" customFormat="1" customHeight="1" ht="17.25" hidden="1">
      <c r="A83" s="314"/>
      <c r="C83" s="313"/>
      <c r="D83" s="1992"/>
      <c r="E83" s="1994"/>
      <c r="F83" s="1997"/>
      <c r="G83" s="1994"/>
      <c r="H83" s="1329"/>
      <c r="I83" s="1330"/>
      <c r="J83" s="1330"/>
      <c r="K83" s="1330"/>
      <c r="L83" s="1330"/>
      <c r="M83" s="1330"/>
      <c r="N83" s="1330"/>
      <c r="O83" s="1330"/>
      <c r="P83" s="1330"/>
      <c r="Q83" s="1330"/>
      <c r="R83" s="1330"/>
      <c r="S83" s="1331"/>
      <c r="T83" s="1331"/>
      <c r="U83" s="1331"/>
      <c r="V83" s="1331"/>
      <c r="W83" s="1332"/>
      <c r="X83" s="1288"/>
      <c r="Y83" s="1288"/>
      <c r="Z83" s="1288"/>
      <c r="AA83" s="1288"/>
      <c r="AB83" s="1288"/>
      <c r="AC83" s="1288"/>
      <c r="AD83" s="1288"/>
      <c r="AE83" s="1288"/>
      <c r="AF83" s="1288"/>
      <c r="AG83" s="1288"/>
      <c r="AH83" s="1288"/>
      <c r="AI83" s="1288"/>
      <c r="AJ83" s="1288"/>
      <c r="AK83" s="1288"/>
      <c r="AL83" s="1288"/>
      <c r="AM83" s="1288"/>
      <c r="AN83" s="1288"/>
      <c r="AO83" s="1288"/>
      <c r="AP83" s="1288"/>
      <c r="AQ83" s="1288"/>
    </row>
    <row s="2924" customFormat="1" customHeight="1" ht="17.25" hidden="1">
      <c r="A84" s="314"/>
      <c r="C84" s="195"/>
      <c r="D84" s="1991">
        <v>5</v>
      </c>
      <c r="E84" s="1993" t="s">
        <v>237</v>
      </c>
      <c r="F84" s="1995" t="s">
        <v>57</v>
      </c>
      <c r="G84" s="1993"/>
      <c r="H84" s="1998"/>
      <c r="I84" s="2000"/>
      <c r="J84" s="2002"/>
      <c r="K84" s="1989"/>
      <c r="L84" s="1989"/>
      <c r="M84" s="1989"/>
      <c r="N84" s="2005"/>
      <c r="O84" s="1989"/>
      <c r="P84" s="1989"/>
      <c r="Q84" s="1989"/>
      <c r="R84" s="2008"/>
      <c r="S84" s="1989"/>
      <c r="T84" s="1500"/>
      <c r="U84" s="1500"/>
      <c r="V84" s="1502"/>
      <c r="W84" s="1326"/>
      <c r="X84" s="1296"/>
      <c r="Y84" s="1296"/>
      <c r="Z84" s="1296"/>
      <c r="AA84" s="1296"/>
      <c r="AB84" s="1296"/>
      <c r="AC84" s="1296" t="s">
        <v>238</v>
      </c>
      <c r="AD84" s="1296" t="s">
        <v>239</v>
      </c>
      <c r="AE84" s="1296" t="s">
        <v>240</v>
      </c>
      <c r="AF84" s="1296" t="s">
        <v>241</v>
      </c>
      <c r="AG84" s="1296"/>
      <c r="AH84" s="1296" t="str">
        <f>IF($E$84=0,"",$E$84)</f>
        <v>Тариф на подключение (технологическое присоединение) к централизованной системе холодного водоснабжения</v>
      </c>
      <c r="AI84" s="1296" t="str">
        <f>IF($G$84=0,"",$G$84)</f>
        <v/>
      </c>
      <c r="AJ84" s="1296" t="str">
        <f>IF($J$84=0,"",$J$84)</f>
        <v/>
      </c>
      <c r="AK84" s="1296" t="str">
        <f>IF($K$84="нет","без дифференциации",IF($N$84=0,"",$N$84))</f>
        <v/>
      </c>
      <c r="AL84" s="1296" t="str">
        <f>IF($O$84="нет","без дифференциации",IF($R$84=0,"",$R$84))</f>
        <v/>
      </c>
      <c r="AM84" s="1296" t="str">
        <f>IF($S$84="нет","без дифференциации",IF($V$84=0,"",$V$84))</f>
        <v/>
      </c>
      <c r="AN84" s="1813">
        <f>$I$84</f>
        <v>0</v>
      </c>
      <c r="AO84" s="1296" t="str">
        <f>$I$84&amp;"."&amp;$M$84</f>
        <v>.</v>
      </c>
      <c r="AP84" s="1288" t="str">
        <f>$I$84&amp;"."&amp;$M$84&amp;"."&amp;$Q$84</f>
        <v>..</v>
      </c>
      <c r="AQ84" s="1288" t="str">
        <f>$I$84&amp;"."&amp;$M$84&amp;"."&amp;$Q$84&amp;"."&amp;$U$84</f>
        <v>...</v>
      </c>
    </row>
    <row s="2924" customFormat="1" customHeight="1" ht="17.25" hidden="1">
      <c r="A85" s="314"/>
      <c r="C85" s="313"/>
      <c r="D85" s="1991"/>
      <c r="E85" s="1993"/>
      <c r="F85" s="1996"/>
      <c r="G85" s="1993"/>
      <c r="H85" s="1999"/>
      <c r="I85" s="2001"/>
      <c r="J85" s="2003"/>
      <c r="K85" s="1990"/>
      <c r="L85" s="1990"/>
      <c r="M85" s="1990"/>
      <c r="N85" s="2006"/>
      <c r="O85" s="1990"/>
      <c r="P85" s="1990"/>
      <c r="Q85" s="1990"/>
      <c r="R85" s="2007"/>
      <c r="S85" s="1990"/>
      <c r="T85" s="1327"/>
      <c r="U85" s="1327"/>
      <c r="V85" s="1327"/>
      <c r="W85" s="1328"/>
      <c r="X85" s="1288"/>
      <c r="Y85" s="1288"/>
      <c r="Z85" s="1288"/>
      <c r="AA85" s="1288"/>
      <c r="AB85" s="1288"/>
      <c r="AC85" s="1288"/>
      <c r="AD85" s="1288"/>
      <c r="AE85" s="1288"/>
      <c r="AF85" s="1288"/>
      <c r="AG85" s="1288"/>
      <c r="AH85" s="1288"/>
      <c r="AI85" s="1288"/>
      <c r="AJ85" s="1288"/>
      <c r="AK85" s="1288"/>
      <c r="AL85" s="1288"/>
      <c r="AM85" s="1288"/>
      <c r="AN85" s="1288"/>
      <c r="AO85" s="1288"/>
      <c r="AP85" s="1288"/>
      <c r="AQ85" s="1288"/>
    </row>
    <row s="2924" customFormat="1" customHeight="1" ht="17.25" hidden="1">
      <c r="A86" s="314"/>
      <c r="C86" s="313"/>
      <c r="D86" s="1992"/>
      <c r="E86" s="1994"/>
      <c r="F86" s="1996"/>
      <c r="G86" s="1994"/>
      <c r="H86" s="1999"/>
      <c r="I86" s="2001"/>
      <c r="J86" s="2004"/>
      <c r="K86" s="1990"/>
      <c r="L86" s="1990"/>
      <c r="M86" s="1990"/>
      <c r="N86" s="2007"/>
      <c r="O86" s="1990"/>
      <c r="P86" s="1501"/>
      <c r="Q86" s="1327"/>
      <c r="R86" s="1327"/>
      <c r="S86" s="325"/>
      <c r="T86" s="325"/>
      <c r="U86" s="325"/>
      <c r="V86" s="325"/>
      <c r="W86" s="1328"/>
      <c r="X86" s="1288"/>
      <c r="Y86" s="1288"/>
      <c r="Z86" s="1288"/>
      <c r="AA86" s="1288"/>
      <c r="AB86" s="1288"/>
      <c r="AC86" s="1288"/>
      <c r="AD86" s="1288"/>
      <c r="AE86" s="1288"/>
      <c r="AF86" s="1288"/>
      <c r="AG86" s="1288"/>
      <c r="AH86" s="1288"/>
      <c r="AI86" s="1288"/>
      <c r="AJ86" s="1288"/>
      <c r="AK86" s="1288"/>
      <c r="AL86" s="1288"/>
      <c r="AM86" s="1288"/>
      <c r="AN86" s="1288"/>
      <c r="AO86" s="1288"/>
      <c r="AP86" s="1288"/>
      <c r="AQ86" s="1288"/>
    </row>
    <row s="2924" customFormat="1" customHeight="1" ht="17.25" hidden="1">
      <c r="A87" s="314"/>
      <c r="C87" s="313"/>
      <c r="D87" s="1992"/>
      <c r="E87" s="1994"/>
      <c r="F87" s="1996"/>
      <c r="G87" s="1994"/>
      <c r="H87" s="1999"/>
      <c r="I87" s="2001"/>
      <c r="J87" s="2004"/>
      <c r="K87" s="1990"/>
      <c r="L87" s="1327"/>
      <c r="M87" s="1327"/>
      <c r="N87" s="1327"/>
      <c r="O87" s="1327"/>
      <c r="P87" s="1327"/>
      <c r="Q87" s="1327"/>
      <c r="R87" s="1327"/>
      <c r="S87" s="325"/>
      <c r="T87" s="325"/>
      <c r="U87" s="325"/>
      <c r="V87" s="325"/>
      <c r="W87" s="1328"/>
      <c r="X87" s="1288"/>
      <c r="Y87" s="1288"/>
      <c r="Z87" s="1288"/>
      <c r="AA87" s="1288"/>
      <c r="AB87" s="1288"/>
      <c r="AC87" s="1288"/>
      <c r="AD87" s="1288"/>
      <c r="AE87" s="1288"/>
      <c r="AF87" s="1288"/>
      <c r="AG87" s="1288"/>
      <c r="AH87" s="1288"/>
      <c r="AI87" s="1288"/>
      <c r="AJ87" s="1288"/>
      <c r="AK87" s="1288"/>
      <c r="AL87" s="1288"/>
      <c r="AM87" s="1288"/>
      <c r="AN87" s="1288"/>
      <c r="AO87" s="1288"/>
      <c r="AP87" s="1288"/>
      <c r="AQ87" s="1288"/>
    </row>
    <row s="2924" customFormat="1" customHeight="1" ht="17.25" hidden="1">
      <c r="A88" s="314"/>
      <c r="C88" s="313"/>
      <c r="D88" s="1992"/>
      <c r="E88" s="1994"/>
      <c r="F88" s="1997"/>
      <c r="G88" s="1994"/>
      <c r="H88" s="1329"/>
      <c r="I88" s="1330"/>
      <c r="J88" s="1330"/>
      <c r="K88" s="1330"/>
      <c r="L88" s="1330"/>
      <c r="M88" s="1330"/>
      <c r="N88" s="1330"/>
      <c r="O88" s="1330"/>
      <c r="P88" s="1330"/>
      <c r="Q88" s="1330"/>
      <c r="R88" s="1330"/>
      <c r="S88" s="1331"/>
      <c r="T88" s="1331"/>
      <c r="U88" s="1331"/>
      <c r="V88" s="1331"/>
      <c r="W88" s="1332"/>
      <c r="X88" s="1288"/>
      <c r="Y88" s="1288"/>
      <c r="Z88" s="1288"/>
      <c r="AA88" s="1288"/>
      <c r="AB88" s="1288"/>
      <c r="AC88" s="1288"/>
      <c r="AD88" s="1288"/>
      <c r="AE88" s="1288"/>
      <c r="AF88" s="1288"/>
      <c r="AG88" s="1288"/>
      <c r="AH88" s="1288"/>
      <c r="AI88" s="1288"/>
      <c r="AJ88" s="1288"/>
      <c r="AK88" s="1288"/>
      <c r="AL88" s="1288"/>
      <c r="AM88" s="1288"/>
      <c r="AN88" s="1288"/>
      <c r="AO88" s="1288"/>
      <c r="AP88" s="1288"/>
      <c r="AQ88" s="1288"/>
    </row>
    <row s="2929" customFormat="1" customHeight="1" ht="11.25" hidden="1">
      <c r="A89" s="263"/>
      <c r="B89" s="263"/>
      <c r="Y89" s="1288"/>
      <c r="Z89" s="1288"/>
      <c r="AA89" s="1288"/>
      <c r="AB89" s="1288"/>
      <c r="AC89" s="1288"/>
      <c r="AD89" s="1288"/>
      <c r="AE89" s="1288"/>
      <c r="AF89" s="1288"/>
      <c r="AG89" s="1288"/>
      <c r="AH89" s="1288"/>
      <c r="AI89" s="1288"/>
      <c r="AJ89" s="1288"/>
      <c r="AK89" s="1288"/>
      <c r="AL89" s="1288"/>
      <c r="AM89" s="1288"/>
      <c r="AN89" s="1288"/>
      <c r="AO89" s="1288"/>
      <c r="AP89" s="1288"/>
      <c r="AQ89" s="1288"/>
    </row>
    <row s="2929" customFormat="1" customHeight="1" ht="17.25" hidden="1">
      <c r="A90" s="314"/>
      <c r="C90" s="195"/>
      <c r="D90" s="1991">
        <v>1</v>
      </c>
      <c r="E90" s="1993" t="s">
        <v>242</v>
      </c>
      <c r="F90" s="1995" t="s">
        <v>57</v>
      </c>
      <c r="G90" s="1993"/>
      <c r="H90" s="1998"/>
      <c r="I90" s="2000"/>
      <c r="J90" s="2002"/>
      <c r="K90" s="1989"/>
      <c r="L90" s="1989"/>
      <c r="M90" s="1989"/>
      <c r="N90" s="2005"/>
      <c r="O90" s="1989"/>
      <c r="P90" s="1989"/>
      <c r="Q90" s="1989"/>
      <c r="R90" s="2008"/>
      <c r="S90" s="1989"/>
      <c r="T90" s="1500"/>
      <c r="U90" s="1500"/>
      <c r="V90" s="1502"/>
      <c r="W90" s="1326"/>
      <c r="Y90" s="1296"/>
      <c r="Z90" s="1296"/>
      <c r="AA90" s="1296"/>
      <c r="AB90" s="1296"/>
      <c r="AC90" s="1296" t="s">
        <v>243</v>
      </c>
      <c r="AD90" s="1296" t="s">
        <v>244</v>
      </c>
      <c r="AE90" s="1296" t="s">
        <v>245</v>
      </c>
      <c r="AF90" s="1296" t="s">
        <v>246</v>
      </c>
      <c r="AG90" s="1296"/>
      <c r="AH90" s="1296" t="str">
        <f>IF($E$90=0,"",$E$90)</f>
        <v>Тариф на горячую воду (горячее водоснабжение)</v>
      </c>
      <c r="AI90" s="1296" t="str">
        <f>IF($G$90=0,"",$G$90)</f>
        <v/>
      </c>
      <c r="AJ90" s="1296" t="str">
        <f>IF($J$90=0,"",$J$90)</f>
        <v/>
      </c>
      <c r="AK90" s="1296" t="str">
        <f>IF($K$90="нет","без дифференциации",IF($N$90=0,"",$N$90))</f>
        <v/>
      </c>
      <c r="AL90" s="1296" t="str">
        <f>IF($O$90="нет","без дифференциации",IF($R$90=0,"",$R$90))</f>
        <v/>
      </c>
      <c r="AM90" s="1296" t="str">
        <f>IF($S$90="нет","без дифференциации",IF($V$90=0,"",$V$90))</f>
        <v/>
      </c>
      <c r="AN90" s="1296">
        <f>$I$90</f>
        <v>0</v>
      </c>
      <c r="AO90" s="1296" t="str">
        <f>$I$90&amp;"."&amp;$M$90</f>
        <v>.</v>
      </c>
      <c r="AP90" s="1296" t="str">
        <f>$I$90&amp;"."&amp;$M$90&amp;"."&amp;$Q$90</f>
        <v>..</v>
      </c>
      <c r="AQ90" s="1296" t="str">
        <f>$I$90&amp;"."&amp;$M$90&amp;"."&amp;$Q$90&amp;"."&amp;$U$90</f>
        <v>...</v>
      </c>
    </row>
    <row s="2929" customFormat="1" customHeight="1" ht="17.25" hidden="1">
      <c r="A91" s="314"/>
      <c r="C91" s="313"/>
      <c r="D91" s="1991"/>
      <c r="E91" s="1993"/>
      <c r="F91" s="1996"/>
      <c r="G91" s="1993"/>
      <c r="H91" s="1999"/>
      <c r="I91" s="2001"/>
      <c r="J91" s="2003"/>
      <c r="K91" s="1990"/>
      <c r="L91" s="1990"/>
      <c r="M91" s="1990"/>
      <c r="N91" s="2006"/>
      <c r="O91" s="1990"/>
      <c r="P91" s="1990"/>
      <c r="Q91" s="1990"/>
      <c r="R91" s="2007"/>
      <c r="S91" s="1990"/>
      <c r="T91" s="1327"/>
      <c r="U91" s="1327"/>
      <c r="V91" s="1327"/>
      <c r="W91" s="1328"/>
      <c r="Y91" s="1288"/>
      <c r="Z91" s="1288"/>
      <c r="AA91" s="1288"/>
      <c r="AB91" s="1288"/>
      <c r="AC91" s="1288"/>
      <c r="AD91" s="1288"/>
      <c r="AE91" s="1288"/>
      <c r="AF91" s="1288"/>
      <c r="AG91" s="1288"/>
      <c r="AH91" s="1288"/>
      <c r="AI91" s="1288"/>
      <c r="AJ91" s="1288"/>
      <c r="AK91" s="1288"/>
      <c r="AL91" s="1288"/>
      <c r="AM91" s="1288"/>
      <c r="AN91" s="1288"/>
      <c r="AO91" s="1288"/>
      <c r="AP91" s="1288"/>
      <c r="AQ91" s="1288"/>
    </row>
    <row s="2929" customFormat="1" customHeight="1" ht="17.25" hidden="1">
      <c r="A92" s="314"/>
      <c r="C92" s="195"/>
      <c r="D92" s="1991"/>
      <c r="E92" s="1993"/>
      <c r="F92" s="1996"/>
      <c r="G92" s="1993"/>
      <c r="H92" s="1999"/>
      <c r="I92" s="2001"/>
      <c r="J92" s="2004"/>
      <c r="K92" s="1990"/>
      <c r="L92" s="1990"/>
      <c r="M92" s="1990"/>
      <c r="N92" s="2007"/>
      <c r="O92" s="1990"/>
      <c r="P92" s="1501"/>
      <c r="Q92" s="1327"/>
      <c r="R92" s="1327"/>
      <c r="S92" s="325"/>
      <c r="T92" s="325"/>
      <c r="U92" s="325"/>
      <c r="V92" s="325"/>
      <c r="W92" s="1328"/>
      <c r="Y92" s="1296"/>
      <c r="Z92" s="1296"/>
      <c r="AA92" s="1296"/>
      <c r="AB92" s="1296"/>
      <c r="AC92" s="1296"/>
      <c r="AD92" s="1296"/>
      <c r="AE92" s="1296"/>
      <c r="AF92" s="1296"/>
      <c r="AG92" s="1296"/>
      <c r="AH92" s="1296"/>
      <c r="AI92" s="1296"/>
      <c r="AJ92" s="1296"/>
      <c r="AK92" s="1296"/>
      <c r="AL92" s="1296"/>
      <c r="AM92" s="1296"/>
      <c r="AN92" s="1296"/>
      <c r="AO92" s="1296"/>
      <c r="AP92" s="1296"/>
      <c r="AQ92" s="1296"/>
    </row>
    <row s="2929" customFormat="1" customHeight="1" ht="17.25" hidden="1">
      <c r="A93" s="314"/>
      <c r="C93" s="313"/>
      <c r="D93" s="1991"/>
      <c r="E93" s="1993"/>
      <c r="F93" s="1996"/>
      <c r="G93" s="1993"/>
      <c r="H93" s="1999"/>
      <c r="I93" s="2001"/>
      <c r="J93" s="2004"/>
      <c r="K93" s="1990"/>
      <c r="L93" s="1327"/>
      <c r="M93" s="1327"/>
      <c r="N93" s="1327"/>
      <c r="O93" s="1327"/>
      <c r="P93" s="1327"/>
      <c r="Q93" s="1327"/>
      <c r="R93" s="1327"/>
      <c r="S93" s="325"/>
      <c r="T93" s="325"/>
      <c r="U93" s="325"/>
      <c r="V93" s="325"/>
      <c r="W93" s="1328"/>
      <c r="Y93" s="1288"/>
      <c r="Z93" s="1288"/>
      <c r="AA93" s="1288"/>
      <c r="AB93" s="1288"/>
      <c r="AC93" s="1288"/>
      <c r="AD93" s="1288"/>
      <c r="AE93" s="1288"/>
      <c r="AF93" s="1288"/>
      <c r="AG93" s="1288"/>
      <c r="AH93" s="1288"/>
      <c r="AI93" s="1288"/>
      <c r="AJ93" s="1288"/>
      <c r="AK93" s="1288"/>
      <c r="AL93" s="1288"/>
      <c r="AM93" s="1288"/>
      <c r="AN93" s="1288"/>
      <c r="AO93" s="1288"/>
      <c r="AP93" s="1288"/>
      <c r="AQ93" s="1288"/>
    </row>
    <row s="2929" customFormat="1" customHeight="1" ht="17.25" hidden="1">
      <c r="A94" s="314"/>
      <c r="C94" s="313"/>
      <c r="D94" s="1992"/>
      <c r="E94" s="1994"/>
      <c r="F94" s="1997"/>
      <c r="G94" s="1994"/>
      <c r="H94" s="1329"/>
      <c r="I94" s="1330"/>
      <c r="J94" s="1330"/>
      <c r="K94" s="1330"/>
      <c r="L94" s="1330"/>
      <c r="M94" s="1330"/>
      <c r="N94" s="1330"/>
      <c r="O94" s="1330"/>
      <c r="P94" s="1330"/>
      <c r="Q94" s="1330"/>
      <c r="R94" s="1330"/>
      <c r="S94" s="1331"/>
      <c r="T94" s="1331"/>
      <c r="U94" s="1331"/>
      <c r="V94" s="1331"/>
      <c r="W94" s="1332"/>
      <c r="Y94" s="1288"/>
      <c r="Z94" s="1288"/>
      <c r="AA94" s="1288"/>
      <c r="AB94" s="1288"/>
      <c r="AC94" s="1288"/>
      <c r="AD94" s="1288"/>
      <c r="AE94" s="1288"/>
      <c r="AF94" s="1288"/>
      <c r="AG94" s="1288"/>
      <c r="AH94" s="1288"/>
      <c r="AI94" s="1288"/>
      <c r="AJ94" s="1288"/>
      <c r="AK94" s="1288"/>
      <c r="AL94" s="1288"/>
      <c r="AM94" s="1288"/>
      <c r="AN94" s="1288"/>
      <c r="AO94" s="1288"/>
      <c r="AP94" s="1288"/>
      <c r="AQ94" s="1288"/>
    </row>
    <row s="2929" customFormat="1" customHeight="1" ht="17.25" hidden="1">
      <c r="A95" s="314"/>
      <c r="C95" s="195"/>
      <c r="D95" s="1991">
        <v>2</v>
      </c>
      <c r="E95" s="1993" t="s">
        <v>247</v>
      </c>
      <c r="F95" s="1995" t="s">
        <v>57</v>
      </c>
      <c r="G95" s="1993"/>
      <c r="H95" s="1998"/>
      <c r="I95" s="2000"/>
      <c r="J95" s="2002"/>
      <c r="K95" s="1989"/>
      <c r="L95" s="1989"/>
      <c r="M95" s="1989"/>
      <c r="N95" s="2005"/>
      <c r="O95" s="1989"/>
      <c r="P95" s="1989"/>
      <c r="Q95" s="1989"/>
      <c r="R95" s="2008"/>
      <c r="S95" s="1989"/>
      <c r="T95" s="1500"/>
      <c r="U95" s="1500"/>
      <c r="V95" s="1502"/>
      <c r="W95" s="1326"/>
      <c r="X95" s="1296"/>
      <c r="Y95" s="1296"/>
      <c r="Z95" s="1296"/>
      <c r="AA95" s="1296"/>
      <c r="AB95" s="1296"/>
      <c r="AC95" s="1296" t="s">
        <v>248</v>
      </c>
      <c r="AD95" s="1296" t="s">
        <v>249</v>
      </c>
      <c r="AE95" s="1296" t="s">
        <v>250</v>
      </c>
      <c r="AF95" s="1296" t="s">
        <v>251</v>
      </c>
      <c r="AG95" s="1296"/>
      <c r="AH95" s="1296" t="str">
        <f>IF($E$95=0,"",$E$95)</f>
        <v>Тариф на транспортировку горячей воды</v>
      </c>
      <c r="AI95" s="1296" t="str">
        <f>IF($G$95=0,"",$G$95)</f>
        <v/>
      </c>
      <c r="AJ95" s="1296" t="str">
        <f>IF($J$95=0,"",$J$95)</f>
        <v/>
      </c>
      <c r="AK95" s="1296" t="str">
        <f>IF($K$95="нет","без дифференциации",IF($N$95=0,"",$N$95))</f>
        <v/>
      </c>
      <c r="AL95" s="1296" t="str">
        <f>IF($O$95="нет","без дифференциации",IF($R$95=0,"",$R$95))</f>
        <v/>
      </c>
      <c r="AM95" s="1296" t="str">
        <f>IF($S$95="нет","без дифференциации",IF($V$95=0,"",$V$95))</f>
        <v/>
      </c>
      <c r="AN95" s="1813">
        <f>$I$95</f>
        <v>0</v>
      </c>
      <c r="AO95" s="1296" t="str">
        <f>$I$95&amp;"."&amp;$M$95</f>
        <v>.</v>
      </c>
      <c r="AP95" s="1288" t="str">
        <f>$I$95&amp;"."&amp;$M$95&amp;"."&amp;$Q$95</f>
        <v>..</v>
      </c>
      <c r="AQ95" s="1288" t="str">
        <f>$I$95&amp;"."&amp;$M$95&amp;"."&amp;$Q$95&amp;"."&amp;$U$95</f>
        <v>...</v>
      </c>
    </row>
    <row s="2929" customFormat="1" customHeight="1" ht="17.25" hidden="1">
      <c r="A96" s="314"/>
      <c r="C96" s="313"/>
      <c r="D96" s="1991"/>
      <c r="E96" s="1993"/>
      <c r="F96" s="1996"/>
      <c r="G96" s="1993"/>
      <c r="H96" s="1999"/>
      <c r="I96" s="2001"/>
      <c r="J96" s="2003"/>
      <c r="K96" s="1990"/>
      <c r="L96" s="1990"/>
      <c r="M96" s="1990"/>
      <c r="N96" s="2006"/>
      <c r="O96" s="1990"/>
      <c r="P96" s="1990"/>
      <c r="Q96" s="1990"/>
      <c r="R96" s="2007"/>
      <c r="S96" s="1990"/>
      <c r="T96" s="1327"/>
      <c r="U96" s="1327"/>
      <c r="V96" s="1327"/>
      <c r="W96" s="1328"/>
      <c r="X96" s="1288"/>
      <c r="Y96" s="1288"/>
      <c r="Z96" s="1288"/>
      <c r="AA96" s="1288"/>
      <c r="AB96" s="1288"/>
      <c r="AC96" s="1288"/>
      <c r="AD96" s="1288"/>
      <c r="AE96" s="1288"/>
      <c r="AF96" s="1288"/>
      <c r="AG96" s="1288"/>
      <c r="AH96" s="1288"/>
      <c r="AI96" s="1288"/>
      <c r="AJ96" s="1288"/>
      <c r="AK96" s="1288"/>
      <c r="AL96" s="1288"/>
      <c r="AM96" s="1288"/>
      <c r="AN96" s="1288"/>
      <c r="AO96" s="1288"/>
      <c r="AP96" s="1288"/>
      <c r="AQ96" s="1288"/>
    </row>
    <row s="2929" customFormat="1" customHeight="1" ht="17.25" hidden="1">
      <c r="A97" s="314"/>
      <c r="C97" s="313"/>
      <c r="D97" s="1992"/>
      <c r="E97" s="1994"/>
      <c r="F97" s="1996"/>
      <c r="G97" s="1994"/>
      <c r="H97" s="1999"/>
      <c r="I97" s="2001"/>
      <c r="J97" s="2004"/>
      <c r="K97" s="1990"/>
      <c r="L97" s="1990"/>
      <c r="M97" s="1990"/>
      <c r="N97" s="2007"/>
      <c r="O97" s="1990"/>
      <c r="P97" s="1501"/>
      <c r="Q97" s="1327"/>
      <c r="R97" s="1327"/>
      <c r="S97" s="325"/>
      <c r="T97" s="325"/>
      <c r="U97" s="325"/>
      <c r="V97" s="325"/>
      <c r="W97" s="1328"/>
      <c r="X97" s="1288"/>
      <c r="Y97" s="1288"/>
      <c r="Z97" s="1288"/>
      <c r="AA97" s="1288"/>
      <c r="AB97" s="1288"/>
      <c r="AC97" s="1288"/>
      <c r="AD97" s="1288"/>
      <c r="AE97" s="1288"/>
      <c r="AF97" s="1288"/>
      <c r="AG97" s="1288"/>
      <c r="AH97" s="1288"/>
      <c r="AI97" s="1288"/>
      <c r="AJ97" s="1288"/>
      <c r="AK97" s="1288"/>
      <c r="AL97" s="1288"/>
      <c r="AM97" s="1288"/>
      <c r="AN97" s="1288"/>
      <c r="AO97" s="1288"/>
      <c r="AP97" s="1288"/>
      <c r="AQ97" s="1288"/>
    </row>
    <row s="2929" customFormat="1" customHeight="1" ht="17.25" hidden="1">
      <c r="A98" s="314"/>
      <c r="C98" s="313"/>
      <c r="D98" s="1992"/>
      <c r="E98" s="1994"/>
      <c r="F98" s="1996"/>
      <c r="G98" s="1994"/>
      <c r="H98" s="1999"/>
      <c r="I98" s="2001"/>
      <c r="J98" s="2004"/>
      <c r="K98" s="1990"/>
      <c r="L98" s="1327"/>
      <c r="M98" s="1327"/>
      <c r="N98" s="1327"/>
      <c r="O98" s="1327"/>
      <c r="P98" s="1327"/>
      <c r="Q98" s="1327"/>
      <c r="R98" s="1327"/>
      <c r="S98" s="325"/>
      <c r="T98" s="325"/>
      <c r="U98" s="325"/>
      <c r="V98" s="325"/>
      <c r="W98" s="1328"/>
      <c r="X98" s="1288"/>
      <c r="Y98" s="1288"/>
      <c r="Z98" s="1288"/>
      <c r="AA98" s="1288"/>
      <c r="AB98" s="1288"/>
      <c r="AC98" s="1288"/>
      <c r="AD98" s="1288"/>
      <c r="AE98" s="1288"/>
      <c r="AF98" s="1288"/>
      <c r="AG98" s="1288"/>
      <c r="AH98" s="1288"/>
      <c r="AI98" s="1288"/>
      <c r="AJ98" s="1288"/>
      <c r="AK98" s="1288"/>
      <c r="AL98" s="1288"/>
      <c r="AM98" s="1288"/>
      <c r="AN98" s="1288"/>
      <c r="AO98" s="1288"/>
      <c r="AP98" s="1288"/>
      <c r="AQ98" s="1288"/>
    </row>
    <row s="2929" customFormat="1" customHeight="1" ht="17.25" hidden="1">
      <c r="A99" s="314"/>
      <c r="C99" s="313"/>
      <c r="D99" s="1992"/>
      <c r="E99" s="1994"/>
      <c r="F99" s="1997"/>
      <c r="G99" s="1994"/>
      <c r="H99" s="1329"/>
      <c r="I99" s="1330"/>
      <c r="J99" s="1330"/>
      <c r="K99" s="1330"/>
      <c r="L99" s="1330"/>
      <c r="M99" s="1330"/>
      <c r="N99" s="1330"/>
      <c r="O99" s="1330"/>
      <c r="P99" s="1330"/>
      <c r="Q99" s="1330"/>
      <c r="R99" s="1330"/>
      <c r="S99" s="1331"/>
      <c r="T99" s="1331"/>
      <c r="U99" s="1331"/>
      <c r="V99" s="1331"/>
      <c r="W99" s="1332"/>
      <c r="X99" s="1288"/>
      <c r="Y99" s="1288"/>
      <c r="Z99" s="1288"/>
      <c r="AA99" s="1288"/>
      <c r="AB99" s="1288"/>
      <c r="AC99" s="1288"/>
      <c r="AD99" s="1288"/>
      <c r="AE99" s="1288"/>
      <c r="AF99" s="1288"/>
      <c r="AG99" s="1288"/>
      <c r="AH99" s="1288"/>
      <c r="AI99" s="1288"/>
      <c r="AJ99" s="1288"/>
      <c r="AK99" s="1288"/>
      <c r="AL99" s="1288"/>
      <c r="AM99" s="1288"/>
      <c r="AN99" s="1288"/>
      <c r="AO99" s="1288"/>
      <c r="AP99" s="1288"/>
      <c r="AQ99" s="1288"/>
    </row>
    <row s="2929" customFormat="1" customHeight="1" ht="17.25" hidden="1">
      <c r="A100" s="314"/>
      <c r="C100" s="195"/>
      <c r="D100" s="1991">
        <v>3</v>
      </c>
      <c r="E100" s="1993" t="s">
        <v>252</v>
      </c>
      <c r="F100" s="1995" t="s">
        <v>57</v>
      </c>
      <c r="G100" s="1993"/>
      <c r="H100" s="1998"/>
      <c r="I100" s="2000"/>
      <c r="J100" s="2002"/>
      <c r="K100" s="1989"/>
      <c r="L100" s="1989"/>
      <c r="M100" s="1989"/>
      <c r="N100" s="2005"/>
      <c r="O100" s="1989"/>
      <c r="P100" s="1989"/>
      <c r="Q100" s="1989"/>
      <c r="R100" s="2008"/>
      <c r="S100" s="1989"/>
      <c r="T100" s="1500"/>
      <c r="U100" s="1500"/>
      <c r="V100" s="1502"/>
      <c r="W100" s="1326"/>
      <c r="X100" s="1296"/>
      <c r="Y100" s="1296"/>
      <c r="Z100" s="1296"/>
      <c r="AA100" s="1296"/>
      <c r="AB100" s="1296"/>
      <c r="AC100" s="1296" t="s">
        <v>253</v>
      </c>
      <c r="AD100" s="1296" t="s">
        <v>254</v>
      </c>
      <c r="AE100" s="1296" t="s">
        <v>255</v>
      </c>
      <c r="AF100" s="1296" t="s">
        <v>256</v>
      </c>
      <c r="AG100" s="1296"/>
      <c r="AH100" s="1296" t="str">
        <f>IF($E$100=0,"",$E$100)</f>
        <v>Тариф на подключение (технологическое присоединение) к централизованной системе горячего водоснабжения</v>
      </c>
      <c r="AI100" s="1296" t="str">
        <f>IF($G$100=0,"",$G$100)</f>
        <v/>
      </c>
      <c r="AJ100" s="1296" t="str">
        <f>IF($J$100=0,"",$J$100)</f>
        <v/>
      </c>
      <c r="AK100" s="1296" t="str">
        <f>IF($K$100="нет","без дифференциации",IF($N$100=0,"",$N$100))</f>
        <v/>
      </c>
      <c r="AL100" s="1296" t="str">
        <f>IF($O$100="нет","без дифференциации",IF($R$100=0,"",$R$100))</f>
        <v/>
      </c>
      <c r="AM100" s="1296" t="str">
        <f>IF($S$100="нет","без дифференциации",IF($V$100=0,"",$V$100))</f>
        <v/>
      </c>
      <c r="AN100" s="1813">
        <f>$I$100</f>
        <v>0</v>
      </c>
      <c r="AO100" s="1296" t="str">
        <f>$I$100&amp;"."&amp;$M$100</f>
        <v>.</v>
      </c>
      <c r="AP100" s="1288" t="str">
        <f>$I$100&amp;"."&amp;$M$100&amp;"."&amp;$Q$100</f>
        <v>..</v>
      </c>
      <c r="AQ100" s="1288" t="str">
        <f>$I$100&amp;"."&amp;$M$100&amp;"."&amp;$Q$100&amp;"."&amp;$U$100</f>
        <v>...</v>
      </c>
    </row>
    <row s="2929" customFormat="1" customHeight="1" ht="17.25" hidden="1">
      <c r="A101" s="314"/>
      <c r="C101" s="313"/>
      <c r="D101" s="1991"/>
      <c r="E101" s="1993"/>
      <c r="F101" s="1996"/>
      <c r="G101" s="1993"/>
      <c r="H101" s="1999"/>
      <c r="I101" s="2001"/>
      <c r="J101" s="2003"/>
      <c r="K101" s="1990"/>
      <c r="L101" s="1990"/>
      <c r="M101" s="1990"/>
      <c r="N101" s="2006"/>
      <c r="O101" s="1990"/>
      <c r="P101" s="1990"/>
      <c r="Q101" s="1990"/>
      <c r="R101" s="2007"/>
      <c r="S101" s="1990"/>
      <c r="T101" s="1327"/>
      <c r="U101" s="1327"/>
      <c r="V101" s="1327"/>
      <c r="W101" s="1328"/>
      <c r="X101" s="1288"/>
      <c r="Y101" s="1288"/>
      <c r="Z101" s="1288"/>
      <c r="AA101" s="1288"/>
      <c r="AB101" s="1288"/>
      <c r="AC101" s="1288"/>
      <c r="AD101" s="1288"/>
      <c r="AE101" s="1288"/>
      <c r="AF101" s="1288"/>
      <c r="AG101" s="1288"/>
      <c r="AH101" s="1288"/>
      <c r="AI101" s="1288"/>
      <c r="AJ101" s="1288"/>
      <c r="AK101" s="1288"/>
      <c r="AL101" s="1288"/>
      <c r="AM101" s="1288"/>
      <c r="AN101" s="1288"/>
      <c r="AO101" s="1288"/>
      <c r="AP101" s="1288"/>
      <c r="AQ101" s="1288"/>
    </row>
    <row s="2929" customFormat="1" customHeight="1" ht="17.25" hidden="1">
      <c r="A102" s="314"/>
      <c r="C102" s="313"/>
      <c r="D102" s="1992"/>
      <c r="E102" s="1994"/>
      <c r="F102" s="1996"/>
      <c r="G102" s="1994"/>
      <c r="H102" s="1999"/>
      <c r="I102" s="2001"/>
      <c r="J102" s="2004"/>
      <c r="K102" s="1990"/>
      <c r="L102" s="1990"/>
      <c r="M102" s="1990"/>
      <c r="N102" s="2007"/>
      <c r="O102" s="1990"/>
      <c r="P102" s="1501"/>
      <c r="Q102" s="1327"/>
      <c r="R102" s="1327"/>
      <c r="S102" s="325"/>
      <c r="T102" s="325"/>
      <c r="U102" s="325"/>
      <c r="V102" s="325"/>
      <c r="W102" s="1328"/>
      <c r="X102" s="1288"/>
      <c r="Y102" s="1288"/>
      <c r="Z102" s="1288"/>
      <c r="AA102" s="1288"/>
      <c r="AB102" s="1288"/>
      <c r="AC102" s="1288"/>
      <c r="AD102" s="1288"/>
      <c r="AE102" s="1288"/>
      <c r="AF102" s="1288"/>
      <c r="AG102" s="1288"/>
      <c r="AH102" s="1288"/>
      <c r="AI102" s="1288"/>
      <c r="AJ102" s="1288"/>
      <c r="AK102" s="1288"/>
      <c r="AL102" s="1288"/>
      <c r="AM102" s="1288"/>
      <c r="AN102" s="1288"/>
      <c r="AO102" s="1288"/>
      <c r="AP102" s="1288"/>
      <c r="AQ102" s="1288"/>
    </row>
    <row s="2929" customFormat="1" customHeight="1" ht="17.25" hidden="1">
      <c r="A103" s="314"/>
      <c r="C103" s="313"/>
      <c r="D103" s="1992"/>
      <c r="E103" s="1994"/>
      <c r="F103" s="1996"/>
      <c r="G103" s="1994"/>
      <c r="H103" s="1999"/>
      <c r="I103" s="2001"/>
      <c r="J103" s="2004"/>
      <c r="K103" s="1990"/>
      <c r="L103" s="1327"/>
      <c r="M103" s="1327"/>
      <c r="N103" s="1327"/>
      <c r="O103" s="1327"/>
      <c r="P103" s="1327"/>
      <c r="Q103" s="1327"/>
      <c r="R103" s="1327"/>
      <c r="S103" s="325"/>
      <c r="T103" s="325"/>
      <c r="U103" s="325"/>
      <c r="V103" s="325"/>
      <c r="W103" s="1328"/>
      <c r="X103" s="1288"/>
      <c r="Y103" s="1288"/>
      <c r="Z103" s="1288"/>
      <c r="AA103" s="1288"/>
      <c r="AB103" s="1288"/>
      <c r="AC103" s="1288"/>
      <c r="AD103" s="1288"/>
      <c r="AE103" s="1288"/>
      <c r="AF103" s="1288"/>
      <c r="AG103" s="1288"/>
      <c r="AH103" s="1288"/>
      <c r="AI103" s="1288"/>
      <c r="AJ103" s="1288"/>
      <c r="AK103" s="1288"/>
      <c r="AL103" s="1288"/>
      <c r="AM103" s="1288"/>
      <c r="AN103" s="1288"/>
      <c r="AO103" s="1288"/>
      <c r="AP103" s="1288"/>
      <c r="AQ103" s="1288"/>
    </row>
    <row s="2929" customFormat="1" customHeight="1" ht="17.25" hidden="1">
      <c r="A104" s="314"/>
      <c r="C104" s="313"/>
      <c r="D104" s="1992"/>
      <c r="E104" s="1994"/>
      <c r="F104" s="1997"/>
      <c r="G104" s="1994"/>
      <c r="H104" s="1329"/>
      <c r="I104" s="1330"/>
      <c r="J104" s="1330"/>
      <c r="K104" s="1330"/>
      <c r="L104" s="1330"/>
      <c r="M104" s="1330"/>
      <c r="N104" s="1330"/>
      <c r="O104" s="1330"/>
      <c r="P104" s="1330"/>
      <c r="Q104" s="1330"/>
      <c r="R104" s="1330"/>
      <c r="S104" s="1331"/>
      <c r="T104" s="1331"/>
      <c r="U104" s="1331"/>
      <c r="V104" s="1331"/>
      <c r="W104" s="1332"/>
      <c r="X104" s="1288"/>
      <c r="Y104" s="1288"/>
      <c r="Z104" s="1288"/>
      <c r="AA104" s="1288"/>
      <c r="AB104" s="1288"/>
      <c r="AC104" s="1288"/>
      <c r="AD104" s="1288"/>
      <c r="AE104" s="1288"/>
      <c r="AF104" s="1288"/>
      <c r="AG104" s="1288"/>
      <c r="AH104" s="1288"/>
      <c r="AI104" s="1288"/>
      <c r="AJ104" s="1288"/>
      <c r="AK104" s="1288"/>
      <c r="AL104" s="1288"/>
      <c r="AM104" s="1288"/>
      <c r="AN104" s="1288"/>
      <c r="AO104" s="1288"/>
      <c r="AP104" s="1288"/>
      <c r="AQ104" s="1288"/>
    </row>
    <row s="2929" customFormat="1" customHeight="1" ht="11.25" hidden="1">
      <c r="A105" s="263"/>
      <c r="B105" s="263"/>
      <c r="Y105" s="1288"/>
      <c r="Z105" s="1288"/>
      <c r="AA105" s="1288"/>
      <c r="AB105" s="1288"/>
      <c r="AC105" s="1288"/>
      <c r="AD105" s="1288"/>
      <c r="AE105" s="1288"/>
      <c r="AF105" s="1288"/>
      <c r="AG105" s="1288"/>
      <c r="AH105" s="1288"/>
      <c r="AI105" s="1288"/>
      <c r="AJ105" s="1288"/>
      <c r="AK105" s="1288"/>
      <c r="AL105" s="1288"/>
      <c r="AM105" s="1288"/>
      <c r="AN105" s="1288"/>
      <c r="AO105" s="1288"/>
      <c r="AP105" s="1288"/>
      <c r="AQ105" s="1288"/>
    </row>
    <row s="2929" customFormat="1" customHeight="1" ht="17.25" hidden="1">
      <c r="A106" s="314"/>
      <c r="C106" s="195"/>
      <c r="D106" s="1991">
        <v>1</v>
      </c>
      <c r="E106" s="1993" t="s">
        <v>257</v>
      </c>
      <c r="F106" s="1995" t="s">
        <v>57</v>
      </c>
      <c r="G106" s="1993"/>
      <c r="H106" s="1998"/>
      <c r="I106" s="2000"/>
      <c r="J106" s="2002"/>
      <c r="K106" s="1989"/>
      <c r="L106" s="1989"/>
      <c r="M106" s="1989"/>
      <c r="N106" s="2005"/>
      <c r="O106" s="1989"/>
      <c r="P106" s="1989"/>
      <c r="Q106" s="1989"/>
      <c r="R106" s="2008"/>
      <c r="S106" s="1989"/>
      <c r="T106" s="1500"/>
      <c r="U106" s="1500"/>
      <c r="V106" s="1502"/>
      <c r="W106" s="1326"/>
      <c r="Y106" s="1296"/>
      <c r="Z106" s="1296"/>
      <c r="AA106" s="1296"/>
      <c r="AB106" s="1296"/>
      <c r="AC106" s="1296" t="s">
        <v>258</v>
      </c>
      <c r="AD106" s="1296" t="s">
        <v>259</v>
      </c>
      <c r="AE106" s="1296" t="s">
        <v>260</v>
      </c>
      <c r="AF106" s="1296" t="s">
        <v>261</v>
      </c>
      <c r="AG106" s="1296"/>
      <c r="AH106" s="1296" t="str">
        <f>IF($E$106=0,"",$E$106)</f>
        <v>Тариф на водоотведение</v>
      </c>
      <c r="AI106" s="1296" t="str">
        <f>IF($G$106=0,"",$G$106)</f>
        <v/>
      </c>
      <c r="AJ106" s="1296" t="str">
        <f>IF($J$106=0,"",$J$106)</f>
        <v/>
      </c>
      <c r="AK106" s="1296" t="str">
        <f>IF($K$106="нет","без дифференциации",IF($N$106=0,"",$N$106))</f>
        <v/>
      </c>
      <c r="AL106" s="1296" t="str">
        <f>IF($O$106="нет","без дифференциации",IF($R$106=0,"",$R$106))</f>
        <v/>
      </c>
      <c r="AM106" s="1296" t="str">
        <f>IF($S$106="нет","без дифференциации",IF($V$106=0,"",$V$106))</f>
        <v/>
      </c>
      <c r="AN106" s="1296">
        <f>$I$106</f>
        <v>0</v>
      </c>
      <c r="AO106" s="1296" t="str">
        <f>$I$106&amp;"."&amp;$M$106</f>
        <v>.</v>
      </c>
      <c r="AP106" s="1296" t="str">
        <f>$I$106&amp;"."&amp;$M$106&amp;"."&amp;$Q$106</f>
        <v>..</v>
      </c>
      <c r="AQ106" s="1296" t="str">
        <f>$I$106&amp;"."&amp;$M$106&amp;"."&amp;$Q$106&amp;"."&amp;$U$106</f>
        <v>...</v>
      </c>
    </row>
    <row s="2929" customFormat="1" customHeight="1" ht="17.25" hidden="1">
      <c r="A107" s="314"/>
      <c r="C107" s="313"/>
      <c r="D107" s="1991"/>
      <c r="E107" s="1993"/>
      <c r="F107" s="1996"/>
      <c r="G107" s="1993"/>
      <c r="H107" s="1999"/>
      <c r="I107" s="2001"/>
      <c r="J107" s="2003"/>
      <c r="K107" s="1990"/>
      <c r="L107" s="1990"/>
      <c r="M107" s="1990"/>
      <c r="N107" s="2006"/>
      <c r="O107" s="1990"/>
      <c r="P107" s="1990"/>
      <c r="Q107" s="1990"/>
      <c r="R107" s="2007"/>
      <c r="S107" s="1990"/>
      <c r="T107" s="1327"/>
      <c r="U107" s="1327"/>
      <c r="V107" s="1327"/>
      <c r="W107" s="1328"/>
      <c r="Y107" s="1288"/>
      <c r="Z107" s="1288"/>
      <c r="AA107" s="1288"/>
      <c r="AB107" s="1288"/>
      <c r="AC107" s="1288"/>
      <c r="AD107" s="1288"/>
      <c r="AE107" s="1288"/>
      <c r="AF107" s="1288"/>
      <c r="AG107" s="1288"/>
      <c r="AH107" s="1288"/>
      <c r="AI107" s="1288"/>
      <c r="AJ107" s="1288"/>
      <c r="AK107" s="1288"/>
      <c r="AL107" s="1288"/>
      <c r="AM107" s="1288"/>
      <c r="AN107" s="1288"/>
      <c r="AO107" s="1288"/>
      <c r="AP107" s="1288"/>
      <c r="AQ107" s="1288"/>
    </row>
    <row s="2929" customFormat="1" customHeight="1" ht="17.25" hidden="1">
      <c r="A108" s="314"/>
      <c r="C108" s="195"/>
      <c r="D108" s="1991"/>
      <c r="E108" s="1993"/>
      <c r="F108" s="1996"/>
      <c r="G108" s="1993"/>
      <c r="H108" s="1999"/>
      <c r="I108" s="2001"/>
      <c r="J108" s="2004"/>
      <c r="K108" s="1990"/>
      <c r="L108" s="1990"/>
      <c r="M108" s="1990"/>
      <c r="N108" s="2007"/>
      <c r="O108" s="1990"/>
      <c r="P108" s="1501"/>
      <c r="Q108" s="1327"/>
      <c r="R108" s="1327"/>
      <c r="S108" s="325"/>
      <c r="T108" s="325"/>
      <c r="U108" s="325"/>
      <c r="V108" s="325"/>
      <c r="W108" s="1328"/>
      <c r="Y108" s="1296"/>
      <c r="Z108" s="1296"/>
      <c r="AA108" s="1296"/>
      <c r="AB108" s="1296"/>
      <c r="AC108" s="1296"/>
      <c r="AD108" s="1296"/>
      <c r="AE108" s="1296"/>
      <c r="AF108" s="1296"/>
      <c r="AG108" s="1296"/>
      <c r="AH108" s="1296"/>
      <c r="AI108" s="1296"/>
      <c r="AJ108" s="1296"/>
      <c r="AK108" s="1296"/>
      <c r="AL108" s="1296"/>
      <c r="AM108" s="1296"/>
      <c r="AN108" s="1296"/>
      <c r="AO108" s="1296"/>
      <c r="AP108" s="1296"/>
      <c r="AQ108" s="1296"/>
    </row>
    <row s="2929" customFormat="1" customHeight="1" ht="17.25" hidden="1">
      <c r="A109" s="314"/>
      <c r="C109" s="313"/>
      <c r="D109" s="1991"/>
      <c r="E109" s="1993"/>
      <c r="F109" s="1996"/>
      <c r="G109" s="1993"/>
      <c r="H109" s="1999"/>
      <c r="I109" s="2001"/>
      <c r="J109" s="2004"/>
      <c r="K109" s="1990"/>
      <c r="L109" s="1327"/>
      <c r="M109" s="1327"/>
      <c r="N109" s="1327"/>
      <c r="O109" s="1327"/>
      <c r="P109" s="1327"/>
      <c r="Q109" s="1327"/>
      <c r="R109" s="1327"/>
      <c r="S109" s="325"/>
      <c r="T109" s="325"/>
      <c r="U109" s="325"/>
      <c r="V109" s="325"/>
      <c r="W109" s="1328"/>
      <c r="Y109" s="1288"/>
      <c r="Z109" s="1288"/>
      <c r="AA109" s="1288"/>
      <c r="AB109" s="1288"/>
      <c r="AC109" s="1288"/>
      <c r="AD109" s="1288"/>
      <c r="AE109" s="1288"/>
      <c r="AF109" s="1288"/>
      <c r="AG109" s="1288"/>
      <c r="AH109" s="1288"/>
      <c r="AI109" s="1288"/>
      <c r="AJ109" s="1288"/>
      <c r="AK109" s="1288"/>
      <c r="AL109" s="1288"/>
      <c r="AM109" s="1288"/>
      <c r="AN109" s="1288"/>
      <c r="AO109" s="1288"/>
      <c r="AP109" s="1288"/>
      <c r="AQ109" s="1288"/>
    </row>
    <row s="2929" customFormat="1" customHeight="1" ht="17.25" hidden="1">
      <c r="A110" s="314"/>
      <c r="C110" s="313"/>
      <c r="D110" s="1992"/>
      <c r="E110" s="1994"/>
      <c r="F110" s="1997"/>
      <c r="G110" s="1994"/>
      <c r="H110" s="1329"/>
      <c r="I110" s="1330"/>
      <c r="J110" s="1330"/>
      <c r="K110" s="1330"/>
      <c r="L110" s="1330"/>
      <c r="M110" s="1330"/>
      <c r="N110" s="1330"/>
      <c r="O110" s="1330"/>
      <c r="P110" s="1330"/>
      <c r="Q110" s="1330"/>
      <c r="R110" s="1330"/>
      <c r="S110" s="1331"/>
      <c r="T110" s="1331"/>
      <c r="U110" s="1331"/>
      <c r="V110" s="1331"/>
      <c r="W110" s="1332"/>
      <c r="Y110" s="1288"/>
      <c r="Z110" s="1288"/>
      <c r="AA110" s="1288"/>
      <c r="AB110" s="1288"/>
      <c r="AC110" s="1288"/>
      <c r="AD110" s="1288"/>
      <c r="AE110" s="1288"/>
      <c r="AF110" s="1288"/>
      <c r="AG110" s="1288"/>
      <c r="AH110" s="1288"/>
      <c r="AI110" s="1288"/>
      <c r="AJ110" s="1288"/>
      <c r="AK110" s="1288"/>
      <c r="AL110" s="1288"/>
      <c r="AM110" s="1288"/>
      <c r="AN110" s="1288"/>
      <c r="AO110" s="1288"/>
      <c r="AP110" s="1288"/>
      <c r="AQ110" s="1288"/>
    </row>
    <row s="2929" customFormat="1" customHeight="1" ht="17.25" hidden="1">
      <c r="A111" s="314"/>
      <c r="C111" s="195"/>
      <c r="D111" s="1991">
        <v>2</v>
      </c>
      <c r="E111" s="1993" t="s">
        <v>262</v>
      </c>
      <c r="F111" s="1995" t="s">
        <v>57</v>
      </c>
      <c r="G111" s="1993"/>
      <c r="H111" s="1998"/>
      <c r="I111" s="2000"/>
      <c r="J111" s="2002"/>
      <c r="K111" s="1989"/>
      <c r="L111" s="1989"/>
      <c r="M111" s="1989"/>
      <c r="N111" s="2005"/>
      <c r="O111" s="1989"/>
      <c r="P111" s="1989"/>
      <c r="Q111" s="1989"/>
      <c r="R111" s="2008"/>
      <c r="S111" s="1989"/>
      <c r="T111" s="1500"/>
      <c r="U111" s="1500"/>
      <c r="V111" s="1502"/>
      <c r="W111" s="1326"/>
      <c r="X111" s="1296"/>
      <c r="Y111" s="1296"/>
      <c r="Z111" s="1296"/>
      <c r="AA111" s="1296"/>
      <c r="AB111" s="1296"/>
      <c r="AC111" s="1296" t="s">
        <v>263</v>
      </c>
      <c r="AD111" s="1296" t="s">
        <v>264</v>
      </c>
      <c r="AE111" s="1296" t="s">
        <v>265</v>
      </c>
      <c r="AF111" s="1296" t="s">
        <v>266</v>
      </c>
      <c r="AG111" s="1296"/>
      <c r="AH111" s="1296" t="str">
        <f>IF($E$111=0,"",$E$111)</f>
        <v>Тариф на транспортировку сточных вод</v>
      </c>
      <c r="AI111" s="1296" t="str">
        <f>IF($G$111=0,"",$G$111)</f>
        <v/>
      </c>
      <c r="AJ111" s="1296" t="str">
        <f>IF($J$111=0,"",$J$111)</f>
        <v/>
      </c>
      <c r="AK111" s="1296" t="str">
        <f>IF($K$111="нет","без дифференциации",IF($N$111=0,"",$N$111))</f>
        <v/>
      </c>
      <c r="AL111" s="1296" t="str">
        <f>IF($O$111="нет","без дифференциации",IF($R$111=0,"",$R$111))</f>
        <v/>
      </c>
      <c r="AM111" s="1296" t="str">
        <f>IF($S$111="нет","без дифференциации",IF($V$111=0,"",$V$111))</f>
        <v/>
      </c>
      <c r="AN111" s="1813">
        <f>$I$111</f>
        <v>0</v>
      </c>
      <c r="AO111" s="1296" t="str">
        <f>$I$111&amp;"."&amp;$M$111</f>
        <v>.</v>
      </c>
      <c r="AP111" s="1288" t="str">
        <f>$I$111&amp;"."&amp;$M$111&amp;"."&amp;$Q$111</f>
        <v>..</v>
      </c>
      <c r="AQ111" s="1288" t="str">
        <f>$I$111&amp;"."&amp;$M$111&amp;"."&amp;$Q$111&amp;"."&amp;$U$111</f>
        <v>...</v>
      </c>
    </row>
    <row s="2929" customFormat="1" customHeight="1" ht="17.25" hidden="1">
      <c r="A112" s="314"/>
      <c r="C112" s="313"/>
      <c r="D112" s="1991"/>
      <c r="E112" s="1993"/>
      <c r="F112" s="1996"/>
      <c r="G112" s="1993"/>
      <c r="H112" s="1999"/>
      <c r="I112" s="2001"/>
      <c r="J112" s="2003"/>
      <c r="K112" s="1990"/>
      <c r="L112" s="1990"/>
      <c r="M112" s="1990"/>
      <c r="N112" s="2006"/>
      <c r="O112" s="1990"/>
      <c r="P112" s="1990"/>
      <c r="Q112" s="1990"/>
      <c r="R112" s="2007"/>
      <c r="S112" s="1990"/>
      <c r="T112" s="1327"/>
      <c r="U112" s="1327"/>
      <c r="V112" s="1327"/>
      <c r="W112" s="1328"/>
      <c r="X112" s="1288"/>
      <c r="Y112" s="1288"/>
      <c r="Z112" s="1288"/>
      <c r="AA112" s="1288"/>
      <c r="AB112" s="1288"/>
      <c r="AC112" s="1288"/>
      <c r="AD112" s="1288"/>
      <c r="AE112" s="1288"/>
      <c r="AF112" s="1288"/>
      <c r="AG112" s="1288"/>
      <c r="AH112" s="1288"/>
      <c r="AI112" s="1288"/>
      <c r="AJ112" s="1288"/>
      <c r="AK112" s="1288"/>
      <c r="AL112" s="1288"/>
      <c r="AM112" s="1288"/>
      <c r="AN112" s="1288"/>
      <c r="AO112" s="1288"/>
      <c r="AP112" s="1288"/>
      <c r="AQ112" s="1288"/>
    </row>
    <row s="2929" customFormat="1" customHeight="1" ht="17.25" hidden="1">
      <c r="A113" s="314"/>
      <c r="C113" s="313"/>
      <c r="D113" s="1992"/>
      <c r="E113" s="1994"/>
      <c r="F113" s="1996"/>
      <c r="G113" s="1994"/>
      <c r="H113" s="1999"/>
      <c r="I113" s="2001"/>
      <c r="J113" s="2004"/>
      <c r="K113" s="1990"/>
      <c r="L113" s="1990"/>
      <c r="M113" s="1990"/>
      <c r="N113" s="2007"/>
      <c r="O113" s="1990"/>
      <c r="P113" s="1501"/>
      <c r="Q113" s="1327"/>
      <c r="R113" s="1327"/>
      <c r="S113" s="325"/>
      <c r="T113" s="325"/>
      <c r="U113" s="325"/>
      <c r="V113" s="325"/>
      <c r="W113" s="1328"/>
      <c r="X113" s="1288"/>
      <c r="Y113" s="1288"/>
      <c r="Z113" s="1288"/>
      <c r="AA113" s="1288"/>
      <c r="AB113" s="1288"/>
      <c r="AC113" s="1288"/>
      <c r="AD113" s="1288"/>
      <c r="AE113" s="1288"/>
      <c r="AF113" s="1288"/>
      <c r="AG113" s="1288"/>
      <c r="AH113" s="1288"/>
      <c r="AI113" s="1288"/>
      <c r="AJ113" s="1288"/>
      <c r="AK113" s="1288"/>
      <c r="AL113" s="1288"/>
      <c r="AM113" s="1288"/>
      <c r="AN113" s="1288"/>
      <c r="AO113" s="1288"/>
      <c r="AP113" s="1288"/>
      <c r="AQ113" s="1288"/>
    </row>
    <row s="2929" customFormat="1" customHeight="1" ht="17.25" hidden="1">
      <c r="A114" s="314"/>
      <c r="C114" s="313"/>
      <c r="D114" s="1992"/>
      <c r="E114" s="1994"/>
      <c r="F114" s="1996"/>
      <c r="G114" s="1994"/>
      <c r="H114" s="1999"/>
      <c r="I114" s="2001"/>
      <c r="J114" s="2004"/>
      <c r="K114" s="1990"/>
      <c r="L114" s="1327"/>
      <c r="M114" s="1327"/>
      <c r="N114" s="1327"/>
      <c r="O114" s="1327"/>
      <c r="P114" s="1327"/>
      <c r="Q114" s="1327"/>
      <c r="R114" s="1327"/>
      <c r="S114" s="325"/>
      <c r="T114" s="325"/>
      <c r="U114" s="325"/>
      <c r="V114" s="325"/>
      <c r="W114" s="1328"/>
      <c r="X114" s="1288"/>
      <c r="Y114" s="1288"/>
      <c r="Z114" s="1288"/>
      <c r="AA114" s="1288"/>
      <c r="AB114" s="1288"/>
      <c r="AC114" s="1288"/>
      <c r="AD114" s="1288"/>
      <c r="AE114" s="1288"/>
      <c r="AF114" s="1288"/>
      <c r="AG114" s="1288"/>
      <c r="AH114" s="1288"/>
      <c r="AI114" s="1288"/>
      <c r="AJ114" s="1288"/>
      <c r="AK114" s="1288"/>
      <c r="AL114" s="1288"/>
      <c r="AM114" s="1288"/>
      <c r="AN114" s="1288"/>
      <c r="AO114" s="1288"/>
      <c r="AP114" s="1288"/>
      <c r="AQ114" s="1288"/>
    </row>
    <row s="2929" customFormat="1" customHeight="1" ht="17.25" hidden="1">
      <c r="A115" s="314"/>
      <c r="C115" s="313"/>
      <c r="D115" s="1992"/>
      <c r="E115" s="1994"/>
      <c r="F115" s="1997"/>
      <c r="G115" s="1994"/>
      <c r="H115" s="1329"/>
      <c r="I115" s="1330"/>
      <c r="J115" s="1330"/>
      <c r="K115" s="1330"/>
      <c r="L115" s="1330"/>
      <c r="M115" s="1330"/>
      <c r="N115" s="1330"/>
      <c r="O115" s="1330"/>
      <c r="P115" s="1330"/>
      <c r="Q115" s="1330"/>
      <c r="R115" s="1330"/>
      <c r="S115" s="1331"/>
      <c r="T115" s="1331"/>
      <c r="U115" s="1331"/>
      <c r="V115" s="1331"/>
      <c r="W115" s="1332"/>
      <c r="X115" s="1288"/>
      <c r="Y115" s="1288"/>
      <c r="Z115" s="1288"/>
      <c r="AA115" s="1288"/>
      <c r="AB115" s="1288"/>
      <c r="AC115" s="1288"/>
      <c r="AD115" s="1288"/>
      <c r="AE115" s="1288"/>
      <c r="AF115" s="1288"/>
      <c r="AG115" s="1288"/>
      <c r="AH115" s="1288"/>
      <c r="AI115" s="1288"/>
      <c r="AJ115" s="1288"/>
      <c r="AK115" s="1288"/>
      <c r="AL115" s="1288"/>
      <c r="AM115" s="1288"/>
      <c r="AN115" s="1288"/>
      <c r="AO115" s="1288"/>
      <c r="AP115" s="1288"/>
      <c r="AQ115" s="1288"/>
    </row>
    <row s="2929" customFormat="1" customHeight="1" ht="17.25" hidden="1">
      <c r="A116" s="314"/>
      <c r="C116" s="195"/>
      <c r="D116" s="1991">
        <v>3</v>
      </c>
      <c r="E116" s="1993" t="s">
        <v>267</v>
      </c>
      <c r="F116" s="1995" t="s">
        <v>57</v>
      </c>
      <c r="G116" s="1993"/>
      <c r="H116" s="1998"/>
      <c r="I116" s="2000"/>
      <c r="J116" s="2002"/>
      <c r="K116" s="1989"/>
      <c r="L116" s="1989"/>
      <c r="M116" s="1989"/>
      <c r="N116" s="2005"/>
      <c r="O116" s="1989"/>
      <c r="P116" s="1989"/>
      <c r="Q116" s="1989"/>
      <c r="R116" s="2008"/>
      <c r="S116" s="1989"/>
      <c r="T116" s="1500"/>
      <c r="U116" s="1500"/>
      <c r="V116" s="1502"/>
      <c r="W116" s="1326"/>
      <c r="X116" s="1296"/>
      <c r="Y116" s="1296"/>
      <c r="Z116" s="1296"/>
      <c r="AA116" s="1296"/>
      <c r="AB116" s="1296"/>
      <c r="AC116" s="1296" t="s">
        <v>268</v>
      </c>
      <c r="AD116" s="1296" t="s">
        <v>269</v>
      </c>
      <c r="AE116" s="1296" t="s">
        <v>270</v>
      </c>
      <c r="AF116" s="1296" t="s">
        <v>271</v>
      </c>
      <c r="AG116" s="1296"/>
      <c r="AH116" s="1296" t="str">
        <f>IF($E$116=0,"",$E$116)</f>
        <v>Тариф на подключение (технологическое присоединение) к централизованной системе водоотведения</v>
      </c>
      <c r="AI116" s="1296" t="str">
        <f>IF($G$116=0,"",$G$116)</f>
        <v/>
      </c>
      <c r="AJ116" s="1296" t="str">
        <f>IF($J$116=0,"",$J$116)</f>
        <v/>
      </c>
      <c r="AK116" s="1296" t="str">
        <f>IF($K$116="нет","без дифференциации",IF($N$116=0,"",$N$116))</f>
        <v/>
      </c>
      <c r="AL116" s="1296" t="str">
        <f>IF($O$116="нет","без дифференциации",IF($R$116=0,"",$R$116))</f>
        <v/>
      </c>
      <c r="AM116" s="1296" t="str">
        <f>IF($S$116="нет","без дифференциации",IF($V$116=0,"",$V$116))</f>
        <v/>
      </c>
      <c r="AN116" s="1813">
        <f>$I$116</f>
        <v>0</v>
      </c>
      <c r="AO116" s="1296" t="str">
        <f>$I$116&amp;"."&amp;$M$116</f>
        <v>.</v>
      </c>
      <c r="AP116" s="1288" t="str">
        <f>$I$116&amp;"."&amp;$M$116&amp;"."&amp;$Q$116</f>
        <v>..</v>
      </c>
      <c r="AQ116" s="1288" t="str">
        <f>$I$116&amp;"."&amp;$M$116&amp;"."&amp;$Q$116&amp;"."&amp;$U$116</f>
        <v>...</v>
      </c>
    </row>
    <row s="2929" customFormat="1" customHeight="1" ht="17.25" hidden="1">
      <c r="A117" s="314"/>
      <c r="C117" s="313"/>
      <c r="D117" s="1991"/>
      <c r="E117" s="1993"/>
      <c r="F117" s="1996"/>
      <c r="G117" s="1993"/>
      <c r="H117" s="1999"/>
      <c r="I117" s="2001"/>
      <c r="J117" s="2003"/>
      <c r="K117" s="1990"/>
      <c r="L117" s="1990"/>
      <c r="M117" s="1990"/>
      <c r="N117" s="2006"/>
      <c r="O117" s="1990"/>
      <c r="P117" s="1990"/>
      <c r="Q117" s="1990"/>
      <c r="R117" s="2007"/>
      <c r="S117" s="1990"/>
      <c r="T117" s="1327"/>
      <c r="U117" s="1327"/>
      <c r="V117" s="1327"/>
      <c r="W117" s="1328"/>
      <c r="X117" s="1288"/>
      <c r="Y117" s="1288"/>
      <c r="Z117" s="1288"/>
      <c r="AA117" s="1288"/>
      <c r="AB117" s="1288"/>
      <c r="AC117" s="1288"/>
      <c r="AD117" s="1288"/>
      <c r="AE117" s="1288"/>
      <c r="AF117" s="1288"/>
      <c r="AG117" s="1288"/>
      <c r="AH117" s="1288"/>
      <c r="AI117" s="1288"/>
      <c r="AJ117" s="1288"/>
      <c r="AK117" s="1288"/>
      <c r="AL117" s="1288"/>
      <c r="AM117" s="1288"/>
      <c r="AN117" s="1288"/>
      <c r="AO117" s="1288"/>
      <c r="AP117" s="1288"/>
      <c r="AQ117" s="1288"/>
    </row>
    <row s="2929" customFormat="1" customHeight="1" ht="17.25" hidden="1">
      <c r="A118" s="314"/>
      <c r="C118" s="313"/>
      <c r="D118" s="1992"/>
      <c r="E118" s="1994"/>
      <c r="F118" s="1996"/>
      <c r="G118" s="1994"/>
      <c r="H118" s="1999"/>
      <c r="I118" s="2001"/>
      <c r="J118" s="2004"/>
      <c r="K118" s="1990"/>
      <c r="L118" s="1990"/>
      <c r="M118" s="1990"/>
      <c r="N118" s="2007"/>
      <c r="O118" s="1990"/>
      <c r="P118" s="1501"/>
      <c r="Q118" s="1327"/>
      <c r="R118" s="1327"/>
      <c r="S118" s="325"/>
      <c r="T118" s="325"/>
      <c r="U118" s="325"/>
      <c r="V118" s="325"/>
      <c r="W118" s="1328"/>
      <c r="X118" s="1288"/>
      <c r="Y118" s="1288"/>
      <c r="Z118" s="1288"/>
      <c r="AA118" s="1288"/>
      <c r="AB118" s="1288"/>
      <c r="AC118" s="1288"/>
      <c r="AD118" s="1288"/>
      <c r="AE118" s="1288"/>
      <c r="AF118" s="1288"/>
      <c r="AG118" s="1288"/>
      <c r="AH118" s="1288"/>
      <c r="AI118" s="1288"/>
      <c r="AJ118" s="1288"/>
      <c r="AK118" s="1288"/>
      <c r="AL118" s="1288"/>
      <c r="AM118" s="1288"/>
      <c r="AN118" s="1288"/>
      <c r="AO118" s="1288"/>
      <c r="AP118" s="1288"/>
      <c r="AQ118" s="1288"/>
    </row>
    <row s="2929" customFormat="1" customHeight="1" ht="17.25" hidden="1">
      <c r="A119" s="314"/>
      <c r="C119" s="313"/>
      <c r="D119" s="1992"/>
      <c r="E119" s="1994"/>
      <c r="F119" s="1996"/>
      <c r="G119" s="1994"/>
      <c r="H119" s="1999"/>
      <c r="I119" s="2001"/>
      <c r="J119" s="2004"/>
      <c r="K119" s="1990"/>
      <c r="L119" s="1327"/>
      <c r="M119" s="1327"/>
      <c r="N119" s="1327"/>
      <c r="O119" s="1327"/>
      <c r="P119" s="1327"/>
      <c r="Q119" s="1327"/>
      <c r="R119" s="1327"/>
      <c r="S119" s="325"/>
      <c r="T119" s="325"/>
      <c r="U119" s="325"/>
      <c r="V119" s="325"/>
      <c r="W119" s="1328"/>
      <c r="X119" s="1288"/>
      <c r="Y119" s="1288"/>
      <c r="Z119" s="1288"/>
      <c r="AA119" s="1288"/>
      <c r="AB119" s="1288"/>
      <c r="AC119" s="1288"/>
      <c r="AD119" s="1288"/>
      <c r="AE119" s="1288"/>
      <c r="AF119" s="1288"/>
      <c r="AG119" s="1288"/>
      <c r="AH119" s="1288"/>
      <c r="AI119" s="1288"/>
      <c r="AJ119" s="1288"/>
      <c r="AK119" s="1288"/>
      <c r="AL119" s="1288"/>
      <c r="AM119" s="1288"/>
      <c r="AN119" s="1288"/>
      <c r="AO119" s="1288"/>
      <c r="AP119" s="1288"/>
      <c r="AQ119" s="1288"/>
    </row>
    <row s="2929" customFormat="1" customHeight="1" ht="17.25" hidden="1">
      <c r="A120" s="314"/>
      <c r="C120" s="313"/>
      <c r="D120" s="1992"/>
      <c r="E120" s="1994"/>
      <c r="F120" s="1997"/>
      <c r="G120" s="1994"/>
      <c r="H120" s="1329"/>
      <c r="I120" s="1330"/>
      <c r="J120" s="1330"/>
      <c r="K120" s="1330"/>
      <c r="L120" s="1330"/>
      <c r="M120" s="1330"/>
      <c r="N120" s="1330"/>
      <c r="O120" s="1330"/>
      <c r="P120" s="1330"/>
      <c r="Q120" s="1330"/>
      <c r="R120" s="1330"/>
      <c r="S120" s="1331"/>
      <c r="T120" s="1331"/>
      <c r="U120" s="1331"/>
      <c r="V120" s="1331"/>
      <c r="W120" s="1332"/>
      <c r="X120" s="1288"/>
      <c r="Y120" s="1288"/>
      <c r="Z120" s="1288"/>
      <c r="AA120" s="1288"/>
      <c r="AB120" s="1288"/>
      <c r="AC120" s="1288"/>
      <c r="AD120" s="1288"/>
      <c r="AE120" s="1288"/>
      <c r="AF120" s="1288"/>
      <c r="AG120" s="1288"/>
      <c r="AH120" s="1288"/>
      <c r="AI120" s="1288"/>
      <c r="AJ120" s="1288"/>
      <c r="AK120" s="1288"/>
      <c r="AL120" s="1288"/>
      <c r="AM120" s="1288"/>
      <c r="AN120" s="1288"/>
      <c r="AO120" s="1288"/>
      <c r="AP120" s="1288"/>
      <c r="AQ120" s="1288"/>
    </row>
    <row r="124" customHeight="1" ht="11.25">
      <c r="E124" s="1380"/>
    </row>
    <row customHeight="1" ht="11.25">
      <c r="E125" s="1380"/>
    </row>
    <row customHeight="1" ht="11.25">
      <c r="E126" s="1380"/>
    </row>
    <row customHeight="1" ht="11.25">
      <c r="E127" s="1380"/>
    </row>
    <row customHeight="1" ht="11.25">
      <c r="E128" s="1380"/>
    </row>
    <row customHeight="1" ht="11.25">
      <c r="E129" s="1380"/>
    </row>
    <row customHeight="1" ht="11.25">
      <c r="E130" s="1380"/>
    </row>
  </sheetData>
  <sheetProtection formatColumns="0" formatRows="0" autoFilter="0" sort="0" insertRows="0" insertColumns="1" deleteRows="0" deleteColumns="0"/>
  <mergeCells count="331">
    <mergeCell ref="M84:M86"/>
    <mergeCell ref="N84:N86"/>
    <mergeCell ref="O84:O86"/>
    <mergeCell ref="P84:P85"/>
    <mergeCell ref="Q84:Q85"/>
    <mergeCell ref="R84:R85"/>
    <mergeCell ref="S84:S85"/>
    <mergeCell ref="D84:D88"/>
    <mergeCell ref="E84:E88"/>
    <mergeCell ref="F84:F88"/>
    <mergeCell ref="G84:G88"/>
    <mergeCell ref="H84:H87"/>
    <mergeCell ref="I84:I87"/>
    <mergeCell ref="J84:J87"/>
    <mergeCell ref="K84:K87"/>
    <mergeCell ref="L84:L86"/>
    <mergeCell ref="M79:M81"/>
    <mergeCell ref="N79:N81"/>
    <mergeCell ref="O79:O81"/>
    <mergeCell ref="P79:P80"/>
    <mergeCell ref="Q79:Q80"/>
    <mergeCell ref="R79:R80"/>
    <mergeCell ref="S79:S80"/>
    <mergeCell ref="D74:D78"/>
    <mergeCell ref="E74:E78"/>
    <mergeCell ref="M74:M76"/>
    <mergeCell ref="D79:D83"/>
    <mergeCell ref="E79:E83"/>
    <mergeCell ref="F79:F83"/>
    <mergeCell ref="G79:G83"/>
    <mergeCell ref="H79:H82"/>
    <mergeCell ref="I79:I82"/>
    <mergeCell ref="J79:J82"/>
    <mergeCell ref="K79:K82"/>
    <mergeCell ref="L79:L81"/>
    <mergeCell ref="F74:F78"/>
    <mergeCell ref="G74:G78"/>
    <mergeCell ref="H74:H77"/>
    <mergeCell ref="I74:I77"/>
    <mergeCell ref="J74:J77"/>
    <mergeCell ref="L74:L76"/>
    <mergeCell ref="Q69:Q70"/>
    <mergeCell ref="R69:R70"/>
    <mergeCell ref="S69:S70"/>
    <mergeCell ref="K69:K72"/>
    <mergeCell ref="K64:K67"/>
    <mergeCell ref="N69:N71"/>
    <mergeCell ref="O69:O71"/>
    <mergeCell ref="P69:P70"/>
    <mergeCell ref="S74:S75"/>
    <mergeCell ref="N74:N76"/>
    <mergeCell ref="O74:O76"/>
    <mergeCell ref="P74:P75"/>
    <mergeCell ref="Q74:Q75"/>
    <mergeCell ref="R74:R75"/>
    <mergeCell ref="L69:L71"/>
    <mergeCell ref="N64:N66"/>
    <mergeCell ref="O64:O66"/>
    <mergeCell ref="P64:P65"/>
    <mergeCell ref="Q64:Q65"/>
    <mergeCell ref="R64:R65"/>
    <mergeCell ref="S64:S65"/>
    <mergeCell ref="M69:M71"/>
    <mergeCell ref="W9:W10"/>
    <mergeCell ref="O9:R9"/>
    <mergeCell ref="K9:N9"/>
    <mergeCell ref="T11:U11"/>
    <mergeCell ref="S9:V9"/>
    <mergeCell ref="T10:U10"/>
    <mergeCell ref="D64:D68"/>
    <mergeCell ref="E64:E68"/>
    <mergeCell ref="D69:D73"/>
    <mergeCell ref="E69:E73"/>
    <mergeCell ref="F69:F73"/>
    <mergeCell ref="G69:G73"/>
    <mergeCell ref="H69:H72"/>
    <mergeCell ref="I69:I72"/>
    <mergeCell ref="J69:J72"/>
    <mergeCell ref="F64:F68"/>
    <mergeCell ref="G64:G68"/>
    <mergeCell ref="H64:H67"/>
    <mergeCell ref="I64:I67"/>
    <mergeCell ref="J64:J67"/>
    <mergeCell ref="K13:K16"/>
    <mergeCell ref="G18:G22"/>
    <mergeCell ref="K18:K21"/>
    <mergeCell ref="N23:N25"/>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3:K26"/>
    <mergeCell ref="L23:L25"/>
    <mergeCell ref="P13:P14"/>
    <mergeCell ref="P23:P24"/>
    <mergeCell ref="Q23:Q24"/>
    <mergeCell ref="P18:P19"/>
    <mergeCell ref="O18:O20"/>
    <mergeCell ref="L13:L15"/>
    <mergeCell ref="M13:M15"/>
    <mergeCell ref="N13:N15"/>
    <mergeCell ref="O13:O15"/>
    <mergeCell ref="Q13:Q14"/>
    <mergeCell ref="D18:D22"/>
    <mergeCell ref="E18:E22"/>
    <mergeCell ref="F18:F22"/>
    <mergeCell ref="Q18:Q19"/>
    <mergeCell ref="R18:R19"/>
    <mergeCell ref="M23:M25"/>
    <mergeCell ref="R23:R24"/>
    <mergeCell ref="O23:O25"/>
    <mergeCell ref="H18:H21"/>
    <mergeCell ref="I18:I21"/>
    <mergeCell ref="J18:J21"/>
    <mergeCell ref="D23:D27"/>
    <mergeCell ref="E23:E27"/>
    <mergeCell ref="F23:F27"/>
    <mergeCell ref="H23:H26"/>
    <mergeCell ref="I23:I26"/>
    <mergeCell ref="J23:J26"/>
    <mergeCell ref="G23:G27"/>
    <mergeCell ref="L18:L20"/>
    <mergeCell ref="M18:M20"/>
    <mergeCell ref="N18:N20"/>
    <mergeCell ref="D48:D52"/>
    <mergeCell ref="E48:E52"/>
    <mergeCell ref="F48:F52"/>
    <mergeCell ref="H48:H51"/>
    <mergeCell ref="N38:N40"/>
    <mergeCell ref="G33:G37"/>
    <mergeCell ref="K33:K36"/>
    <mergeCell ref="G48:G52"/>
    <mergeCell ref="K48:K51"/>
    <mergeCell ref="N48:N50"/>
    <mergeCell ref="I48:I51"/>
    <mergeCell ref="J48:J51"/>
    <mergeCell ref="L48:L50"/>
    <mergeCell ref="M48:M50"/>
    <mergeCell ref="L38:L40"/>
    <mergeCell ref="M38:M40"/>
    <mergeCell ref="K38:K41"/>
    <mergeCell ref="D38:D42"/>
    <mergeCell ref="I38:I41"/>
    <mergeCell ref="J38:J41"/>
    <mergeCell ref="I33:I36"/>
    <mergeCell ref="J33:J36"/>
    <mergeCell ref="L33:L35"/>
    <mergeCell ref="M33:M35"/>
    <mergeCell ref="D33:D37"/>
    <mergeCell ref="D43:D47"/>
    <mergeCell ref="E43:E47"/>
    <mergeCell ref="F43:F47"/>
    <mergeCell ref="G43:G47"/>
    <mergeCell ref="H43:H46"/>
    <mergeCell ref="I43:I46"/>
    <mergeCell ref="J43:J46"/>
    <mergeCell ref="K43:K46"/>
    <mergeCell ref="L43:L45"/>
    <mergeCell ref="D28:D32"/>
    <mergeCell ref="E28:E32"/>
    <mergeCell ref="F28:F32"/>
    <mergeCell ref="P38:P39"/>
    <mergeCell ref="O33:O35"/>
    <mergeCell ref="Q38:Q39"/>
    <mergeCell ref="R38:R39"/>
    <mergeCell ref="O38:O40"/>
    <mergeCell ref="G28:G32"/>
    <mergeCell ref="S33:S34"/>
    <mergeCell ref="S38:S39"/>
    <mergeCell ref="E33:E37"/>
    <mergeCell ref="F33:F37"/>
    <mergeCell ref="H33:H36"/>
    <mergeCell ref="P33:P34"/>
    <mergeCell ref="Q33:Q34"/>
    <mergeCell ref="R33:R34"/>
    <mergeCell ref="S18:S19"/>
    <mergeCell ref="M90:M92"/>
    <mergeCell ref="N90:N92"/>
    <mergeCell ref="O90:O92"/>
    <mergeCell ref="P90:P91"/>
    <mergeCell ref="Q90:Q91"/>
    <mergeCell ref="R90:R91"/>
    <mergeCell ref="S90:S91"/>
    <mergeCell ref="O48:O50"/>
    <mergeCell ref="E62:W62"/>
    <mergeCell ref="E54:W54"/>
    <mergeCell ref="E55:W55"/>
    <mergeCell ref="E56:W56"/>
    <mergeCell ref="E57:W57"/>
    <mergeCell ref="E58:W58"/>
    <mergeCell ref="L64:L66"/>
    <mergeCell ref="M64:M66"/>
    <mergeCell ref="E60:W60"/>
    <mergeCell ref="E61:W61"/>
    <mergeCell ref="K74:K77"/>
    <mergeCell ref="E38:E42"/>
    <mergeCell ref="F38:F42"/>
    <mergeCell ref="H38:H41"/>
    <mergeCell ref="G38:G42"/>
    <mergeCell ref="R13:R14"/>
    <mergeCell ref="S13:S14"/>
    <mergeCell ref="M43:M45"/>
    <mergeCell ref="N43:N45"/>
    <mergeCell ref="O43:O45"/>
    <mergeCell ref="N33:N35"/>
    <mergeCell ref="D90:D94"/>
    <mergeCell ref="E90:E94"/>
    <mergeCell ref="F90:F94"/>
    <mergeCell ref="G90:G94"/>
    <mergeCell ref="H90:H93"/>
    <mergeCell ref="I90:I93"/>
    <mergeCell ref="J90:J93"/>
    <mergeCell ref="K90:K93"/>
    <mergeCell ref="L90:L92"/>
    <mergeCell ref="P48:P49"/>
    <mergeCell ref="Q48:Q49"/>
    <mergeCell ref="R48:R49"/>
    <mergeCell ref="S48:S49"/>
    <mergeCell ref="P43:P44"/>
    <mergeCell ref="Q43:Q44"/>
    <mergeCell ref="R43:R44"/>
    <mergeCell ref="S43:S44"/>
    <mergeCell ref="S23:S24"/>
    <mergeCell ref="P100:P101"/>
    <mergeCell ref="Q100:Q101"/>
    <mergeCell ref="R100:R101"/>
    <mergeCell ref="S100:S101"/>
    <mergeCell ref="D95:D99"/>
    <mergeCell ref="E95:E99"/>
    <mergeCell ref="F95:F99"/>
    <mergeCell ref="G95:G99"/>
    <mergeCell ref="H95:H98"/>
    <mergeCell ref="I95:I98"/>
    <mergeCell ref="J95:J98"/>
    <mergeCell ref="K95:K98"/>
    <mergeCell ref="L95:L97"/>
    <mergeCell ref="S106:S107"/>
    <mergeCell ref="D106:D110"/>
    <mergeCell ref="E106:E110"/>
    <mergeCell ref="F106:F110"/>
    <mergeCell ref="G106:G110"/>
    <mergeCell ref="M95:M97"/>
    <mergeCell ref="N95:N97"/>
    <mergeCell ref="O95:O97"/>
    <mergeCell ref="P95:P96"/>
    <mergeCell ref="Q95:Q96"/>
    <mergeCell ref="R95:R96"/>
    <mergeCell ref="S95:S96"/>
    <mergeCell ref="D100:D104"/>
    <mergeCell ref="E100:E104"/>
    <mergeCell ref="F100:F104"/>
    <mergeCell ref="G100:G104"/>
    <mergeCell ref="H100:H103"/>
    <mergeCell ref="I100:I103"/>
    <mergeCell ref="J100:J103"/>
    <mergeCell ref="K100:K103"/>
    <mergeCell ref="L100:L102"/>
    <mergeCell ref="M100:M102"/>
    <mergeCell ref="N100:N102"/>
    <mergeCell ref="O100:O102"/>
    <mergeCell ref="O106:O108"/>
    <mergeCell ref="M111:M113"/>
    <mergeCell ref="N111:N113"/>
    <mergeCell ref="O111:O113"/>
    <mergeCell ref="P106:P107"/>
    <mergeCell ref="Q106:Q107"/>
    <mergeCell ref="R106:R107"/>
    <mergeCell ref="P111:P112"/>
    <mergeCell ref="Q111:Q112"/>
    <mergeCell ref="R111:R112"/>
    <mergeCell ref="K111:K114"/>
    <mergeCell ref="L111:L113"/>
    <mergeCell ref="H106:H109"/>
    <mergeCell ref="I106:I109"/>
    <mergeCell ref="J106:J109"/>
    <mergeCell ref="K106:K109"/>
    <mergeCell ref="L106:L108"/>
    <mergeCell ref="M106:M108"/>
    <mergeCell ref="N106:N108"/>
    <mergeCell ref="S111:S112"/>
    <mergeCell ref="D116:D120"/>
    <mergeCell ref="E116:E120"/>
    <mergeCell ref="F116:F120"/>
    <mergeCell ref="G116:G120"/>
    <mergeCell ref="H116:H119"/>
    <mergeCell ref="I116:I119"/>
    <mergeCell ref="J116:J119"/>
    <mergeCell ref="K116:K119"/>
    <mergeCell ref="L116:L118"/>
    <mergeCell ref="M116:M118"/>
    <mergeCell ref="N116:N118"/>
    <mergeCell ref="O116:O118"/>
    <mergeCell ref="P116:P117"/>
    <mergeCell ref="Q116:Q117"/>
    <mergeCell ref="R116:R117"/>
    <mergeCell ref="S116:S117"/>
    <mergeCell ref="D111:D115"/>
    <mergeCell ref="E111:E115"/>
    <mergeCell ref="F111:F115"/>
    <mergeCell ref="G111:G115"/>
    <mergeCell ref="H111:H114"/>
    <mergeCell ref="I111:I114"/>
    <mergeCell ref="J111:J114"/>
    <mergeCell ref="I28:I31"/>
    <mergeCell ref="L28:L30"/>
    <mergeCell ref="N28:N30"/>
    <mergeCell ref="J28:J31"/>
    <mergeCell ref="H28:H31"/>
    <mergeCell ref="M28:M30"/>
    <mergeCell ref="O28:O30"/>
    <mergeCell ref="S28:S29"/>
    <mergeCell ref="P28:P29"/>
    <mergeCell ref="Q28:Q29"/>
    <mergeCell ref="R28:R29"/>
    <mergeCell ref="K28:K31"/>
  </mergeCells>
  <dataValidations count="17">
    <dataValidation allowBlank="1" showInputMessage="1" showErrorMessage="1" prompt="Выберите виды деятельности, выполнив двойной щелчок левой кнопки мыши по ячейке." sqref="G13:G52 G64:G88 G90:G104 G106:G12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18:N20 N38:N40 N23:N25 N33:N35 N13:N15 N64:N66 N79:N81 N84:N86 N69:N71 N74:N76 N48:N50 N90:N92 N95:N97 N100:N102 N111:N113 N106:N108 N116:N118">
      <formula1>DESCRIPTION_TERRITORY</formula1>
    </dataValidation>
    <dataValidation type="textLength" operator="lessThanOrEqual" allowBlank="1" showInputMessage="1" showErrorMessage="1" errorTitle="Ошибка" error="Допускается ввод не более 900 символов!" sqref="J33:J34 J13:J14 J43:J44 R43:R44 V43:W43 J18:J19 J38:J39 J23:J24 R33:R34 R13:R14 R18:R19 R38:R39 R23:R24 V33:W33 V13:W13 V18:W18 V38:W38 V23:W23 J64:J65 R64:R65 V64:W64 J69:J70 R69:R70 V69:W69 J79:J80 R79:R80 V79:W79 J74:J75 R74:R75 V74:W74 J84:J85 R84:R85 V84:W84 J48:J49 R48:R49 V48:W48 J90:J91 R90:R91 V90:W90 J95:J96 R95:R96 V95:W95 J100:J101 R100:R101 V100:W100 J111:J112 R111:R112 V111:W111 J106:J107 R106:R107 V106:W106 J116:J117 R116:R117 V116:W116">
      <formula1>900</formula1>
    </dataValidation>
    <dataValidation allowBlank="1" showInputMessage="1" showErrorMessage="1" prompt="Для выбора выполните двойной щелчок левой клавиши мыши по соответствующей ячейке." sqref="K33:K34 K13:K14 K43:K44 O43:O44 S43:S44 K18:K19 K38:K39 K23:K24 O33:O34 O18:O19 O38:O39 O23:O24 S33:S34 S18:S19 S38:S39 S23:S24 F13:F52 O13:O14 S13:S14 K64:K65 O64:O65 S64:S65 K69:K70 O69:O70 S69:S70 K79:K80 O79:O80 S79:S80 K74:K75 O74:O75 K84:K85 O84:O85 S48:S49 S74:S75 S84:S85 K48:K49 O48:O49 F64:F88 O90:O91 S90:S91 O95:O96 S95:S96 S100:S101 K90:K91 K95:K96 K100:K101 O100:O101 F90:F104 K111:K112 O111:O112 K106:K107 O106:O107 S111:S112 F106:F120 S106:S107 K116:K117 O116:O117 S116:S117"/>
    <dataValidation type="textLength" operator="lessThanOrEqual" allowBlank="1" showInputMessage="1" showErrorMessage="1" errorTitle="Ошибка" error="Допускается ввод не более 900 символов!" sqref="J28">
      <formula1>900</formula1>
    </dataValidation>
    <dataValidation allowBlank="1" showInputMessage="1" showErrorMessage="1" prompt="Для выбора выполните двойной щелчок левой клавиши мыши по соответствующей ячейке." sqref="K2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8"/>
    <dataValidation allowBlank="1" showInputMessage="1" showErrorMessage="1" prompt="Для выбора выполните двойной щелчок левой клавиши мыши по соответствующей ячейке." sqref="O28"/>
    <dataValidation type="textLength" operator="lessThanOrEqual" allowBlank="1" showInputMessage="1" showErrorMessage="1" errorTitle="Ошибка" error="Допускается ввод не более 900 символов!" sqref="R28">
      <formula1>900</formula1>
    </dataValidation>
    <dataValidation allowBlank="1" showInputMessage="1" showErrorMessage="1" prompt="Для выбора выполните двойной щелчок левой клавиши мыши по соответствующей ячейке." sqref="S28"/>
    <dataValidation type="textLength" operator="lessThanOrEqual" allowBlank="1" showInputMessage="1" showErrorMessage="1" errorTitle="Ошибка" error="Допускается ввод не более 900 символов!" sqref="V28">
      <formula1>900</formula1>
    </dataValidation>
    <dataValidation type="textLength" operator="lessThanOrEqual" allowBlank="1" showInputMessage="1" showErrorMessage="1" errorTitle="Ошибка" error="Допускается ввод не более 900 символов!" sqref="W28">
      <formula1>900</formula1>
    </dataValidation>
    <dataValidation type="textLength" operator="lessThanOrEqual" allowBlank="1" showInputMessage="1" showErrorMessage="1" errorTitle="Ошибка" error="Допускается ввод не более 900 символов!" sqref="J2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9"/>
    <dataValidation type="textLength" operator="lessThanOrEqual" allowBlank="1" showInputMessage="1" showErrorMessage="1" errorTitle="Ошибка" error="Допускается ввод не более 900 символов!" sqref="R29">
      <formula1>900</formula1>
    </dataValidation>
    <dataValidation allowBlank="1" showInputMessage="1" showErrorMessage="1" prompt="Для выбора выполните двойной щелчок левой клавиши мыши по соответствующей ячейке." sqref="S2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8B31CF8-8E07-72E5-7B72-F79EDA8DC189}" mc:Ignorable="x14ac xr xr2 xr3">
  <sheetPr>
    <tabColor rgb="FFCCCCFF"/>
  </sheetPr>
  <dimension ref="A1:BL49"/>
  <sheetViews>
    <sheetView topLeftCell="A1" showGridLines="0" zoomScale="90" workbookViewId="0">
      <selection activeCell="A1" sqref="A1"/>
    </sheetView>
  </sheetViews>
  <sheetFormatPr defaultColWidth="9.140625" customHeight="1" defaultRowHeight="11.25"/>
  <cols>
    <col min="1" max="2" style="2746" width="9.140625" hidden="1"/>
    <col min="3" max="4" style="2746" width="3.7109375" customWidth="1"/>
    <col min="5" max="6" style="2746" width="16.00390625" customWidth="1"/>
    <col min="7" max="7" style="2746" width="11.57421875" customWidth="1"/>
    <col min="8" max="9" style="2746" width="3.7109375" customWidth="1"/>
    <col min="10" max="10" style="2746" width="13.140625" customWidth="1"/>
    <col min="11" max="11" style="2746" width="0.28125" customWidth="1"/>
    <col min="12" max="13" style="2746" width="10.7109375" customWidth="1"/>
    <col min="14" max="15" style="2746" width="3.7109375" customWidth="1"/>
    <col min="16" max="16" style="2746" width="19.7109375" customWidth="1"/>
    <col min="17" max="17" style="2746" width="0.28125" customWidth="1"/>
    <col min="18" max="19" style="2746" width="10.7109375" customWidth="1"/>
    <col min="20" max="21" style="2746" width="3.7109375" customWidth="1"/>
    <col min="22" max="22" style="2746" width="25.7109375" customWidth="1"/>
    <col min="23" max="23" style="2746" width="0.28125" customWidth="1"/>
    <col min="24" max="25" style="2746" width="10.7109375" customWidth="1"/>
    <col min="26" max="27" style="2746" width="3.7109375" customWidth="1"/>
    <col min="28" max="28" style="2746" width="16.421875" customWidth="1"/>
    <col min="29" max="29" style="2746" width="0.28125" customWidth="1"/>
    <col min="30" max="31" style="2746" width="10.7109375" customWidth="1"/>
    <col min="32" max="33" style="2746" width="3.7109375" customWidth="1"/>
    <col min="34" max="34" style="2746" width="8.7109375" customWidth="1"/>
    <col min="35" max="35" style="2746" width="21.7109375" customWidth="1"/>
    <col min="36" max="36" style="2665" width="9.140625"/>
    <col min="37" max="37" style="2937" width="9.140625"/>
    <col min="38" max="64" style="2665" width="9.140625"/>
  </cols>
  <sheetData>
    <row s="2673" customFormat="1" customHeight="1" ht="11.25" hidden="1">
      <c r="AJ1" s="428"/>
      <c r="AK1" s="428"/>
      <c r="AL1" s="428"/>
      <c r="AM1" s="428"/>
      <c r="AN1" s="428"/>
      <c r="AO1" s="428"/>
      <c r="AP1" s="428"/>
      <c r="AQ1" s="428"/>
      <c r="AR1" s="428"/>
      <c r="AS1" s="428"/>
      <c r="AT1" s="428"/>
      <c r="AU1" s="428"/>
      <c r="AV1" s="428"/>
      <c r="AW1" s="428"/>
      <c r="AX1" s="428"/>
      <c r="AY1" s="428"/>
      <c r="AZ1" s="428"/>
      <c r="BA1" s="428"/>
      <c r="BB1" s="428"/>
      <c r="BC1" s="428"/>
      <c r="BD1" s="428"/>
      <c r="BE1" s="428"/>
      <c r="BF1" s="428"/>
      <c r="BG1" s="428"/>
      <c r="BH1" s="428"/>
      <c r="BI1" s="428"/>
      <c r="BJ1" s="428"/>
      <c r="BK1" s="428"/>
      <c r="BL1" s="428"/>
    </row>
    <row s="2933" customFormat="1" customHeight="1" ht="11.25" hidden="1">
      <c r="L2" s="1593" t="s">
        <v>272</v>
      </c>
      <c r="M2" s="1593" t="s">
        <v>273</v>
      </c>
      <c r="R2" s="1593" t="s">
        <v>274</v>
      </c>
      <c r="S2" s="1593" t="s">
        <v>273</v>
      </c>
      <c r="X2" s="1593" t="s">
        <v>272</v>
      </c>
      <c r="Y2" s="1593" t="s">
        <v>273</v>
      </c>
      <c r="AD2" s="1593" t="s">
        <v>272</v>
      </c>
      <c r="AE2" s="1593" t="s">
        <v>273</v>
      </c>
      <c r="AJ2" s="1615"/>
      <c r="AK2" s="1615"/>
      <c r="AL2" s="1615"/>
      <c r="AM2" s="1615"/>
      <c r="AN2" s="1615"/>
      <c r="AO2" s="1615"/>
      <c r="AP2" s="1615"/>
      <c r="AQ2" s="1615"/>
      <c r="AR2" s="1615"/>
      <c r="AS2" s="1615"/>
      <c r="AT2" s="1615"/>
      <c r="AU2" s="1615"/>
      <c r="AV2" s="1615"/>
      <c r="AW2" s="1615"/>
      <c r="AX2" s="1615"/>
      <c r="AY2" s="1615"/>
      <c r="AZ2" s="1615"/>
      <c r="BA2" s="1615"/>
      <c r="BB2" s="1615"/>
      <c r="BC2" s="1615"/>
      <c r="BD2" s="1615"/>
      <c r="BE2" s="1615"/>
      <c r="BF2" s="1615"/>
      <c r="BG2" s="1615"/>
      <c r="BH2" s="1615"/>
      <c r="BI2" s="1615"/>
      <c r="BJ2" s="1615"/>
      <c r="BK2" s="1615"/>
      <c r="BL2" s="1615"/>
    </row>
    <row s="2935" customFormat="1" customHeight="1" ht="11.25">
      <c r="AJ3" s="1614"/>
      <c r="AK3" s="295"/>
      <c r="AL3" s="1614"/>
      <c r="AM3" s="1614"/>
      <c r="AN3" s="1614"/>
      <c r="AO3" s="1614"/>
      <c r="AP3" s="1614"/>
      <c r="AQ3" s="1614"/>
      <c r="AR3" s="1614"/>
      <c r="AS3" s="1614"/>
      <c r="AT3" s="1614"/>
      <c r="AU3" s="1614"/>
      <c r="AV3" s="1614"/>
      <c r="AW3" s="1614"/>
      <c r="AX3" s="1614"/>
      <c r="AY3" s="1614"/>
      <c r="AZ3" s="1614"/>
      <c r="BA3" s="1614"/>
      <c r="BB3" s="1614"/>
      <c r="BC3" s="1614"/>
      <c r="BD3" s="1614"/>
      <c r="BE3" s="1614"/>
      <c r="BF3" s="1614"/>
      <c r="BG3" s="1614"/>
      <c r="BH3" s="1614"/>
      <c r="BI3" s="1614"/>
      <c r="BJ3" s="1614"/>
      <c r="BK3" s="1614"/>
      <c r="BL3" s="1614"/>
    </row>
    <row s="2656" customFormat="1" customHeight="1" ht="33">
      <c r="A4" s="1164"/>
      <c r="B4" s="1163"/>
      <c r="C4" s="1545"/>
      <c r="D4" s="2027" t="s">
        <v>275</v>
      </c>
      <c r="E4" s="2027"/>
      <c r="F4" s="2027"/>
      <c r="G4" s="2027"/>
      <c r="H4" s="2027"/>
      <c r="I4" s="2027"/>
      <c r="J4" s="2027"/>
      <c r="K4" s="705"/>
      <c r="T4" s="1595"/>
      <c r="AJ4" s="1616"/>
      <c r="AK4" s="1617"/>
      <c r="AL4" s="1616"/>
      <c r="AM4" s="1616"/>
      <c r="AN4" s="1616"/>
      <c r="AO4" s="1616"/>
      <c r="AP4" s="1616"/>
      <c r="AQ4" s="1616"/>
      <c r="AR4" s="1616"/>
      <c r="AS4" s="1616"/>
      <c r="AT4" s="1616"/>
      <c r="AU4" s="1616"/>
      <c r="AV4" s="1616"/>
      <c r="AW4" s="1616"/>
      <c r="AX4" s="1616"/>
      <c r="AY4" s="1616"/>
      <c r="AZ4" s="1616"/>
      <c r="BA4" s="1616"/>
      <c r="BB4" s="1616"/>
      <c r="BC4" s="1616"/>
      <c r="BD4" s="1616"/>
      <c r="BE4" s="1616"/>
      <c r="BF4" s="1616"/>
      <c r="BG4" s="1616"/>
      <c r="BH4" s="1616"/>
      <c r="BI4" s="1616"/>
      <c r="BJ4" s="1616"/>
      <c r="BK4" s="1616"/>
      <c r="BL4" s="1616"/>
    </row>
    <row s="2946" customFormat="1" customHeight="1" ht="14.25">
      <c r="A5" s="1672"/>
      <c r="B5" s="1671"/>
      <c r="C5" s="1545"/>
      <c r="D5" s="2053" t="str">
        <f>IF(org=0,"Не определено",org)</f>
        <v>ЗАО "Байкалэнерго"</v>
      </c>
      <c r="E5" s="2053"/>
      <c r="F5" s="2053"/>
      <c r="G5" s="2053"/>
      <c r="H5" s="2053"/>
      <c r="I5" s="2053"/>
      <c r="J5" s="2053"/>
      <c r="K5" s="705"/>
      <c r="T5" s="1595"/>
      <c r="AJ5" s="1616"/>
      <c r="AK5" s="1617"/>
      <c r="AL5" s="1616"/>
      <c r="AM5" s="1616"/>
      <c r="AN5" s="1616"/>
      <c r="AO5" s="1616"/>
      <c r="AP5" s="1616"/>
      <c r="AQ5" s="1616"/>
      <c r="AR5" s="1616"/>
      <c r="AS5" s="1616"/>
      <c r="AT5" s="1616"/>
      <c r="AU5" s="1616"/>
      <c r="AV5" s="1616"/>
      <c r="AW5" s="1616"/>
      <c r="AX5" s="1616"/>
      <c r="AY5" s="1616"/>
      <c r="AZ5" s="1616"/>
      <c r="BA5" s="1616"/>
      <c r="BB5" s="1616"/>
      <c r="BC5" s="1616"/>
      <c r="BD5" s="1616"/>
      <c r="BE5" s="1616"/>
      <c r="BF5" s="1616"/>
      <c r="BG5" s="1616"/>
      <c r="BH5" s="1616"/>
      <c r="BI5" s="1616"/>
      <c r="BJ5" s="1616"/>
      <c r="BK5" s="1616"/>
      <c r="BL5" s="1616"/>
    </row>
    <row s="2656" customFormat="1" customHeight="1" ht="14.25">
      <c r="A6" s="1164"/>
      <c r="B6" s="1163"/>
      <c r="C6" s="1545"/>
      <c r="D6" s="705"/>
      <c r="E6" s="705"/>
      <c r="F6" s="705"/>
      <c r="G6" s="705"/>
      <c r="H6" s="705"/>
      <c r="I6" s="705"/>
      <c r="J6" s="705"/>
      <c r="K6" s="705"/>
      <c r="T6" s="1595"/>
      <c r="AJ6" s="1616"/>
      <c r="AK6" s="1617"/>
      <c r="AL6" s="1616"/>
      <c r="AM6" s="1616"/>
      <c r="AN6" s="1616"/>
      <c r="AO6" s="1616"/>
      <c r="AP6" s="1616"/>
      <c r="AQ6" s="1616"/>
      <c r="AR6" s="1616"/>
      <c r="AS6" s="1616"/>
      <c r="AT6" s="1616"/>
      <c r="AU6" s="1616"/>
      <c r="AV6" s="1616"/>
      <c r="AW6" s="1616"/>
      <c r="AX6" s="1616"/>
      <c r="AY6" s="1616"/>
      <c r="AZ6" s="1616"/>
      <c r="BA6" s="1616"/>
      <c r="BB6" s="1616"/>
      <c r="BC6" s="1616"/>
      <c r="BD6" s="1616"/>
      <c r="BE6" s="1616"/>
      <c r="BF6" s="1616"/>
      <c r="BG6" s="1616"/>
      <c r="BH6" s="1616"/>
      <c r="BI6" s="1616"/>
      <c r="BJ6" s="1616"/>
      <c r="BK6" s="1616"/>
      <c r="BL6" s="1616"/>
    </row>
    <row s="2673" customFormat="1" customHeight="1" ht="0.75">
      <c r="AJ7" s="428"/>
      <c r="AK7" s="428"/>
      <c r="AL7" s="428"/>
      <c r="AM7" s="428"/>
      <c r="AN7" s="428"/>
      <c r="AO7" s="428"/>
      <c r="AP7" s="428"/>
      <c r="AQ7" s="428"/>
      <c r="AR7" s="428"/>
      <c r="AS7" s="428"/>
      <c r="AT7" s="428"/>
      <c r="AU7" s="428"/>
      <c r="AV7" s="428"/>
      <c r="AW7" s="428"/>
      <c r="AX7" s="428"/>
      <c r="AY7" s="428"/>
      <c r="AZ7" s="428"/>
      <c r="BA7" s="428"/>
      <c r="BB7" s="428"/>
      <c r="BC7" s="428"/>
      <c r="BD7" s="428"/>
      <c r="BE7" s="428"/>
      <c r="BF7" s="428"/>
      <c r="BG7" s="428"/>
      <c r="BH7" s="428"/>
      <c r="BI7" s="428"/>
      <c r="BJ7" s="428"/>
      <c r="BK7" s="428"/>
      <c r="BL7" s="428"/>
    </row>
    <row customHeight="1" ht="31.5">
      <c r="D8" s="1971" t="s">
        <v>88</v>
      </c>
      <c r="E8" s="1971" t="s">
        <v>106</v>
      </c>
      <c r="F8" s="2029" t="s">
        <v>123</v>
      </c>
      <c r="G8" s="2030"/>
      <c r="H8" s="2029" t="s">
        <v>88</v>
      </c>
      <c r="I8" s="2030"/>
      <c r="J8" s="1971" t="s">
        <v>124</v>
      </c>
      <c r="K8" s="1596"/>
      <c r="L8" s="2033" t="s">
        <v>276</v>
      </c>
      <c r="M8" s="2033"/>
      <c r="N8" s="2033"/>
      <c r="O8" s="2033"/>
      <c r="P8" s="2033"/>
      <c r="Q8" s="1597"/>
      <c r="R8" s="1950" t="s">
        <v>277</v>
      </c>
      <c r="S8" s="2034"/>
      <c r="T8" s="2034"/>
      <c r="U8" s="2034"/>
      <c r="V8" s="2034"/>
      <c r="W8" s="1597"/>
      <c r="X8" s="2035" t="s">
        <v>278</v>
      </c>
      <c r="Y8" s="2035"/>
      <c r="Z8" s="2035"/>
      <c r="AA8" s="2035"/>
      <c r="AB8" s="2035"/>
      <c r="AC8" s="1598"/>
      <c r="AD8" s="1971" t="s">
        <v>279</v>
      </c>
      <c r="AE8" s="1971"/>
      <c r="AF8" s="1971"/>
      <c r="AG8" s="1971"/>
      <c r="AH8" s="1955"/>
      <c r="AI8" s="1971" t="s">
        <v>280</v>
      </c>
      <c r="AJ8" s="1614"/>
    </row>
    <row customHeight="1" ht="22.5">
      <c r="D9" s="1971"/>
      <c r="E9" s="1971"/>
      <c r="F9" s="2028" t="s">
        <v>89</v>
      </c>
      <c r="G9" s="2028" t="s">
        <v>129</v>
      </c>
      <c r="H9" s="2031"/>
      <c r="I9" s="2032"/>
      <c r="J9" s="1955"/>
      <c r="K9" s="1599"/>
      <c r="L9" s="1971" t="s">
        <v>281</v>
      </c>
      <c r="M9" s="1955"/>
      <c r="N9" s="2029" t="s">
        <v>88</v>
      </c>
      <c r="O9" s="2030"/>
      <c r="P9" s="1971" t="s">
        <v>130</v>
      </c>
      <c r="Q9" s="1596"/>
      <c r="R9" s="1971" t="s">
        <v>281</v>
      </c>
      <c r="S9" s="1955"/>
      <c r="T9" s="2029" t="s">
        <v>88</v>
      </c>
      <c r="U9" s="2030"/>
      <c r="V9" s="1971" t="s">
        <v>130</v>
      </c>
      <c r="W9" s="1596"/>
      <c r="X9" s="1971" t="s">
        <v>281</v>
      </c>
      <c r="Y9" s="1955"/>
      <c r="Z9" s="2029" t="s">
        <v>88</v>
      </c>
      <c r="AA9" s="2030"/>
      <c r="AB9" s="1971" t="s">
        <v>282</v>
      </c>
      <c r="AC9" s="1596"/>
      <c r="AD9" s="1971" t="s">
        <v>281</v>
      </c>
      <c r="AE9" s="1955"/>
      <c r="AF9" s="2029" t="s">
        <v>88</v>
      </c>
      <c r="AG9" s="2030"/>
      <c r="AH9" s="1955" t="s">
        <v>282</v>
      </c>
      <c r="AI9" s="1971"/>
      <c r="AJ9" s="1614"/>
    </row>
    <row customHeight="1" ht="22.5">
      <c r="D10" s="2028"/>
      <c r="E10" s="2028"/>
      <c r="F10" s="2036"/>
      <c r="G10" s="2036"/>
      <c r="H10" s="2037"/>
      <c r="I10" s="2038"/>
      <c r="J10" s="2029"/>
      <c r="K10" s="1599"/>
      <c r="L10" s="1618" t="s">
        <v>283</v>
      </c>
      <c r="M10" s="1613" t="s">
        <v>284</v>
      </c>
      <c r="N10" s="2031"/>
      <c r="O10" s="2032"/>
      <c r="P10" s="2028"/>
      <c r="Q10" s="1596"/>
      <c r="R10" s="1618" t="s">
        <v>283</v>
      </c>
      <c r="S10" s="1613" t="s">
        <v>284</v>
      </c>
      <c r="T10" s="2031"/>
      <c r="U10" s="2032"/>
      <c r="V10" s="2028"/>
      <c r="W10" s="1596"/>
      <c r="X10" s="1618" t="s">
        <v>283</v>
      </c>
      <c r="Y10" s="1613" t="s">
        <v>284</v>
      </c>
      <c r="Z10" s="2031"/>
      <c r="AA10" s="2032"/>
      <c r="AB10" s="2028"/>
      <c r="AC10" s="1596"/>
      <c r="AD10" s="1618" t="s">
        <v>283</v>
      </c>
      <c r="AE10" s="1613" t="s">
        <v>284</v>
      </c>
      <c r="AF10" s="2031"/>
      <c r="AG10" s="2032"/>
      <c r="AH10" s="2029"/>
      <c r="AI10" s="2028"/>
      <c r="AJ10" s="1614"/>
      <c r="AK10" s="240" t="s">
        <v>285</v>
      </c>
      <c r="AL10" s="240" t="s">
        <v>131</v>
      </c>
    </row>
    <row customHeight="1" ht="14.25">
      <c r="D11" s="2039" t="s">
        <v>110</v>
      </c>
      <c r="E11" s="2041" t="s">
        <v>286</v>
      </c>
      <c r="F11" s="2041" t="s">
        <v>287</v>
      </c>
      <c r="G11" s="2044" t="s">
        <v>57</v>
      </c>
      <c r="H11" s="1639"/>
      <c r="I11" s="2046"/>
      <c r="J11" s="2002"/>
      <c r="K11" s="1544"/>
      <c r="L11" s="1989"/>
      <c r="M11" s="1989"/>
      <c r="N11" s="1624"/>
      <c r="O11" s="1989"/>
      <c r="P11" s="2002"/>
      <c r="Q11" s="1625"/>
      <c r="R11" s="1989"/>
      <c r="S11" s="1989"/>
      <c r="T11" s="1626"/>
      <c r="U11" s="1989"/>
      <c r="V11" s="2002"/>
      <c r="W11" s="1627"/>
      <c r="X11" s="1989"/>
      <c r="Y11" s="1989"/>
      <c r="Z11" s="1624"/>
      <c r="AA11" s="1989"/>
      <c r="AB11" s="2002"/>
      <c r="AC11" s="1628"/>
      <c r="AD11" s="1989"/>
      <c r="AE11" s="1989"/>
      <c r="AF11" s="1543"/>
      <c r="AG11" s="1543"/>
      <c r="AH11" s="1629"/>
      <c r="AI11" s="1326"/>
      <c r="AJ11" s="1614"/>
    </row>
    <row customHeight="1" ht="14.25">
      <c r="D12" s="2039"/>
      <c r="E12" s="2041"/>
      <c r="F12" s="2041"/>
      <c r="G12" s="2045"/>
      <c r="H12" s="1640"/>
      <c r="I12" s="2047"/>
      <c r="J12" s="2003"/>
      <c r="K12" s="1650"/>
      <c r="L12" s="1990"/>
      <c r="M12" s="1990"/>
      <c r="N12" s="1630"/>
      <c r="O12" s="1990"/>
      <c r="P12" s="2003"/>
      <c r="Q12" s="1631"/>
      <c r="R12" s="1990"/>
      <c r="S12" s="1990"/>
      <c r="T12" s="1632"/>
      <c r="U12" s="1990"/>
      <c r="V12" s="2003"/>
      <c r="W12" s="1633"/>
      <c r="X12" s="1990"/>
      <c r="Y12" s="1990"/>
      <c r="Z12" s="1630"/>
      <c r="AA12" s="1990"/>
      <c r="AB12" s="2003"/>
      <c r="AC12" s="1634"/>
      <c r="AD12" s="1990"/>
      <c r="AE12" s="1990"/>
      <c r="AF12" s="1635"/>
      <c r="AG12" s="1635"/>
      <c r="AH12" s="2050"/>
      <c r="AI12" s="2051"/>
      <c r="AJ12" s="1614"/>
    </row>
    <row customHeight="1" ht="14.25">
      <c r="D13" s="2039"/>
      <c r="E13" s="2041"/>
      <c r="F13" s="2041"/>
      <c r="G13" s="2045"/>
      <c r="H13" s="1640"/>
      <c r="I13" s="2047"/>
      <c r="J13" s="2003"/>
      <c r="K13" s="1650"/>
      <c r="L13" s="1990"/>
      <c r="M13" s="1990"/>
      <c r="N13" s="1630"/>
      <c r="O13" s="1990"/>
      <c r="P13" s="2003"/>
      <c r="Q13" s="1631"/>
      <c r="R13" s="1990"/>
      <c r="S13" s="1990"/>
      <c r="T13" s="1632"/>
      <c r="U13" s="1990"/>
      <c r="V13" s="2003"/>
      <c r="W13" s="1633"/>
      <c r="X13" s="1990"/>
      <c r="Y13" s="1990"/>
      <c r="Z13" s="1542"/>
      <c r="AA13" s="1635"/>
      <c r="AB13" s="2050"/>
      <c r="AC13" s="2050"/>
      <c r="AD13" s="2050"/>
      <c r="AE13" s="2050"/>
      <c r="AF13" s="2050"/>
      <c r="AG13" s="2050"/>
      <c r="AH13" s="2050"/>
      <c r="AI13" s="2051"/>
      <c r="AJ13" s="1614"/>
    </row>
    <row customHeight="1" ht="14.25">
      <c r="D14" s="2039"/>
      <c r="E14" s="2041"/>
      <c r="F14" s="2041"/>
      <c r="G14" s="2045"/>
      <c r="H14" s="1640"/>
      <c r="I14" s="2047"/>
      <c r="J14" s="2003"/>
      <c r="K14" s="1650"/>
      <c r="L14" s="1990"/>
      <c r="M14" s="1990"/>
      <c r="N14" s="1630"/>
      <c r="O14" s="1990"/>
      <c r="P14" s="2003"/>
      <c r="Q14" s="1631"/>
      <c r="R14" s="1990"/>
      <c r="S14" s="1990"/>
      <c r="T14" s="1636"/>
      <c r="U14" s="1637"/>
      <c r="V14" s="2050"/>
      <c r="W14" s="2050"/>
      <c r="X14" s="2050"/>
      <c r="Y14" s="2050"/>
      <c r="Z14" s="2050"/>
      <c r="AA14" s="2050"/>
      <c r="AB14" s="2050"/>
      <c r="AC14" s="2050"/>
      <c r="AD14" s="2050"/>
      <c r="AE14" s="2050"/>
      <c r="AF14" s="2050"/>
      <c r="AG14" s="2050"/>
      <c r="AH14" s="2050"/>
      <c r="AI14" s="2051"/>
      <c r="AJ14" s="1614"/>
    </row>
    <row customHeight="1" ht="11.25">
      <c r="D15" s="2039"/>
      <c r="E15" s="2041"/>
      <c r="F15" s="2041"/>
      <c r="G15" s="2045"/>
      <c r="H15" s="1641"/>
      <c r="I15" s="2047"/>
      <c r="J15" s="2003"/>
      <c r="K15" s="1650"/>
      <c r="L15" s="1990"/>
      <c r="M15" s="1990"/>
      <c r="N15" s="1635"/>
      <c r="O15" s="1635"/>
      <c r="P15" s="2050"/>
      <c r="Q15" s="2050"/>
      <c r="R15" s="2050"/>
      <c r="S15" s="2050"/>
      <c r="T15" s="2050"/>
      <c r="U15" s="2050"/>
      <c r="V15" s="2050"/>
      <c r="W15" s="2050"/>
      <c r="X15" s="2050"/>
      <c r="Y15" s="2050"/>
      <c r="Z15" s="2050"/>
      <c r="AA15" s="2050"/>
      <c r="AB15" s="2050"/>
      <c r="AC15" s="2050"/>
      <c r="AD15" s="2050"/>
      <c r="AE15" s="2050"/>
      <c r="AF15" s="2050"/>
      <c r="AG15" s="2050"/>
      <c r="AH15" s="2050"/>
      <c r="AI15" s="2051"/>
      <c r="AJ15" s="1614"/>
    </row>
    <row s="2935" customFormat="1" customHeight="1" ht="11.25">
      <c r="D16" s="2040"/>
      <c r="E16" s="2042"/>
      <c r="F16" s="2043"/>
      <c r="G16" s="1986"/>
      <c r="H16" s="1638"/>
      <c r="I16" s="1642"/>
      <c r="J16" s="2048"/>
      <c r="K16" s="2048"/>
      <c r="L16" s="2048"/>
      <c r="M16" s="2048"/>
      <c r="N16" s="2048"/>
      <c r="O16" s="2048"/>
      <c r="P16" s="2048"/>
      <c r="Q16" s="2048"/>
      <c r="R16" s="2048"/>
      <c r="S16" s="2048"/>
      <c r="T16" s="2048"/>
      <c r="U16" s="2048"/>
      <c r="V16" s="2048"/>
      <c r="W16" s="2048"/>
      <c r="X16" s="2048"/>
      <c r="Y16" s="2048"/>
      <c r="Z16" s="2048"/>
      <c r="AA16" s="2048"/>
      <c r="AB16" s="2048"/>
      <c r="AC16" s="2048"/>
      <c r="AD16" s="2048"/>
      <c r="AE16" s="2048"/>
      <c r="AF16" s="2048"/>
      <c r="AG16" s="2048"/>
      <c r="AH16" s="2048"/>
      <c r="AI16" s="2049"/>
      <c r="AJ16" s="1614"/>
      <c r="AK16" s="295"/>
      <c r="AL16" s="1614"/>
      <c r="AM16" s="1614"/>
      <c r="AN16" s="1614"/>
      <c r="AO16" s="1614"/>
      <c r="AP16" s="1614"/>
      <c r="AQ16" s="1614"/>
      <c r="AR16" s="1614"/>
      <c r="AS16" s="1614"/>
      <c r="AT16" s="1614"/>
      <c r="AU16" s="1614"/>
      <c r="AV16" s="1614"/>
      <c r="AW16" s="1614"/>
      <c r="AX16" s="1614"/>
      <c r="AY16" s="1614"/>
      <c r="AZ16" s="1614"/>
      <c r="BA16" s="1614"/>
      <c r="BB16" s="1614"/>
      <c r="BC16" s="1614"/>
      <c r="BD16" s="1614"/>
      <c r="BE16" s="1614"/>
      <c r="BF16" s="1614"/>
      <c r="BG16" s="1614"/>
      <c r="BH16" s="1614"/>
      <c r="BI16" s="1614"/>
      <c r="BJ16" s="1614"/>
      <c r="BK16" s="1614"/>
      <c r="BL16" s="1614"/>
    </row>
    <row customHeight="1" ht="14.25">
      <c r="D17" s="2039" t="s">
        <v>111</v>
      </c>
      <c r="E17" s="2041" t="s">
        <v>286</v>
      </c>
      <c r="F17" s="2041" t="s">
        <v>288</v>
      </c>
      <c r="G17" s="2044" t="s">
        <v>57</v>
      </c>
      <c r="H17" s="1639"/>
      <c r="I17" s="2046"/>
      <c r="J17" s="2002"/>
      <c r="K17" s="1544"/>
      <c r="L17" s="1989"/>
      <c r="M17" s="1989"/>
      <c r="N17" s="1624"/>
      <c r="O17" s="1989"/>
      <c r="P17" s="2002"/>
      <c r="Q17" s="1625"/>
      <c r="R17" s="1989"/>
      <c r="S17" s="1989"/>
      <c r="T17" s="1626"/>
      <c r="U17" s="1989"/>
      <c r="V17" s="2002"/>
      <c r="W17" s="1627"/>
      <c r="X17" s="1989"/>
      <c r="Y17" s="1989"/>
      <c r="Z17" s="1624"/>
      <c r="AA17" s="1989"/>
      <c r="AB17" s="2002"/>
      <c r="AC17" s="1628"/>
      <c r="AD17" s="1989"/>
      <c r="AE17" s="1989"/>
      <c r="AF17" s="1543"/>
      <c r="AG17" s="1543"/>
      <c r="AH17" s="1629"/>
      <c r="AI17" s="1326"/>
      <c r="AJ17" s="1614"/>
    </row>
    <row customHeight="1" ht="14.25">
      <c r="D18" s="2039"/>
      <c r="E18" s="2041"/>
      <c r="F18" s="2041"/>
      <c r="G18" s="2045"/>
      <c r="H18" s="1640"/>
      <c r="I18" s="2047"/>
      <c r="J18" s="2003"/>
      <c r="K18" s="1623"/>
      <c r="L18" s="1990"/>
      <c r="M18" s="1990"/>
      <c r="N18" s="1630"/>
      <c r="O18" s="1990"/>
      <c r="P18" s="2003"/>
      <c r="Q18" s="1631"/>
      <c r="R18" s="1990"/>
      <c r="S18" s="1990"/>
      <c r="T18" s="1632"/>
      <c r="U18" s="1990"/>
      <c r="V18" s="2003"/>
      <c r="W18" s="1633"/>
      <c r="X18" s="1990"/>
      <c r="Y18" s="1990"/>
      <c r="Z18" s="1630"/>
      <c r="AA18" s="1990"/>
      <c r="AB18" s="2003"/>
      <c r="AC18" s="1634"/>
      <c r="AD18" s="1990"/>
      <c r="AE18" s="1990"/>
      <c r="AF18" s="1635"/>
      <c r="AG18" s="1635"/>
      <c r="AH18" s="2050"/>
      <c r="AI18" s="2051"/>
      <c r="AJ18" s="1614"/>
    </row>
    <row customHeight="1" ht="14.25">
      <c r="D19" s="2039"/>
      <c r="E19" s="2041"/>
      <c r="F19" s="2041"/>
      <c r="G19" s="2045"/>
      <c r="H19" s="1640"/>
      <c r="I19" s="2047"/>
      <c r="J19" s="2003"/>
      <c r="K19" s="1623"/>
      <c r="L19" s="1990"/>
      <c r="M19" s="1990"/>
      <c r="N19" s="1630"/>
      <c r="O19" s="1990"/>
      <c r="P19" s="2003"/>
      <c r="Q19" s="1631"/>
      <c r="R19" s="1990"/>
      <c r="S19" s="1990"/>
      <c r="T19" s="1632"/>
      <c r="U19" s="1990"/>
      <c r="V19" s="2003"/>
      <c r="W19" s="1633"/>
      <c r="X19" s="1990"/>
      <c r="Y19" s="1990"/>
      <c r="Z19" s="1542"/>
      <c r="AA19" s="1635"/>
      <c r="AB19" s="2050"/>
      <c r="AC19" s="2050"/>
      <c r="AD19" s="2050"/>
      <c r="AE19" s="2050"/>
      <c r="AF19" s="2050"/>
      <c r="AG19" s="2050"/>
      <c r="AH19" s="2050"/>
      <c r="AI19" s="2051"/>
      <c r="AJ19" s="1614"/>
    </row>
    <row customHeight="1" ht="14.25">
      <c r="D20" s="2039"/>
      <c r="E20" s="2041"/>
      <c r="F20" s="2041"/>
      <c r="G20" s="2045"/>
      <c r="H20" s="1640"/>
      <c r="I20" s="2047"/>
      <c r="J20" s="2003"/>
      <c r="K20" s="1623"/>
      <c r="L20" s="1990"/>
      <c r="M20" s="1990"/>
      <c r="N20" s="1630"/>
      <c r="O20" s="1990"/>
      <c r="P20" s="2003"/>
      <c r="Q20" s="1631"/>
      <c r="R20" s="1990"/>
      <c r="S20" s="1990"/>
      <c r="T20" s="1636"/>
      <c r="U20" s="1637"/>
      <c r="V20" s="2050"/>
      <c r="W20" s="2050"/>
      <c r="X20" s="2050"/>
      <c r="Y20" s="2050"/>
      <c r="Z20" s="2050"/>
      <c r="AA20" s="2050"/>
      <c r="AB20" s="2050"/>
      <c r="AC20" s="2050"/>
      <c r="AD20" s="2050"/>
      <c r="AE20" s="2050"/>
      <c r="AF20" s="2050"/>
      <c r="AG20" s="2050"/>
      <c r="AH20" s="2050"/>
      <c r="AI20" s="2051"/>
      <c r="AJ20" s="1614"/>
    </row>
    <row customHeight="1" ht="11.25">
      <c r="D21" s="2039"/>
      <c r="E21" s="2041"/>
      <c r="F21" s="2041"/>
      <c r="G21" s="2045"/>
      <c r="H21" s="1641"/>
      <c r="I21" s="2047"/>
      <c r="J21" s="2003"/>
      <c r="K21" s="1623"/>
      <c r="L21" s="1990"/>
      <c r="M21" s="1990"/>
      <c r="N21" s="1635"/>
      <c r="O21" s="1635"/>
      <c r="P21" s="2050"/>
      <c r="Q21" s="2050"/>
      <c r="R21" s="2050"/>
      <c r="S21" s="2050"/>
      <c r="T21" s="2050"/>
      <c r="U21" s="2050"/>
      <c r="V21" s="2050"/>
      <c r="W21" s="2050"/>
      <c r="X21" s="2050"/>
      <c r="Y21" s="2050"/>
      <c r="Z21" s="2050"/>
      <c r="AA21" s="2050"/>
      <c r="AB21" s="2050"/>
      <c r="AC21" s="2050"/>
      <c r="AD21" s="2050"/>
      <c r="AE21" s="2050"/>
      <c r="AF21" s="2050"/>
      <c r="AG21" s="2050"/>
      <c r="AH21" s="2050"/>
      <c r="AI21" s="2051"/>
      <c r="AJ21" s="1614"/>
    </row>
    <row s="2935" customFormat="1" customHeight="1" ht="11.25">
      <c r="D22" s="2040"/>
      <c r="E22" s="2042"/>
      <c r="F22" s="2043"/>
      <c r="G22" s="1986"/>
      <c r="H22" s="1638"/>
      <c r="I22" s="1642"/>
      <c r="J22" s="2048"/>
      <c r="K22" s="2048"/>
      <c r="L22" s="2048"/>
      <c r="M22" s="2048"/>
      <c r="N22" s="2048"/>
      <c r="O22" s="2048"/>
      <c r="P22" s="2048"/>
      <c r="Q22" s="2048"/>
      <c r="R22" s="2048"/>
      <c r="S22" s="2048"/>
      <c r="T22" s="2048"/>
      <c r="U22" s="2048"/>
      <c r="V22" s="2048"/>
      <c r="W22" s="2048"/>
      <c r="X22" s="2048"/>
      <c r="Y22" s="2048"/>
      <c r="Z22" s="2048"/>
      <c r="AA22" s="2048"/>
      <c r="AB22" s="2048"/>
      <c r="AC22" s="2048"/>
      <c r="AD22" s="2048"/>
      <c r="AE22" s="2048"/>
      <c r="AF22" s="2048"/>
      <c r="AG22" s="2048"/>
      <c r="AH22" s="2048"/>
      <c r="AI22" s="2049"/>
      <c r="AJ22" s="1614"/>
      <c r="AK22" s="295"/>
      <c r="AL22" s="1614"/>
      <c r="AM22" s="1614"/>
      <c r="AN22" s="1614"/>
      <c r="AO22" s="1614"/>
      <c r="AP22" s="1614"/>
      <c r="AQ22" s="1614"/>
      <c r="AR22" s="1614"/>
      <c r="AS22" s="1614"/>
      <c r="AT22" s="1614"/>
      <c r="AU22" s="1614"/>
      <c r="AV22" s="1614"/>
      <c r="AW22" s="1614"/>
      <c r="AX22" s="1614"/>
      <c r="AY22" s="1614"/>
      <c r="AZ22" s="1614"/>
      <c r="BA22" s="1614"/>
      <c r="BB22" s="1614"/>
      <c r="BC22" s="1614"/>
      <c r="BD22" s="1614"/>
      <c r="BE22" s="1614"/>
      <c r="BF22" s="1614"/>
      <c r="BG22" s="1614"/>
      <c r="BH22" s="1614"/>
      <c r="BI22" s="1614"/>
      <c r="BJ22" s="1614"/>
      <c r="BK22" s="1614"/>
      <c r="BL22" s="1614"/>
    </row>
    <row customHeight="1" ht="14.25">
      <c r="D23" s="2039" t="s">
        <v>90</v>
      </c>
      <c r="E23" s="2041" t="s">
        <v>286</v>
      </c>
      <c r="F23" s="2041" t="s">
        <v>289</v>
      </c>
      <c r="G23" s="2044" t="s">
        <v>57</v>
      </c>
      <c r="H23" s="1639"/>
      <c r="I23" s="2046"/>
      <c r="J23" s="2002"/>
      <c r="K23" s="1544"/>
      <c r="L23" s="1989"/>
      <c r="M23" s="1989"/>
      <c r="N23" s="1624"/>
      <c r="O23" s="1989"/>
      <c r="P23" s="2002"/>
      <c r="Q23" s="1625"/>
      <c r="R23" s="1989"/>
      <c r="S23" s="1989"/>
      <c r="T23" s="1626"/>
      <c r="U23" s="1989"/>
      <c r="V23" s="2002"/>
      <c r="W23" s="1627"/>
      <c r="X23" s="1989"/>
      <c r="Y23" s="1989"/>
      <c r="Z23" s="1624"/>
      <c r="AA23" s="1989"/>
      <c r="AB23" s="2002"/>
      <c r="AC23" s="1628"/>
      <c r="AD23" s="1989"/>
      <c r="AE23" s="1989"/>
      <c r="AF23" s="1543"/>
      <c r="AG23" s="1543"/>
      <c r="AH23" s="1629"/>
      <c r="AI23" s="1326"/>
      <c r="AJ23" s="1614"/>
      <c r="AK23" s="295" t="s">
        <v>98</v>
      </c>
    </row>
    <row customHeight="1" ht="14.25">
      <c r="D24" s="2039"/>
      <c r="E24" s="2041"/>
      <c r="F24" s="2041"/>
      <c r="G24" s="2045"/>
      <c r="H24" s="1640"/>
      <c r="I24" s="2047"/>
      <c r="J24" s="2003"/>
      <c r="K24" s="1650"/>
      <c r="L24" s="1990"/>
      <c r="M24" s="1990"/>
      <c r="N24" s="1630"/>
      <c r="O24" s="1990"/>
      <c r="P24" s="2003"/>
      <c r="Q24" s="1631"/>
      <c r="R24" s="1990"/>
      <c r="S24" s="1990"/>
      <c r="T24" s="1632"/>
      <c r="U24" s="1990"/>
      <c r="V24" s="2003"/>
      <c r="W24" s="1633"/>
      <c r="X24" s="1990"/>
      <c r="Y24" s="1990"/>
      <c r="Z24" s="1630"/>
      <c r="AA24" s="1990"/>
      <c r="AB24" s="2003"/>
      <c r="AC24" s="1634"/>
      <c r="AD24" s="1990"/>
      <c r="AE24" s="1990"/>
      <c r="AF24" s="1635"/>
      <c r="AG24" s="1635"/>
      <c r="AH24" s="2050"/>
      <c r="AI24" s="2051"/>
      <c r="AJ24" s="1614"/>
    </row>
    <row customHeight="1" ht="14.25">
      <c r="D25" s="2039"/>
      <c r="E25" s="2041"/>
      <c r="F25" s="2041"/>
      <c r="G25" s="2045"/>
      <c r="H25" s="1640"/>
      <c r="I25" s="2047"/>
      <c r="J25" s="2003"/>
      <c r="K25" s="1650"/>
      <c r="L25" s="1990"/>
      <c r="M25" s="1990"/>
      <c r="N25" s="1630"/>
      <c r="O25" s="1990"/>
      <c r="P25" s="2003"/>
      <c r="Q25" s="1631"/>
      <c r="R25" s="1990"/>
      <c r="S25" s="1990"/>
      <c r="T25" s="1632"/>
      <c r="U25" s="1990"/>
      <c r="V25" s="2003"/>
      <c r="W25" s="1633"/>
      <c r="X25" s="1990"/>
      <c r="Y25" s="1990"/>
      <c r="Z25" s="1542"/>
      <c r="AA25" s="1635"/>
      <c r="AB25" s="2050"/>
      <c r="AC25" s="2050"/>
      <c r="AD25" s="2050"/>
      <c r="AE25" s="2050"/>
      <c r="AF25" s="2050"/>
      <c r="AG25" s="2050"/>
      <c r="AH25" s="2050"/>
      <c r="AI25" s="2051"/>
      <c r="AJ25" s="1614"/>
    </row>
    <row customHeight="1" ht="14.25">
      <c r="D26" s="2039"/>
      <c r="E26" s="2041"/>
      <c r="F26" s="2041"/>
      <c r="G26" s="2045"/>
      <c r="H26" s="1640"/>
      <c r="I26" s="2047"/>
      <c r="J26" s="2003"/>
      <c r="K26" s="1650"/>
      <c r="L26" s="1990"/>
      <c r="M26" s="1990"/>
      <c r="N26" s="1630"/>
      <c r="O26" s="1990"/>
      <c r="P26" s="2003"/>
      <c r="Q26" s="1631"/>
      <c r="R26" s="1990"/>
      <c r="S26" s="1990"/>
      <c r="T26" s="1636"/>
      <c r="U26" s="1637"/>
      <c r="V26" s="2050"/>
      <c r="W26" s="2050"/>
      <c r="X26" s="2050"/>
      <c r="Y26" s="2050"/>
      <c r="Z26" s="2050"/>
      <c r="AA26" s="2050"/>
      <c r="AB26" s="2050"/>
      <c r="AC26" s="2050"/>
      <c r="AD26" s="2050"/>
      <c r="AE26" s="2050"/>
      <c r="AF26" s="2050"/>
      <c r="AG26" s="2050"/>
      <c r="AH26" s="2050"/>
      <c r="AI26" s="2051"/>
      <c r="AJ26" s="1614"/>
    </row>
    <row customHeight="1" ht="11.25">
      <c r="D27" s="2039"/>
      <c r="E27" s="2041"/>
      <c r="F27" s="2041"/>
      <c r="G27" s="2045"/>
      <c r="H27" s="1641"/>
      <c r="I27" s="2047"/>
      <c r="J27" s="2003"/>
      <c r="K27" s="1650"/>
      <c r="L27" s="1990"/>
      <c r="M27" s="1990"/>
      <c r="N27" s="1635"/>
      <c r="O27" s="1635"/>
      <c r="P27" s="2050"/>
      <c r="Q27" s="2050"/>
      <c r="R27" s="2050"/>
      <c r="S27" s="2050"/>
      <c r="T27" s="2050"/>
      <c r="U27" s="2050"/>
      <c r="V27" s="2050"/>
      <c r="W27" s="2050"/>
      <c r="X27" s="2050"/>
      <c r="Y27" s="2050"/>
      <c r="Z27" s="2050"/>
      <c r="AA27" s="2050"/>
      <c r="AB27" s="2050"/>
      <c r="AC27" s="2050"/>
      <c r="AD27" s="2050"/>
      <c r="AE27" s="2050"/>
      <c r="AF27" s="2050"/>
      <c r="AG27" s="2050"/>
      <c r="AH27" s="2050"/>
      <c r="AI27" s="2051"/>
      <c r="AJ27" s="1614"/>
    </row>
    <row s="2935" customFormat="1" customHeight="1" ht="11.25">
      <c r="D28" s="2040"/>
      <c r="E28" s="2042"/>
      <c r="F28" s="2043"/>
      <c r="G28" s="1986"/>
      <c r="H28" s="1638"/>
      <c r="I28" s="1642"/>
      <c r="J28" s="2048"/>
      <c r="K28" s="2048"/>
      <c r="L28" s="2048"/>
      <c r="M28" s="2048"/>
      <c r="N28" s="2048"/>
      <c r="O28" s="2048"/>
      <c r="P28" s="2048"/>
      <c r="Q28" s="2048"/>
      <c r="R28" s="2048"/>
      <c r="S28" s="2048"/>
      <c r="T28" s="2048"/>
      <c r="U28" s="2048"/>
      <c r="V28" s="2048"/>
      <c r="W28" s="2048"/>
      <c r="X28" s="2048"/>
      <c r="Y28" s="2048"/>
      <c r="Z28" s="2048"/>
      <c r="AA28" s="2048"/>
      <c r="AB28" s="2048"/>
      <c r="AC28" s="2048"/>
      <c r="AD28" s="2048"/>
      <c r="AE28" s="2048"/>
      <c r="AF28" s="2048"/>
      <c r="AG28" s="2048"/>
      <c r="AH28" s="2048"/>
      <c r="AI28" s="2049"/>
      <c r="AJ28" s="1614"/>
      <c r="AK28" s="295"/>
      <c r="AL28" s="1614"/>
      <c r="AM28" s="1614"/>
      <c r="AN28" s="1614"/>
      <c r="AO28" s="1614"/>
      <c r="AP28" s="1614"/>
      <c r="AQ28" s="1614"/>
      <c r="AR28" s="1614"/>
      <c r="AS28" s="1614"/>
      <c r="AT28" s="1614"/>
      <c r="AU28" s="1614"/>
      <c r="AV28" s="1614"/>
      <c r="AW28" s="1614"/>
      <c r="AX28" s="1614"/>
      <c r="AY28" s="1614"/>
      <c r="AZ28" s="1614"/>
      <c r="BA28" s="1614"/>
      <c r="BB28" s="1614"/>
      <c r="BC28" s="1614"/>
      <c r="BD28" s="1614"/>
      <c r="BE28" s="1614"/>
      <c r="BF28" s="1614"/>
      <c r="BG28" s="1614"/>
      <c r="BH28" s="1614"/>
      <c r="BI28" s="1614"/>
      <c r="BJ28" s="1614"/>
      <c r="BK28" s="1614"/>
      <c r="BL28" s="1614"/>
    </row>
    <row customHeight="1" ht="14.25">
      <c r="D29" s="2039" t="s">
        <v>91</v>
      </c>
      <c r="E29" s="2041" t="s">
        <v>286</v>
      </c>
      <c r="F29" s="2041" t="s">
        <v>290</v>
      </c>
      <c r="G29" s="2044" t="s">
        <v>57</v>
      </c>
      <c r="H29" s="1639"/>
      <c r="I29" s="2046"/>
      <c r="J29" s="2002"/>
      <c r="K29" s="1544"/>
      <c r="L29" s="1989"/>
      <c r="M29" s="1989"/>
      <c r="N29" s="1624"/>
      <c r="O29" s="1989"/>
      <c r="P29" s="2002"/>
      <c r="Q29" s="1625"/>
      <c r="R29" s="1989"/>
      <c r="S29" s="1989"/>
      <c r="T29" s="1626"/>
      <c r="U29" s="1989"/>
      <c r="V29" s="2002"/>
      <c r="W29" s="1627"/>
      <c r="X29" s="1989"/>
      <c r="Y29" s="1989"/>
      <c r="Z29" s="1624"/>
      <c r="AA29" s="1989"/>
      <c r="AB29" s="2002"/>
      <c r="AC29" s="1628"/>
      <c r="AD29" s="1989"/>
      <c r="AE29" s="1989"/>
      <c r="AF29" s="1543"/>
      <c r="AG29" s="1543"/>
      <c r="AH29" s="1629"/>
      <c r="AI29" s="1326"/>
      <c r="AJ29" s="1614"/>
    </row>
    <row customHeight="1" ht="14.25">
      <c r="D30" s="2039"/>
      <c r="E30" s="2041"/>
      <c r="F30" s="2041"/>
      <c r="G30" s="2045"/>
      <c r="H30" s="1640"/>
      <c r="I30" s="2047"/>
      <c r="J30" s="2003"/>
      <c r="K30" s="1623"/>
      <c r="L30" s="1990"/>
      <c r="M30" s="1990"/>
      <c r="N30" s="1630"/>
      <c r="O30" s="1990"/>
      <c r="P30" s="2003"/>
      <c r="Q30" s="1631"/>
      <c r="R30" s="1990"/>
      <c r="S30" s="1990"/>
      <c r="T30" s="1632"/>
      <c r="U30" s="1990"/>
      <c r="V30" s="2003"/>
      <c r="W30" s="1633"/>
      <c r="X30" s="1990"/>
      <c r="Y30" s="1990"/>
      <c r="Z30" s="1630"/>
      <c r="AA30" s="1990"/>
      <c r="AB30" s="2003"/>
      <c r="AC30" s="1634"/>
      <c r="AD30" s="1990"/>
      <c r="AE30" s="1990"/>
      <c r="AF30" s="1635"/>
      <c r="AG30" s="1635"/>
      <c r="AH30" s="2050"/>
      <c r="AI30" s="2051"/>
      <c r="AJ30" s="1614"/>
    </row>
    <row customHeight="1" ht="14.25">
      <c r="D31" s="2039"/>
      <c r="E31" s="2041"/>
      <c r="F31" s="2041"/>
      <c r="G31" s="2045"/>
      <c r="H31" s="1640"/>
      <c r="I31" s="2047"/>
      <c r="J31" s="2003"/>
      <c r="K31" s="1623"/>
      <c r="L31" s="1990"/>
      <c r="M31" s="1990"/>
      <c r="N31" s="1630"/>
      <c r="O31" s="1990"/>
      <c r="P31" s="2003"/>
      <c r="Q31" s="1631"/>
      <c r="R31" s="1990"/>
      <c r="S31" s="1990"/>
      <c r="T31" s="1632"/>
      <c r="U31" s="1990"/>
      <c r="V31" s="2003"/>
      <c r="W31" s="1633"/>
      <c r="X31" s="1990"/>
      <c r="Y31" s="1990"/>
      <c r="Z31" s="1542"/>
      <c r="AA31" s="1635"/>
      <c r="AB31" s="2050"/>
      <c r="AC31" s="2050"/>
      <c r="AD31" s="2050"/>
      <c r="AE31" s="2050"/>
      <c r="AF31" s="2050"/>
      <c r="AG31" s="2050"/>
      <c r="AH31" s="2050"/>
      <c r="AI31" s="2051"/>
      <c r="AJ31" s="1614"/>
    </row>
    <row customHeight="1" ht="14.25">
      <c r="D32" s="2039"/>
      <c r="E32" s="2041"/>
      <c r="F32" s="2041"/>
      <c r="G32" s="2045"/>
      <c r="H32" s="1640"/>
      <c r="I32" s="2047"/>
      <c r="J32" s="2003"/>
      <c r="K32" s="1623"/>
      <c r="L32" s="1990"/>
      <c r="M32" s="1990"/>
      <c r="N32" s="1630"/>
      <c r="O32" s="1990"/>
      <c r="P32" s="2003"/>
      <c r="Q32" s="1631"/>
      <c r="R32" s="1990"/>
      <c r="S32" s="1990"/>
      <c r="T32" s="1636"/>
      <c r="U32" s="1637"/>
      <c r="V32" s="2050"/>
      <c r="W32" s="2050"/>
      <c r="X32" s="2050"/>
      <c r="Y32" s="2050"/>
      <c r="Z32" s="2050"/>
      <c r="AA32" s="2050"/>
      <c r="AB32" s="2050"/>
      <c r="AC32" s="2050"/>
      <c r="AD32" s="2050"/>
      <c r="AE32" s="2050"/>
      <c r="AF32" s="2050"/>
      <c r="AG32" s="2050"/>
      <c r="AH32" s="2050"/>
      <c r="AI32" s="2051"/>
      <c r="AJ32" s="1614"/>
    </row>
    <row customHeight="1" ht="11.25">
      <c r="D33" s="2039"/>
      <c r="E33" s="2041"/>
      <c r="F33" s="2041"/>
      <c r="G33" s="2045"/>
      <c r="H33" s="1641"/>
      <c r="I33" s="2047"/>
      <c r="J33" s="2003"/>
      <c r="K33" s="1623"/>
      <c r="L33" s="1990"/>
      <c r="M33" s="1990"/>
      <c r="N33" s="1635"/>
      <c r="O33" s="1635"/>
      <c r="P33" s="2050"/>
      <c r="Q33" s="2050"/>
      <c r="R33" s="2050"/>
      <c r="S33" s="2050"/>
      <c r="T33" s="2050"/>
      <c r="U33" s="2050"/>
      <c r="V33" s="2050"/>
      <c r="W33" s="2050"/>
      <c r="X33" s="2050"/>
      <c r="Y33" s="2050"/>
      <c r="Z33" s="2050"/>
      <c r="AA33" s="2050"/>
      <c r="AB33" s="2050"/>
      <c r="AC33" s="2050"/>
      <c r="AD33" s="2050"/>
      <c r="AE33" s="2050"/>
      <c r="AF33" s="2050"/>
      <c r="AG33" s="2050"/>
      <c r="AH33" s="2050"/>
      <c r="AI33" s="2051"/>
      <c r="AJ33" s="1614"/>
    </row>
    <row s="2935" customFormat="1" customHeight="1" ht="11.25">
      <c r="D34" s="2040"/>
      <c r="E34" s="2042"/>
      <c r="F34" s="2043"/>
      <c r="G34" s="1986"/>
      <c r="H34" s="1638"/>
      <c r="I34" s="1642"/>
      <c r="J34" s="2048"/>
      <c r="K34" s="2048"/>
      <c r="L34" s="2048"/>
      <c r="M34" s="2048"/>
      <c r="N34" s="2048"/>
      <c r="O34" s="2048"/>
      <c r="P34" s="2048"/>
      <c r="Q34" s="2048"/>
      <c r="R34" s="2048"/>
      <c r="S34" s="2048"/>
      <c r="T34" s="2048"/>
      <c r="U34" s="2048"/>
      <c r="V34" s="2048"/>
      <c r="W34" s="2048"/>
      <c r="X34" s="2048"/>
      <c r="Y34" s="2048"/>
      <c r="Z34" s="2048"/>
      <c r="AA34" s="2048"/>
      <c r="AB34" s="2048"/>
      <c r="AC34" s="2048"/>
      <c r="AD34" s="2048"/>
      <c r="AE34" s="2048"/>
      <c r="AF34" s="2048"/>
      <c r="AG34" s="2048"/>
      <c r="AH34" s="2048"/>
      <c r="AI34" s="2049"/>
      <c r="AJ34" s="1614"/>
      <c r="AK34" s="295"/>
      <c r="AL34" s="1614"/>
      <c r="AM34" s="1614"/>
      <c r="AN34" s="1614"/>
      <c r="AO34" s="1614"/>
      <c r="AP34" s="1614"/>
      <c r="AQ34" s="1614"/>
      <c r="AR34" s="1614"/>
      <c r="AS34" s="1614"/>
      <c r="AT34" s="1614"/>
      <c r="AU34" s="1614"/>
      <c r="AV34" s="1614"/>
      <c r="AW34" s="1614"/>
      <c r="AX34" s="1614"/>
      <c r="AY34" s="1614"/>
      <c r="AZ34" s="1614"/>
      <c r="BA34" s="1614"/>
      <c r="BB34" s="1614"/>
      <c r="BC34" s="1614"/>
      <c r="BD34" s="1614"/>
      <c r="BE34" s="1614"/>
      <c r="BF34" s="1614"/>
      <c r="BG34" s="1614"/>
      <c r="BH34" s="1614"/>
      <c r="BI34" s="1614"/>
      <c r="BJ34" s="1614"/>
      <c r="BK34" s="1614"/>
      <c r="BL34" s="1614"/>
    </row>
    <row customHeight="1" ht="14.25">
      <c r="D35" s="2039" t="s">
        <v>112</v>
      </c>
      <c r="E35" s="2041" t="s">
        <v>286</v>
      </c>
      <c r="F35" s="2041" t="s">
        <v>291</v>
      </c>
      <c r="G35" s="2044" t="s">
        <v>57</v>
      </c>
      <c r="H35" s="1639"/>
      <c r="I35" s="2046"/>
      <c r="J35" s="2002"/>
      <c r="K35" s="1544"/>
      <c r="L35" s="1989"/>
      <c r="M35" s="1989"/>
      <c r="N35" s="1624"/>
      <c r="O35" s="1989"/>
      <c r="P35" s="2002"/>
      <c r="Q35" s="1625"/>
      <c r="R35" s="1989"/>
      <c r="S35" s="1989"/>
      <c r="T35" s="1626"/>
      <c r="U35" s="1989"/>
      <c r="V35" s="2002"/>
      <c r="W35" s="1627"/>
      <c r="X35" s="1989"/>
      <c r="Y35" s="1989"/>
      <c r="Z35" s="1624"/>
      <c r="AA35" s="1989"/>
      <c r="AB35" s="2002"/>
      <c r="AC35" s="1628"/>
      <c r="AD35" s="1989"/>
      <c r="AE35" s="1989"/>
      <c r="AF35" s="1543"/>
      <c r="AG35" s="1543"/>
      <c r="AH35" s="1629"/>
      <c r="AI35" s="1326"/>
      <c r="AJ35" s="1614"/>
    </row>
    <row customHeight="1" ht="14.25">
      <c r="D36" s="2039"/>
      <c r="E36" s="2041"/>
      <c r="F36" s="2041"/>
      <c r="G36" s="2045"/>
      <c r="H36" s="1640"/>
      <c r="I36" s="2047"/>
      <c r="J36" s="2003"/>
      <c r="K36" s="1623"/>
      <c r="L36" s="1990"/>
      <c r="M36" s="1990"/>
      <c r="N36" s="1630"/>
      <c r="O36" s="1990"/>
      <c r="P36" s="2003"/>
      <c r="Q36" s="1631"/>
      <c r="R36" s="1990"/>
      <c r="S36" s="1990"/>
      <c r="T36" s="1632"/>
      <c r="U36" s="1990"/>
      <c r="V36" s="2003"/>
      <c r="W36" s="1633"/>
      <c r="X36" s="1990"/>
      <c r="Y36" s="1990"/>
      <c r="Z36" s="1630"/>
      <c r="AA36" s="1990"/>
      <c r="AB36" s="2003"/>
      <c r="AC36" s="1634"/>
      <c r="AD36" s="1990"/>
      <c r="AE36" s="1990"/>
      <c r="AF36" s="1635"/>
      <c r="AG36" s="1635"/>
      <c r="AH36" s="2050"/>
      <c r="AI36" s="2051"/>
      <c r="AJ36" s="1614"/>
    </row>
    <row customHeight="1" ht="14.25">
      <c r="D37" s="2039"/>
      <c r="E37" s="2041"/>
      <c r="F37" s="2041"/>
      <c r="G37" s="2045"/>
      <c r="H37" s="1640"/>
      <c r="I37" s="2047"/>
      <c r="J37" s="2003"/>
      <c r="K37" s="1623"/>
      <c r="L37" s="1990"/>
      <c r="M37" s="1990"/>
      <c r="N37" s="1630"/>
      <c r="O37" s="1990"/>
      <c r="P37" s="2003"/>
      <c r="Q37" s="1631"/>
      <c r="R37" s="1990"/>
      <c r="S37" s="1990"/>
      <c r="T37" s="1632"/>
      <c r="U37" s="1990"/>
      <c r="V37" s="2003"/>
      <c r="W37" s="1633"/>
      <c r="X37" s="1990"/>
      <c r="Y37" s="1990"/>
      <c r="Z37" s="1542"/>
      <c r="AA37" s="1635"/>
      <c r="AB37" s="2050"/>
      <c r="AC37" s="2050"/>
      <c r="AD37" s="2050"/>
      <c r="AE37" s="2050"/>
      <c r="AF37" s="2050"/>
      <c r="AG37" s="2050"/>
      <c r="AH37" s="2050"/>
      <c r="AI37" s="2051"/>
      <c r="AJ37" s="1614"/>
    </row>
    <row customHeight="1" ht="14.25">
      <c r="D38" s="2039"/>
      <c r="E38" s="2041"/>
      <c r="F38" s="2041"/>
      <c r="G38" s="2045"/>
      <c r="H38" s="1640"/>
      <c r="I38" s="2047"/>
      <c r="J38" s="2003"/>
      <c r="K38" s="1623"/>
      <c r="L38" s="1990"/>
      <c r="M38" s="1990"/>
      <c r="N38" s="1630"/>
      <c r="O38" s="1990"/>
      <c r="P38" s="2003"/>
      <c r="Q38" s="1631"/>
      <c r="R38" s="1990"/>
      <c r="S38" s="1990"/>
      <c r="T38" s="1636"/>
      <c r="U38" s="1637"/>
      <c r="V38" s="2050"/>
      <c r="W38" s="2050"/>
      <c r="X38" s="2050"/>
      <c r="Y38" s="2050"/>
      <c r="Z38" s="2050"/>
      <c r="AA38" s="2050"/>
      <c r="AB38" s="2050"/>
      <c r="AC38" s="2050"/>
      <c r="AD38" s="2050"/>
      <c r="AE38" s="2050"/>
      <c r="AF38" s="2050"/>
      <c r="AG38" s="2050"/>
      <c r="AH38" s="2050"/>
      <c r="AI38" s="2051"/>
      <c r="AJ38" s="1614"/>
    </row>
    <row customHeight="1" ht="11.25">
      <c r="D39" s="2039"/>
      <c r="E39" s="2041"/>
      <c r="F39" s="2041"/>
      <c r="G39" s="2045"/>
      <c r="H39" s="1641"/>
      <c r="I39" s="2047"/>
      <c r="J39" s="2003"/>
      <c r="K39" s="1623"/>
      <c r="L39" s="1990"/>
      <c r="M39" s="1990"/>
      <c r="N39" s="1635"/>
      <c r="O39" s="1635"/>
      <c r="P39" s="2050"/>
      <c r="Q39" s="2050"/>
      <c r="R39" s="2050"/>
      <c r="S39" s="2050"/>
      <c r="T39" s="2050"/>
      <c r="U39" s="2050"/>
      <c r="V39" s="2050"/>
      <c r="W39" s="2050"/>
      <c r="X39" s="2050"/>
      <c r="Y39" s="2050"/>
      <c r="Z39" s="2050"/>
      <c r="AA39" s="2050"/>
      <c r="AB39" s="2050"/>
      <c r="AC39" s="2050"/>
      <c r="AD39" s="2050"/>
      <c r="AE39" s="2050"/>
      <c r="AF39" s="2050"/>
      <c r="AG39" s="2050"/>
      <c r="AH39" s="2050"/>
      <c r="AI39" s="2051"/>
      <c r="AJ39" s="1614"/>
    </row>
    <row s="2935" customFormat="1" customHeight="1" ht="11.25">
      <c r="D40" s="2039"/>
      <c r="E40" s="2041"/>
      <c r="F40" s="2052"/>
      <c r="G40" s="1986"/>
      <c r="H40" s="1638"/>
      <c r="I40" s="1642"/>
      <c r="J40" s="2048"/>
      <c r="K40" s="2048"/>
      <c r="L40" s="2048"/>
      <c r="M40" s="2048"/>
      <c r="N40" s="2048"/>
      <c r="O40" s="2048"/>
      <c r="P40" s="2048"/>
      <c r="Q40" s="2048"/>
      <c r="R40" s="2048"/>
      <c r="S40" s="2048"/>
      <c r="T40" s="2048"/>
      <c r="U40" s="2048"/>
      <c r="V40" s="2048"/>
      <c r="W40" s="2048"/>
      <c r="X40" s="2048"/>
      <c r="Y40" s="2048"/>
      <c r="Z40" s="2048"/>
      <c r="AA40" s="2048"/>
      <c r="AB40" s="2048"/>
      <c r="AC40" s="2048"/>
      <c r="AD40" s="2048"/>
      <c r="AE40" s="2048"/>
      <c r="AF40" s="2048"/>
      <c r="AG40" s="2048"/>
      <c r="AH40" s="2048"/>
      <c r="AI40" s="2049"/>
      <c r="AJ40" s="1614"/>
      <c r="AK40" s="295"/>
      <c r="AL40" s="1614"/>
      <c r="AM40" s="1614"/>
      <c r="AN40" s="1614"/>
      <c r="AO40" s="1614"/>
      <c r="AP40" s="1614"/>
      <c r="AQ40" s="1614"/>
      <c r="AR40" s="1614"/>
      <c r="AS40" s="1614"/>
      <c r="AT40" s="1614"/>
      <c r="AU40" s="1614"/>
      <c r="AV40" s="1614"/>
      <c r="AW40" s="1614"/>
      <c r="AX40" s="1614"/>
      <c r="AY40" s="1614"/>
      <c r="AZ40" s="1614"/>
      <c r="BA40" s="1614"/>
      <c r="BB40" s="1614"/>
      <c r="BC40" s="1614"/>
      <c r="BD40" s="1614"/>
      <c r="BE40" s="1614"/>
      <c r="BF40" s="1614"/>
      <c r="BG40" s="1614"/>
      <c r="BH40" s="1614"/>
      <c r="BI40" s="1614"/>
      <c r="BJ40" s="1614"/>
      <c r="BK40" s="1614"/>
      <c r="BL40" s="1614"/>
    </row>
    <row customHeight="1" ht="11.25">
      <c r="AK41" s="429"/>
    </row>
    <row customHeight="1" ht="11.25">
      <c r="AK42" s="429"/>
    </row>
    <row customHeight="1" ht="11.25">
      <c r="AK43" s="429"/>
    </row>
    <row customHeight="1" ht="11.25">
      <c r="AK44" s="429"/>
    </row>
    <row customHeight="1" ht="11.25">
      <c r="AK45" s="429"/>
    </row>
    <row customHeight="1" ht="11.25">
      <c r="AK46" s="429"/>
    </row>
    <row customHeight="1" ht="11.25">
      <c r="AK47" s="429"/>
    </row>
    <row customHeight="1" ht="11.25">
      <c r="AK48" s="429"/>
    </row>
    <row customHeight="1" ht="11.25">
      <c r="AK49" s="429"/>
    </row>
  </sheetData>
  <sheetProtection formatColumns="0" formatRows="0" autoFilter="0" sort="0" insertRows="0" insertColumns="1" deleteRows="0" deleteColumns="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14C872B-1377-9AF4-34FC-FA451A7C19DB}" mc:Ignorable="x14ac xr xr2 xr3">
  <sheetPr>
    <tabColor theme="3" tint="0.6"/>
  </sheetPr>
  <dimension ref="A1:I58"/>
  <sheetViews>
    <sheetView topLeftCell="A1" showGridLines="0" zoomScale="90" workbookViewId="0">
      <selection activeCell="A1" sqref="A1"/>
    </sheetView>
  </sheetViews>
  <sheetFormatPr defaultColWidth="9.140625" customHeight="1" defaultRowHeight="11.25"/>
  <cols>
    <col min="1" max="1" style="3006" width="15.00390625" hidden="1" customWidth="1"/>
    <col min="2" max="2" style="3008" width="15.00390625" hidden="1" customWidth="1"/>
    <col min="3" max="3" style="3087" width="3.7109375" customWidth="1"/>
    <col min="4" max="4" style="3088" width="6.8515625" customWidth="1"/>
    <col min="5" max="5" style="3087" width="52.28125" customWidth="1"/>
    <col min="6" max="6" style="3087" width="48.8515625" customWidth="1"/>
    <col min="7" max="7" style="3087" width="121.7109375" customWidth="1"/>
    <col min="8" max="8" style="3087" width="9.140625"/>
    <col min="9" max="9" style="3087" width="65.00390625" customWidth="1"/>
  </cols>
  <sheetData>
    <row customHeight="1" ht="11.25" hidden="1">
      <c r="A1" s="1726" t="s">
        <v>292</v>
      </c>
    </row>
    <row customHeight="1" ht="11.25" hidden="1"/>
    <row s="3007" customFormat="1" customHeight="1" ht="11.25">
      <c r="A3" s="1726"/>
      <c r="B3" s="507"/>
      <c r="D3" s="484"/>
    </row>
    <row customHeight="1" ht="25.5">
      <c r="D4" s="2019"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020"/>
      <c r="F4" s="2021"/>
      <c r="I4" s="721"/>
    </row>
    <row customHeight="1" ht="17.25">
      <c r="D5" s="2053" t="str">
        <f>IF(org=0,"Не определено",org)</f>
        <v>ЗАО "Байкалэнерго"</v>
      </c>
      <c r="E5" s="2053"/>
      <c r="F5" s="2053"/>
      <c r="I5" s="721"/>
    </row>
    <row s="3007" customFormat="1" customHeight="1" ht="11.25">
      <c r="A6" s="1726"/>
      <c r="B6" s="507"/>
      <c r="D6" s="720"/>
      <c r="E6" s="720"/>
      <c r="F6" s="758"/>
      <c r="G6" s="720"/>
    </row>
    <row customHeight="1" ht="11.25" hidden="1">
      <c r="A7" s="463"/>
      <c r="B7" s="508"/>
      <c r="C7" s="463"/>
      <c r="D7" s="469"/>
      <c r="E7" s="2060"/>
      <c r="F7" s="2060"/>
    </row>
    <row customHeight="1" ht="11.25">
      <c r="A8" s="463"/>
      <c r="B8" s="508"/>
      <c r="C8" s="463"/>
      <c r="D8" s="2056" t="s">
        <v>293</v>
      </c>
      <c r="E8" s="2057"/>
      <c r="F8" s="2057"/>
      <c r="G8" s="2061" t="s">
        <v>294</v>
      </c>
    </row>
    <row customHeight="1" ht="11.25">
      <c r="A9" s="463"/>
      <c r="B9" s="508"/>
      <c r="C9" s="463"/>
      <c r="D9" s="478" t="s">
        <v>88</v>
      </c>
      <c r="E9" s="452" t="s">
        <v>295</v>
      </c>
      <c r="F9" s="452" t="s">
        <v>296</v>
      </c>
      <c r="G9" s="2062"/>
    </row>
    <row customHeight="1" ht="12" hidden="1">
      <c r="A10" s="463"/>
      <c r="B10" s="508"/>
      <c r="C10" s="463"/>
      <c r="D10" s="470"/>
      <c r="E10" s="470"/>
      <c r="F10" s="470"/>
      <c r="G10" s="470"/>
    </row>
    <row customHeight="1" ht="22.5" hidden="1">
      <c r="A11" s="463"/>
      <c r="B11" s="508"/>
      <c r="C11" s="463"/>
      <c r="D11" s="1016" t="s">
        <v>110</v>
      </c>
      <c r="E11" s="1019" t="s">
        <v>297</v>
      </c>
      <c r="F11" s="1018" t="str">
        <f>IF(region_name="","",region_name)</f>
        <v>Иркутская область</v>
      </c>
      <c r="G11" s="1019" t="s">
        <v>298</v>
      </c>
      <c r="H11" s="481"/>
    </row>
    <row customHeight="1" ht="22.5" hidden="1">
      <c r="A12" s="463"/>
      <c r="B12" s="508"/>
      <c r="C12" s="463"/>
      <c r="D12" s="451" t="s">
        <v>110</v>
      </c>
      <c r="E12" s="450"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449" t="s">
        <v>299</v>
      </c>
      <c r="G12" s="480"/>
      <c r="H12" s="481"/>
    </row>
    <row customHeight="1" ht="22.5">
      <c r="A13" s="463"/>
      <c r="B13" s="508"/>
      <c r="C13" s="463"/>
      <c r="D13" s="451" t="s">
        <v>110</v>
      </c>
      <c r="E13" s="448" t="str">
        <f>"Наименование юридического лица"&amp;IF(TEMPLATE_SPHERE="TKO"," (индивидуального предпринимателя)","")</f>
        <v>Наименование юридического лица</v>
      </c>
      <c r="F13" s="447"/>
      <c r="G13" s="450"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81"/>
    </row>
    <row customHeight="1" ht="22.5" hidden="1">
      <c r="A14" s="463"/>
      <c r="B14" s="508"/>
      <c r="C14" s="463"/>
      <c r="D14" s="1016" t="s">
        <v>300</v>
      </c>
      <c r="E14" s="1017" t="s">
        <v>301</v>
      </c>
      <c r="F14" s="1018" t="str">
        <f>IF(inn="","",inn)</f>
        <v>3808108339</v>
      </c>
      <c r="G14" s="1019" t="s">
        <v>302</v>
      </c>
      <c r="H14" s="481"/>
    </row>
    <row customHeight="1" ht="22.5" hidden="1">
      <c r="A15" s="463"/>
      <c r="B15" s="508"/>
      <c r="C15" s="463"/>
      <c r="D15" s="1016" t="s">
        <v>303</v>
      </c>
      <c r="E15" s="1017" t="s">
        <v>304</v>
      </c>
      <c r="F15" s="1018" t="str">
        <f>IF(kpp="","",kpp)</f>
        <v>380801001</v>
      </c>
      <c r="G15" s="1019" t="s">
        <v>305</v>
      </c>
      <c r="H15" s="481"/>
    </row>
    <row customHeight="1" ht="36.75">
      <c r="A16" s="463"/>
      <c r="B16" s="508"/>
      <c r="C16" s="463"/>
      <c r="D16" s="451" t="s">
        <v>111</v>
      </c>
      <c r="E16" s="448"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7"/>
      <c r="G16" s="450"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81"/>
    </row>
    <row customHeight="1" ht="22.5">
      <c r="A17" s="463"/>
      <c r="B17" s="508"/>
      <c r="C17" s="463"/>
      <c r="D17" s="451" t="s">
        <v>90</v>
      </c>
      <c r="E17" s="448" t="str">
        <f>"Дата присвоения ОГРН"&amp;IF(TEMPLATE_SPHERE="TKO",""," (ОГРНИП)")</f>
        <v>Дата присвоения ОГРН (ОГРНИП)</v>
      </c>
      <c r="F17" s="1772" t="s">
        <v>24</v>
      </c>
      <c r="G17" s="450" t="str">
        <f>"Дата присвоения ОГРН"&amp;IF(TEMPLATE_SPHERE="TKO",""," (ОГРНИП)")&amp;" указывается в виде «ДД.ММ.ГГГГ»."</f>
        <v>Дата присвоения ОГРН (ОГРНИП) указывается в виде «ДД.ММ.ГГГГ».</v>
      </c>
      <c r="H17" s="481"/>
    </row>
    <row customHeight="1" ht="56.25">
      <c r="A18" s="463"/>
      <c r="B18" s="508"/>
      <c r="C18" s="463"/>
      <c r="D18" s="451" t="s">
        <v>91</v>
      </c>
      <c r="E18" s="448"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7"/>
      <c r="G18" s="480"/>
      <c r="H18" s="481"/>
    </row>
    <row customHeight="1" ht="22.5">
      <c r="A19" s="2058">
        <v>1</v>
      </c>
      <c r="B19" s="508"/>
      <c r="C19" s="2063"/>
      <c r="D19" s="446">
        <v>5</v>
      </c>
      <c r="E19" s="448" t="s">
        <v>306</v>
      </c>
      <c r="F19" s="449" t="s">
        <v>299</v>
      </c>
      <c r="G19" s="450" t="s">
        <v>307</v>
      </c>
      <c r="H19" s="481"/>
      <c r="I19" s="858"/>
    </row>
    <row customHeight="1" ht="33.75">
      <c r="A20" s="2058"/>
      <c r="B20" s="508"/>
      <c r="C20" s="2063"/>
      <c r="D20" s="451" t="s">
        <v>308</v>
      </c>
      <c r="E20" s="445" t="s">
        <v>309</v>
      </c>
      <c r="F20" s="3040" t="s">
        <v>24</v>
      </c>
      <c r="G20" s="480"/>
      <c r="H20" s="481"/>
      <c r="I20" s="858"/>
    </row>
    <row customHeight="1" ht="22.5">
      <c r="A21" s="2058"/>
      <c r="B21" s="508"/>
      <c r="C21" s="2063"/>
      <c r="D21" s="451" t="s">
        <v>310</v>
      </c>
      <c r="E21" s="445" t="s">
        <v>311</v>
      </c>
      <c r="F21" s="2558" t="s">
        <v>24</v>
      </c>
      <c r="G21" s="450" t="s">
        <v>312</v>
      </c>
      <c r="H21" s="481"/>
      <c r="I21" s="858"/>
    </row>
    <row customHeight="1" ht="22.5">
      <c r="A22" s="2058"/>
      <c r="B22" s="508"/>
      <c r="C22" s="2063"/>
      <c r="D22" s="451" t="s">
        <v>313</v>
      </c>
      <c r="E22" s="445" t="s">
        <v>314</v>
      </c>
      <c r="F22" s="3040" t="s">
        <v>24</v>
      </c>
      <c r="G22" s="480"/>
      <c r="H22" s="481"/>
      <c r="I22" s="858"/>
    </row>
    <row customHeight="1" ht="22.5">
      <c r="A23" s="2058"/>
      <c r="B23" s="508"/>
      <c r="C23" s="2063"/>
      <c r="D23" s="451" t="s">
        <v>315</v>
      </c>
      <c r="E23" s="445" t="s">
        <v>316</v>
      </c>
      <c r="F23" s="3040" t="s">
        <v>24</v>
      </c>
      <c r="G23" s="450" t="s">
        <v>317</v>
      </c>
      <c r="H23" s="481"/>
      <c r="I23" s="858"/>
    </row>
    <row s="3008" customFormat="1" customHeight="1" ht="24.75" hidden="1">
      <c r="A24" s="463"/>
      <c r="B24" s="508"/>
      <c r="C24" s="508"/>
      <c r="D24" s="1013" t="s">
        <v>90</v>
      </c>
      <c r="E24" s="1015" t="s">
        <v>318</v>
      </c>
      <c r="F24" s="1020" t="s">
        <v>299</v>
      </c>
      <c r="G24" s="1015"/>
    </row>
    <row s="3008" customFormat="1" customHeight="1" ht="11.25" hidden="1">
      <c r="A25" s="463"/>
      <c r="B25" s="508"/>
      <c r="C25" s="508"/>
      <c r="D25" s="1013" t="s">
        <v>319</v>
      </c>
      <c r="E25" s="1014" t="s">
        <v>320</v>
      </c>
      <c r="F25" s="1020" t="s">
        <v>299</v>
      </c>
      <c r="G25" s="1015"/>
    </row>
    <row s="3008" customFormat="1" customHeight="1" ht="11.25" hidden="1">
      <c r="A26" s="463"/>
      <c r="B26" s="508"/>
      <c r="C26" s="508"/>
      <c r="D26" s="1013" t="s">
        <v>321</v>
      </c>
      <c r="E26" s="1021" t="s">
        <v>322</v>
      </c>
      <c r="F26" s="1022"/>
      <c r="G26" s="1015"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row>
    <row s="3008" customFormat="1" customHeight="1" ht="11.25" hidden="1">
      <c r="A27" s="463"/>
      <c r="B27" s="508"/>
      <c r="C27" s="508"/>
      <c r="D27" s="1013" t="s">
        <v>323</v>
      </c>
      <c r="E27" s="1021" t="s">
        <v>324</v>
      </c>
      <c r="F27" s="1022"/>
      <c r="G27" s="1015"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row>
    <row s="3008" customFormat="1" customHeight="1" ht="11.25" hidden="1">
      <c r="A28" s="463"/>
      <c r="B28" s="508"/>
      <c r="C28" s="508"/>
      <c r="D28" s="1013" t="s">
        <v>325</v>
      </c>
      <c r="E28" s="1021" t="s">
        <v>326</v>
      </c>
      <c r="F28" s="1022"/>
      <c r="G28" s="1015"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row>
    <row s="3008" customFormat="1" customHeight="1" ht="11.25" hidden="1">
      <c r="A29" s="463"/>
      <c r="B29" s="508"/>
      <c r="C29" s="508"/>
      <c r="D29" s="1013" t="s">
        <v>327</v>
      </c>
      <c r="E29" s="1014" t="s">
        <v>328</v>
      </c>
      <c r="F29" s="1022"/>
      <c r="G29" s="1015"/>
    </row>
    <row s="3008" customFormat="1" customHeight="1" ht="11.25" hidden="1">
      <c r="A30" s="463"/>
      <c r="B30" s="508"/>
      <c r="C30" s="508"/>
      <c r="D30" s="1013" t="s">
        <v>329</v>
      </c>
      <c r="E30" s="1014" t="s">
        <v>330</v>
      </c>
      <c r="F30" s="1022"/>
      <c r="G30" s="1015"/>
    </row>
    <row s="3008" customFormat="1" customHeight="1" ht="11.25" hidden="1">
      <c r="A31" s="463"/>
      <c r="B31" s="508"/>
      <c r="C31" s="508"/>
      <c r="D31" s="1013" t="s">
        <v>331</v>
      </c>
      <c r="E31" s="1014" t="s">
        <v>332</v>
      </c>
      <c r="F31" s="1023"/>
      <c r="G31" s="1015"/>
    </row>
    <row customHeight="1" ht="22.5">
      <c r="A32" s="463" t="str">
        <f>IF(TEMPLATE_SPHERE="HEAT","6","5")</f>
        <v>6</v>
      </c>
      <c r="B32" s="508"/>
      <c r="C32" s="463"/>
      <c r="D32" s="446" t="str">
        <f>A32</f>
        <v>6</v>
      </c>
      <c r="E32" s="444"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2" s="449" t="s">
        <v>299</v>
      </c>
      <c r="G32" s="480"/>
      <c r="H32" s="481"/>
    </row>
    <row customHeight="1" ht="22.5">
      <c r="A33" s="463"/>
      <c r="B33" s="508"/>
      <c r="C33" s="463"/>
      <c r="D33" s="446" t="str">
        <f>D32&amp;".1"</f>
        <v>6.1</v>
      </c>
      <c r="E33" s="448" t="str">
        <f>"фамилия"&amp;IF(TEMPLATE_SPHERE&lt;&gt;"HEAT"," руководителя","")</f>
        <v>фамилия</v>
      </c>
      <c r="F33" s="447"/>
      <c r="G33" s="450"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3" s="481"/>
    </row>
    <row customHeight="1" ht="22.5">
      <c r="A34" s="463"/>
      <c r="B34" s="508"/>
      <c r="C34" s="463"/>
      <c r="D34" s="446" t="str">
        <f>D32&amp;".2"</f>
        <v>6.2</v>
      </c>
      <c r="E34" s="448" t="str">
        <f>"имя"&amp;IF(TEMPLATE_SPHERE&lt;&gt;"HEAT"," руководителя","")</f>
        <v>имя</v>
      </c>
      <c r="F34" s="447"/>
      <c r="G34" s="450"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4" s="481"/>
    </row>
    <row customHeight="1" ht="22.5">
      <c r="A35" s="463"/>
      <c r="B35" s="508"/>
      <c r="C35" s="463"/>
      <c r="D35" s="446" t="str">
        <f>D32&amp;".3"</f>
        <v>6.3</v>
      </c>
      <c r="E35" s="448" t="str">
        <f>"отчество"&amp;IF(TEMPLATE_SPHERE&lt;&gt;"HEAT"," руководителя","")</f>
        <v>отчество</v>
      </c>
      <c r="F35" s="704"/>
      <c r="G35" s="450"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5" s="481"/>
    </row>
    <row customHeight="1" ht="33.75">
      <c r="A36" s="463"/>
      <c r="B36" s="508"/>
      <c r="C36" s="463"/>
      <c r="D36" s="446">
        <f>D32+1</f>
        <v>7</v>
      </c>
      <c r="E36" s="444"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6" s="447"/>
      <c r="G36" s="450" t="s">
        <v>333</v>
      </c>
      <c r="H36" s="481"/>
    </row>
    <row customHeight="1" ht="33.75">
      <c r="A37" s="463"/>
      <c r="B37" s="508"/>
      <c r="C37" s="463"/>
      <c r="D37" s="446">
        <f>D36+1</f>
        <v>8</v>
      </c>
      <c r="E37" s="444"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7" s="447"/>
      <c r="G37" s="450" t="s">
        <v>333</v>
      </c>
      <c r="H37" s="481"/>
    </row>
    <row customHeight="1" ht="22.5">
      <c r="A38" s="463"/>
      <c r="B38" s="508"/>
      <c r="C38" s="463"/>
      <c r="D38" s="446">
        <f>D37+1</f>
        <v>9</v>
      </c>
      <c r="E38" s="443"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8" s="449" t="s">
        <v>299</v>
      </c>
      <c r="G38" s="2064"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481"/>
    </row>
    <row customHeight="1" ht="22.5" hidden="1">
      <c r="A39" s="463"/>
      <c r="B39" s="508"/>
      <c r="C39" s="463"/>
      <c r="D39" s="446" t="str">
        <f>D38&amp;".0"</f>
        <v>9.0</v>
      </c>
      <c r="E39" s="1645"/>
      <c r="F39" s="887"/>
      <c r="G39" s="2065"/>
      <c r="H39" s="481"/>
    </row>
    <row customHeight="1" ht="22.5">
      <c r="A40" s="463"/>
      <c r="B40" s="463"/>
      <c r="C40" s="1728"/>
      <c r="D40" s="446" t="str">
        <f>D38&amp;".1"</f>
        <v>9.1</v>
      </c>
      <c r="E40" s="866"/>
      <c r="F40" s="867"/>
      <c r="G40" s="2065"/>
      <c r="H40" s="481"/>
    </row>
    <row customHeight="1" ht="15">
      <c r="A41" s="463"/>
      <c r="B41" s="508"/>
      <c r="C41" s="463"/>
      <c r="D41" s="473"/>
      <c r="E41" s="421" t="s">
        <v>334</v>
      </c>
      <c r="F41" s="475"/>
      <c r="G41" s="2066"/>
      <c r="H41" s="482"/>
    </row>
    <row customHeight="1" ht="25.5">
      <c r="A42" s="463"/>
      <c r="B42" s="508"/>
      <c r="C42" s="463"/>
      <c r="D42" s="446">
        <f>D38+1</f>
        <v>10</v>
      </c>
      <c r="E42" s="444"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2" s="868"/>
      <c r="G42" s="450"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481"/>
    </row>
    <row customHeight="1" ht="22.5">
      <c r="A43" s="463"/>
      <c r="B43" s="508"/>
      <c r="C43" s="463"/>
      <c r="D43" s="446">
        <f>D42+1</f>
        <v>11</v>
      </c>
      <c r="E43" s="444"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3" s="381"/>
      <c r="G43" s="480" t="s">
        <v>335</v>
      </c>
      <c r="H43" s="481"/>
    </row>
    <row customHeight="1" ht="22.5">
      <c r="A44" s="463"/>
      <c r="B44" s="508"/>
      <c r="C44" s="463"/>
      <c r="D44" s="446">
        <f>D43+1</f>
        <v>12</v>
      </c>
      <c r="E44" s="444" t="s">
        <v>336</v>
      </c>
      <c r="F44" s="449" t="s">
        <v>299</v>
      </c>
      <c r="G44" s="443" t="str">
        <f>IF(TEMPLATE_SPHERE="TKO","Указывается режим работы организации.","")</f>
        <v/>
      </c>
      <c r="H44" s="481"/>
    </row>
    <row customHeight="1" ht="22.5">
      <c r="A45" s="463"/>
      <c r="B45" s="508"/>
      <c r="C45" s="463"/>
      <c r="D45" s="446" t="str">
        <f>D44&amp;".1"</f>
        <v>12.1</v>
      </c>
      <c r="E45" s="448" t="str">
        <f>"режим работы регулируемой организации"&amp;IF(TEMPLATE_SPHERE="HEAT",", ЕТО, ТО","")</f>
        <v>режим работы регулируемой организации, ЕТО, ТО</v>
      </c>
      <c r="F45" s="1724"/>
      <c r="G45" s="443" t="s">
        <v>337</v>
      </c>
      <c r="H45" s="481"/>
    </row>
    <row customHeight="1" ht="22.5">
      <c r="A46" s="2054"/>
      <c r="B46" s="508"/>
      <c r="C46" s="498"/>
      <c r="D46" s="446" t="str">
        <f>D44&amp;".2"</f>
        <v>12.2</v>
      </c>
      <c r="E46" s="448" t="s">
        <v>338</v>
      </c>
      <c r="F46" s="496"/>
      <c r="G46" s="443" t="s">
        <v>339</v>
      </c>
      <c r="H46" s="481"/>
    </row>
    <row customHeight="1" ht="22.5">
      <c r="A47" s="2054"/>
      <c r="B47" s="508"/>
      <c r="C47" s="498"/>
      <c r="D47" s="446" t="str">
        <f>D44&amp;".3"</f>
        <v>12.3</v>
      </c>
      <c r="E47" s="448" t="s">
        <v>340</v>
      </c>
      <c r="F47" s="496"/>
      <c r="G47" s="443" t="s">
        <v>341</v>
      </c>
      <c r="H47" s="481"/>
    </row>
    <row customHeight="1" ht="22.5">
      <c r="A48" s="2054"/>
      <c r="B48" s="508"/>
      <c r="C48" s="498"/>
      <c r="D48" s="446" t="str">
        <f>IF(TEMPLATE_SPHERE="TKO",D44&amp;".0",D44&amp;".4")</f>
        <v>12.4</v>
      </c>
      <c r="E48" s="442" t="s">
        <v>342</v>
      </c>
      <c r="F48" s="1725"/>
      <c r="G48" s="1802" t="s">
        <v>343</v>
      </c>
      <c r="H48" s="481"/>
    </row>
    <row customHeight="1" ht="22.5">
      <c r="A49" s="463"/>
      <c r="B49" s="508"/>
      <c r="C49" s="463"/>
      <c r="D49" s="473"/>
      <c r="E49" s="421" t="s">
        <v>344</v>
      </c>
      <c r="F49" s="474"/>
      <c r="G49" s="1802" t="s">
        <v>345</v>
      </c>
      <c r="H49" s="482"/>
    </row>
    <row customHeight="1" ht="22.5">
      <c r="A50" s="864"/>
      <c r="B50" s="508"/>
      <c r="C50" s="498"/>
      <c r="D50" s="446">
        <f>D44+1</f>
        <v>13</v>
      </c>
      <c r="E50" s="534" t="s">
        <v>346</v>
      </c>
      <c r="F50" s="496"/>
      <c r="G50" s="1729"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0" s="481"/>
    </row>
    <row customHeight="1" ht="11.25">
      <c r="A51" s="463"/>
      <c r="B51" s="508"/>
      <c r="C51" s="463"/>
    </row>
    <row s="3075" customFormat="1" customHeight="1" ht="30">
      <c r="A52" s="1727"/>
      <c r="B52" s="509"/>
      <c r="C52" s="2055"/>
      <c r="D52" s="2059"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2" s="2059"/>
      <c r="F52" s="2059"/>
      <c r="G52" s="2059"/>
      <c r="H52" s="460"/>
      <c r="I52" s="460"/>
    </row>
    <row s="3075" customFormat="1" customHeight="1" ht="39.75">
      <c r="A53" s="463"/>
      <c r="B53" s="508"/>
      <c r="C53" s="2055"/>
      <c r="D53" s="2059"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3" s="2059"/>
      <c r="F53" s="2059"/>
      <c r="G53" s="2059"/>
    </row>
    <row customHeight="1" ht="11.25">
      <c r="D54" s="464"/>
      <c r="E54" s="465"/>
      <c r="F54" s="465"/>
      <c r="G54" s="465"/>
    </row>
    <row customHeight="1" ht="27">
      <c r="D55" s="467"/>
      <c r="E55" s="464"/>
      <c r="F55" s="476"/>
      <c r="G55" s="476"/>
    </row>
    <row customHeight="1" ht="11.25">
      <c r="D56" s="464"/>
      <c r="E56" s="464"/>
      <c r="F56" s="465"/>
      <c r="G56" s="465"/>
    </row>
    <row customHeight="1" ht="39">
      <c r="D57" s="468"/>
      <c r="E57" s="477"/>
      <c r="F57" s="477"/>
      <c r="G57" s="477"/>
    </row>
    <row customHeight="1" ht="27">
      <c r="D58" s="468"/>
      <c r="E58" s="477"/>
      <c r="F58" s="477"/>
      <c r="G58" s="477"/>
    </row>
  </sheetData>
  <sheetProtection formatColumns="0" formatRows="0" sort="0" autoFilter="0" insertRows="0" insertColumns="1" deleteRows="0" deleteColumns="0"/>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856849-E8CF-2078-8CA4-2E8C1D9236C4}" mc:Ignorable="x14ac xr xr2 xr3">
  <sheetPr>
    <tabColor theme="3" tint="0.6"/>
  </sheetPr>
  <dimension ref="A1:AS17"/>
  <sheetViews>
    <sheetView topLeftCell="A1" showGridLines="0" zoomScale="90" workbookViewId="0">
      <selection activeCell="A1" sqref="A1"/>
    </sheetView>
  </sheetViews>
  <sheetFormatPr defaultColWidth="10.57421875" customHeight="1" defaultRowHeight="14.25"/>
  <cols>
    <col min="1" max="1" style="3151" width="9.140625" hidden="1" customWidth="1"/>
    <col min="2" max="2" style="3130" width="9.140625" hidden="1" customWidth="1"/>
    <col min="3" max="3" style="3152" width="3.7109375" customWidth="1"/>
    <col min="4" max="4" style="3130" width="5.57421875" customWidth="1"/>
    <col min="5" max="5" style="3130" width="48.421875" customWidth="1"/>
    <col min="6" max="6" style="3130" width="38.140625" customWidth="1"/>
    <col min="7" max="7" style="2623" width="1.7109375" hidden="1" customWidth="1"/>
    <col min="8" max="11" style="3130" width="19.8515625" customWidth="1"/>
    <col min="12" max="12" style="3130" width="9.7109375" customWidth="1"/>
    <col min="13" max="18" style="3130" width="19.8515625" customWidth="1"/>
    <col min="19" max="19" style="2623" width="1.7109375" hidden="1" customWidth="1"/>
    <col min="20" max="22" style="3153" width="19.8515625" hidden="1" customWidth="1"/>
    <col min="23" max="23" style="2623" width="1.7109375" hidden="1" customWidth="1"/>
    <col min="24" max="26" style="3153" width="19.8515625" hidden="1" customWidth="1"/>
    <col min="27" max="27" style="2623" width="1.7109375" hidden="1" customWidth="1"/>
    <col min="28" max="29" style="3153" width="19.8515625" hidden="1" customWidth="1"/>
    <col min="30" max="30" style="2623" width="1.7109375" hidden="1" customWidth="1"/>
    <col min="31" max="31" style="3130" width="103.7109375" customWidth="1"/>
    <col min="32" max="34" style="3153" width="103.7109375" hidden="1" customWidth="1"/>
    <col min="35" max="35" style="3154" width="3.7109375" customWidth="1"/>
    <col min="36" max="38" style="3107" width="10.57421875"/>
    <col min="39" max="39" style="3107" width="13.7109375" hidden="1" customWidth="1"/>
    <col min="40" max="40" style="3107" width="15.421875" customWidth="1"/>
    <col min="41" max="41" style="3107" width="16.28125" customWidth="1"/>
    <col min="42" max="45" style="3107" width="10.57421875"/>
  </cols>
  <sheetData>
    <row customHeight="1" ht="14.25" hidden="1">
      <c r="E1" s="418"/>
      <c r="F1" s="418"/>
      <c r="G1" s="418"/>
      <c r="H1" s="2082" t="s">
        <v>347</v>
      </c>
      <c r="I1" s="2082"/>
      <c r="J1" s="2082"/>
      <c r="K1" s="2082"/>
      <c r="L1" s="2082"/>
      <c r="M1" s="2082"/>
      <c r="N1" s="2082"/>
      <c r="O1" s="2082"/>
      <c r="P1" s="2082"/>
      <c r="Q1" s="2082"/>
      <c r="R1" s="2082"/>
      <c r="T1" s="2082" t="s">
        <v>348</v>
      </c>
      <c r="U1" s="2082"/>
      <c r="V1" s="2082"/>
      <c r="X1" s="2082" t="s">
        <v>349</v>
      </c>
      <c r="Y1" s="2082"/>
      <c r="Z1" s="2082"/>
      <c r="AB1" s="2082" t="s">
        <v>350</v>
      </c>
      <c r="AC1" s="2082"/>
    </row>
    <row customHeight="1" ht="14.25" hidden="1"/>
    <row s="3090" customFormat="1" customHeight="1" ht="6">
      <c r="C3" s="707"/>
      <c r="D3" s="708"/>
      <c r="E3" s="708"/>
      <c r="F3" s="708"/>
      <c r="G3" s="708"/>
      <c r="H3" s="708" t="s">
        <v>351</v>
      </c>
      <c r="I3" s="708"/>
      <c r="J3" s="708"/>
      <c r="K3" s="708"/>
      <c r="L3" s="708"/>
      <c r="M3" s="708"/>
      <c r="N3" s="708"/>
      <c r="O3" s="708"/>
      <c r="P3" s="708"/>
      <c r="Q3" s="708"/>
      <c r="R3" s="708"/>
      <c r="S3" s="708"/>
      <c r="T3" s="708"/>
      <c r="U3" s="708"/>
      <c r="V3" s="708"/>
      <c r="W3" s="708"/>
      <c r="X3" s="708"/>
      <c r="Y3" s="708"/>
      <c r="Z3" s="708"/>
      <c r="AA3" s="708"/>
      <c r="AB3" s="708"/>
      <c r="AC3" s="708"/>
      <c r="AD3" s="708"/>
      <c r="AE3" s="708"/>
      <c r="AF3" s="708"/>
      <c r="AG3" s="708"/>
      <c r="AH3" s="708"/>
      <c r="AJ3" s="517"/>
      <c r="AK3" s="517"/>
      <c r="AL3" s="517"/>
      <c r="AM3" s="517"/>
      <c r="AN3" s="517"/>
      <c r="AO3" s="517"/>
      <c r="AP3" s="517"/>
      <c r="AQ3" s="517"/>
      <c r="AR3" s="517"/>
      <c r="AS3" s="517"/>
    </row>
    <row customHeight="1" ht="37.5">
      <c r="C4" s="456"/>
      <c r="D4" s="2019"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020"/>
      <c r="F4" s="2020"/>
      <c r="G4" s="2020"/>
      <c r="H4" s="2020"/>
      <c r="I4" s="2020"/>
      <c r="J4" s="2020"/>
      <c r="K4" s="2020"/>
      <c r="L4" s="2020"/>
      <c r="M4" s="2020"/>
      <c r="N4" s="2020"/>
      <c r="O4" s="2020"/>
      <c r="P4" s="2020"/>
      <c r="Q4" s="2020"/>
      <c r="R4" s="2021"/>
      <c r="S4" s="859"/>
      <c r="T4" s="705"/>
      <c r="U4" s="705"/>
      <c r="V4" s="705"/>
      <c r="W4" s="705"/>
      <c r="X4" s="705"/>
      <c r="Y4" s="705"/>
      <c r="Z4" s="705"/>
      <c r="AA4" s="705"/>
      <c r="AB4" s="705"/>
      <c r="AC4" s="705"/>
      <c r="AD4" s="705"/>
      <c r="AE4" s="497"/>
      <c r="AF4" s="497"/>
      <c r="AG4" s="497"/>
      <c r="AH4" s="497"/>
      <c r="AI4" s="494"/>
    </row>
    <row s="2623" customFormat="1" customHeight="1" ht="17.25">
      <c r="A5" s="765"/>
      <c r="C5" s="828"/>
      <c r="D5" s="2079" t="str">
        <f>IF(org=0,"Не определено",org)</f>
        <v>ЗАО "Байкалэнерго"</v>
      </c>
      <c r="E5" s="2080"/>
      <c r="F5" s="2080"/>
      <c r="G5" s="2080"/>
      <c r="H5" s="2080"/>
      <c r="I5" s="2080"/>
      <c r="J5" s="2080"/>
      <c r="K5" s="2080"/>
      <c r="L5" s="2080"/>
      <c r="M5" s="2080"/>
      <c r="N5" s="2080"/>
      <c r="O5" s="2080"/>
      <c r="P5" s="2080"/>
      <c r="Q5" s="2080"/>
      <c r="R5" s="2081"/>
      <c r="S5" s="859"/>
      <c r="T5" s="705"/>
      <c r="U5" s="705"/>
      <c r="V5" s="705"/>
      <c r="W5" s="705"/>
      <c r="X5" s="705"/>
      <c r="Y5" s="705"/>
      <c r="Z5" s="705"/>
      <c r="AA5" s="705"/>
      <c r="AB5" s="705"/>
      <c r="AC5" s="705"/>
      <c r="AD5" s="705"/>
      <c r="AE5" s="497"/>
      <c r="AF5" s="497"/>
      <c r="AG5" s="497"/>
      <c r="AH5" s="497"/>
      <c r="AI5" s="494"/>
      <c r="AJ5" s="517"/>
      <c r="AK5" s="517"/>
      <c r="AL5" s="517"/>
      <c r="AM5" s="517"/>
      <c r="AN5" s="517"/>
      <c r="AO5" s="517"/>
      <c r="AP5" s="517"/>
      <c r="AQ5" s="517"/>
      <c r="AR5" s="517"/>
      <c r="AS5" s="517"/>
    </row>
    <row s="3102" customFormat="1" customHeight="1" ht="11.25">
      <c r="A6" s="485"/>
      <c r="C6" s="492"/>
      <c r="D6" s="491"/>
      <c r="E6" s="491"/>
      <c r="F6" s="491"/>
      <c r="G6" s="491"/>
      <c r="H6" s="491"/>
      <c r="I6" s="491"/>
      <c r="J6" s="491"/>
      <c r="K6" s="491"/>
      <c r="L6" s="491"/>
      <c r="M6" s="491"/>
      <c r="N6" s="491"/>
      <c r="O6" s="491"/>
      <c r="P6" s="491"/>
      <c r="Q6" s="491"/>
      <c r="R6" s="758"/>
      <c r="S6" s="758"/>
      <c r="T6" s="491"/>
      <c r="U6" s="491"/>
      <c r="V6" s="718"/>
      <c r="W6" s="718"/>
      <c r="X6" s="491"/>
      <c r="Y6" s="491"/>
      <c r="Z6" s="718"/>
      <c r="AA6" s="718"/>
      <c r="AB6" s="491"/>
      <c r="AC6" s="718"/>
      <c r="AD6" s="718"/>
      <c r="AE6" s="491"/>
      <c r="AF6" s="491"/>
      <c r="AG6" s="491"/>
      <c r="AH6" s="491"/>
      <c r="AJ6" s="495"/>
      <c r="AK6" s="495"/>
      <c r="AL6" s="495"/>
      <c r="AM6" s="495"/>
      <c r="AN6" s="495"/>
      <c r="AO6" s="495"/>
      <c r="AP6" s="495"/>
      <c r="AQ6" s="495"/>
      <c r="AR6" s="495"/>
      <c r="AS6" s="495"/>
    </row>
    <row customHeight="1" ht="14.25">
      <c r="C7" s="456"/>
      <c r="D7" s="2068" t="s">
        <v>293</v>
      </c>
      <c r="E7" s="2083"/>
      <c r="F7" s="2083"/>
      <c r="G7" s="2083"/>
      <c r="H7" s="2083"/>
      <c r="I7" s="2083"/>
      <c r="J7" s="2083"/>
      <c r="K7" s="2083"/>
      <c r="L7" s="2083"/>
      <c r="M7" s="2083"/>
      <c r="N7" s="2083"/>
      <c r="O7" s="2083"/>
      <c r="P7" s="2083"/>
      <c r="Q7" s="2083"/>
      <c r="R7" s="2083"/>
      <c r="S7" s="2083"/>
      <c r="T7" s="2083"/>
      <c r="U7" s="2083"/>
      <c r="V7" s="2083"/>
      <c r="W7" s="2083"/>
      <c r="X7" s="2083"/>
      <c r="Y7" s="2083"/>
      <c r="Z7" s="2083"/>
      <c r="AA7" s="2083"/>
      <c r="AB7" s="2083"/>
      <c r="AC7" s="2083"/>
      <c r="AD7" s="2084"/>
      <c r="AE7" s="2067" t="s">
        <v>294</v>
      </c>
      <c r="AF7" s="2067" t="s">
        <v>294</v>
      </c>
      <c r="AG7" s="2067" t="s">
        <v>294</v>
      </c>
      <c r="AH7" s="2067" t="s">
        <v>294</v>
      </c>
    </row>
    <row customHeight="1" ht="25.5">
      <c r="C8" s="456"/>
      <c r="D8" s="1971" t="s">
        <v>88</v>
      </c>
      <c r="E8" s="2067" t="str">
        <f>"Наименование "&amp;IF(TEMPLATE_SPHERE&lt;&gt;"HEAT","централизованной ","")&amp;"системы "&amp;TEMPLATE_SPHERE_RUS</f>
        <v>Наименование системы теплоснабжения</v>
      </c>
      <c r="F8" s="2067" t="str">
        <f>IF(TEMPLATE_SPHERE&lt;&gt;"HEAT","Регулируемый вид деятельности","Вид регулируемой деятельности")</f>
        <v>Вид регулируемой деятельности</v>
      </c>
      <c r="G8" s="834"/>
      <c r="H8" s="2073" t="s">
        <v>352</v>
      </c>
      <c r="I8" s="2075" t="s">
        <v>353</v>
      </c>
      <c r="J8" s="2067" t="s">
        <v>354</v>
      </c>
      <c r="K8" s="2067"/>
      <c r="L8" s="2067"/>
      <c r="M8" s="2068"/>
      <c r="N8" s="2067" t="s">
        <v>355</v>
      </c>
      <c r="O8" s="2067"/>
      <c r="P8" s="2067" t="s">
        <v>356</v>
      </c>
      <c r="Q8" s="2067"/>
      <c r="R8" s="2071" t="s">
        <v>357</v>
      </c>
      <c r="S8" s="830"/>
      <c r="T8" s="2069" t="s">
        <v>358</v>
      </c>
      <c r="U8" s="2069" t="s">
        <v>359</v>
      </c>
      <c r="V8" s="2069" t="s">
        <v>360</v>
      </c>
      <c r="W8" s="832"/>
      <c r="X8" s="2069" t="s">
        <v>361</v>
      </c>
      <c r="Y8" s="2069" t="s">
        <v>362</v>
      </c>
      <c r="Z8" s="2069" t="s">
        <v>363</v>
      </c>
      <c r="AA8" s="832"/>
      <c r="AB8" s="2069" t="s">
        <v>364</v>
      </c>
      <c r="AC8" s="2069" t="s">
        <v>357</v>
      </c>
      <c r="AD8" s="832"/>
      <c r="AE8" s="2067"/>
      <c r="AF8" s="2067"/>
      <c r="AG8" s="2067"/>
      <c r="AH8" s="2067"/>
    </row>
    <row customHeight="1" ht="43.5">
      <c r="C9" s="456"/>
      <c r="D9" s="1971"/>
      <c r="E9" s="2067"/>
      <c r="F9" s="2067"/>
      <c r="G9" s="835"/>
      <c r="H9" s="2074"/>
      <c r="I9" s="2076"/>
      <c r="J9" s="431" t="s">
        <v>365</v>
      </c>
      <c r="K9" s="431" t="s">
        <v>366</v>
      </c>
      <c r="L9" s="431" t="s">
        <v>367</v>
      </c>
      <c r="M9" s="437" t="s">
        <v>368</v>
      </c>
      <c r="N9" s="431" t="s">
        <v>369</v>
      </c>
      <c r="O9" s="431" t="s">
        <v>368</v>
      </c>
      <c r="P9" s="431" t="s">
        <v>370</v>
      </c>
      <c r="Q9" s="431" t="s">
        <v>368</v>
      </c>
      <c r="R9" s="2072"/>
      <c r="S9" s="831"/>
      <c r="T9" s="2070"/>
      <c r="U9" s="2070"/>
      <c r="V9" s="2070"/>
      <c r="W9" s="833"/>
      <c r="X9" s="2070"/>
      <c r="Y9" s="2070"/>
      <c r="Z9" s="2070"/>
      <c r="AA9" s="833"/>
      <c r="AB9" s="2070"/>
      <c r="AC9" s="2070"/>
      <c r="AD9" s="833"/>
      <c r="AE9" s="2067"/>
      <c r="AF9" s="2067"/>
      <c r="AG9" s="2067"/>
      <c r="AH9" s="2067"/>
    </row>
    <row customHeight="1" ht="12" hidden="1">
      <c r="C10" s="493"/>
      <c r="D10" s="454"/>
      <c r="E10" s="454"/>
      <c r="F10" s="454"/>
      <c r="G10" s="454"/>
      <c r="H10" s="454"/>
      <c r="I10" s="454"/>
      <c r="J10" s="454"/>
      <c r="K10" s="454"/>
      <c r="L10" s="454"/>
      <c r="M10" s="454"/>
      <c r="N10" s="454"/>
      <c r="O10" s="454"/>
      <c r="P10" s="454"/>
      <c r="Q10" s="454"/>
      <c r="R10" s="454"/>
      <c r="S10" s="454"/>
      <c r="T10" s="454"/>
      <c r="U10" s="454"/>
      <c r="V10" s="454"/>
      <c r="W10" s="454"/>
      <c r="X10" s="454"/>
      <c r="Y10" s="454"/>
      <c r="Z10" s="454"/>
      <c r="AA10" s="454"/>
      <c r="AB10" s="454"/>
      <c r="AC10" s="454"/>
      <c r="AD10" s="454"/>
      <c r="AE10" s="454"/>
      <c r="AF10" s="454"/>
      <c r="AG10" s="454"/>
      <c r="AH10" s="454"/>
      <c r="AI10" s="453"/>
      <c r="AP10" s="506"/>
      <c r="AQ10" s="506"/>
    </row>
    <row s="2610" customFormat="1" customHeight="1" ht="11.25" hidden="1">
      <c r="C11" s="504"/>
      <c r="D11" s="505" t="s">
        <v>371</v>
      </c>
      <c r="E11" s="505"/>
      <c r="F11" s="505"/>
      <c r="G11" s="505"/>
      <c r="H11" s="503"/>
      <c r="I11" s="503"/>
      <c r="J11" s="503"/>
      <c r="K11" s="503"/>
      <c r="L11" s="503"/>
      <c r="M11" s="503"/>
      <c r="N11" s="503"/>
      <c r="O11" s="503"/>
      <c r="P11" s="503"/>
      <c r="Q11" s="503"/>
      <c r="R11" s="503"/>
      <c r="S11" s="503"/>
      <c r="T11" s="503"/>
      <c r="U11" s="503"/>
      <c r="V11" s="503"/>
      <c r="W11" s="503"/>
      <c r="X11" s="503"/>
      <c r="Y11" s="503"/>
      <c r="Z11" s="503"/>
      <c r="AA11" s="503"/>
      <c r="AB11" s="503"/>
      <c r="AC11" s="503"/>
      <c r="AD11" s="503"/>
      <c r="AE11" s="441"/>
      <c r="AF11" s="441"/>
      <c r="AG11" s="441"/>
      <c r="AH11" s="441"/>
      <c r="AJ11" s="495"/>
      <c r="AK11" s="495"/>
      <c r="AL11" s="495"/>
      <c r="AM11" s="495"/>
      <c r="AN11" s="495"/>
      <c r="AO11" s="495"/>
      <c r="AP11" s="495"/>
      <c r="AQ11" s="495"/>
      <c r="AR11" s="495"/>
      <c r="AS11" s="495"/>
    </row>
    <row customHeight="1" ht="14.25">
      <c r="A12" s="453"/>
      <c r="C12" s="456"/>
      <c r="D12" s="440" t="s">
        <v>110</v>
      </c>
      <c r="E12" s="1818" t="s">
        <v>24</v>
      </c>
      <c r="F12" s="861"/>
      <c r="G12" s="862"/>
      <c r="H12" s="1819"/>
      <c r="I12" s="1819"/>
      <c r="J12" s="439"/>
      <c r="K12" s="1906"/>
      <c r="L12" s="438"/>
      <c r="M12" s="1906"/>
      <c r="N12" s="439"/>
      <c r="O12" s="1906"/>
      <c r="P12" s="439"/>
      <c r="Q12" s="1906"/>
      <c r="R12" s="439"/>
      <c r="S12" s="860"/>
      <c r="T12" s="1819"/>
      <c r="U12" s="439"/>
      <c r="V12" s="439"/>
      <c r="W12" s="833"/>
      <c r="X12" s="1819"/>
      <c r="Y12" s="439"/>
      <c r="Z12" s="439"/>
      <c r="AA12" s="833"/>
      <c r="AB12" s="1819"/>
      <c r="AC12" s="439"/>
      <c r="AD12" s="833"/>
      <c r="AE12" s="2077" t="s">
        <v>372</v>
      </c>
      <c r="AF12" s="2077" t="s">
        <v>373</v>
      </c>
      <c r="AG12" s="2077" t="s">
        <v>374</v>
      </c>
      <c r="AH12" s="2077" t="s">
        <v>375</v>
      </c>
      <c r="AI12" s="453"/>
      <c r="AM12" s="517"/>
      <c r="AP12" s="506" t="s">
        <v>376</v>
      </c>
      <c r="AQ12" s="506" t="s">
        <v>376</v>
      </c>
    </row>
    <row customHeight="1" ht="17.25">
      <c r="A13" s="453"/>
      <c r="C13" s="456"/>
      <c r="D13" s="411"/>
      <c r="E13" s="875" t="str">
        <f>IF(TITLE_DIFFERENTIATION_TYPE="нет","","Добавить систему")</f>
        <v/>
      </c>
      <c r="F13" s="875" t="str">
        <f>IF(TITLE_DIFFERENTIATION_TYPE="нет","Добавить вид деятельности","")</f>
        <v>Добавить вид деятельности</v>
      </c>
      <c r="G13" s="303"/>
      <c r="H13" s="412"/>
      <c r="I13" s="412"/>
      <c r="J13" s="412"/>
      <c r="K13" s="412"/>
      <c r="L13" s="412"/>
      <c r="M13" s="412"/>
      <c r="N13" s="412"/>
      <c r="O13" s="412"/>
      <c r="P13" s="412"/>
      <c r="Q13" s="412"/>
      <c r="R13" s="412"/>
      <c r="S13" s="412"/>
      <c r="T13" s="412"/>
      <c r="U13" s="412"/>
      <c r="V13" s="412"/>
      <c r="W13" s="412"/>
      <c r="X13" s="412"/>
      <c r="Y13" s="412"/>
      <c r="Z13" s="412"/>
      <c r="AA13" s="412"/>
      <c r="AB13" s="412"/>
      <c r="AC13" s="412"/>
      <c r="AD13" s="863"/>
      <c r="AE13" s="2078"/>
      <c r="AF13" s="2078"/>
      <c r="AG13" s="2078"/>
      <c r="AH13" s="2078"/>
      <c r="AI13" s="453"/>
    </row>
    <row customHeight="1" ht="14.25">
      <c r="AI14" s="453"/>
    </row>
    <row customHeight="1" ht="14.25">
      <c r="E15" s="764"/>
      <c r="L15" s="764"/>
    </row>
    <row customHeight="1" ht="14.25">
      <c r="L16" s="764"/>
    </row>
    <row customHeight="1" ht="14.25">
      <c r="L17" s="764"/>
    </row>
  </sheetData>
  <sheetProtection formatColumns="0" formatRows="0" autoFilter="0" sort="0" insertRows="0" insertColumns="1" deleteRows="0" deleteColumns="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16F013-3EFD-51EA-F94F-55B92A8922AB}" mc:Ignorable="x14ac xr xr2 xr3">
  <sheetPr>
    <tabColor theme="3" tint="0.6"/>
  </sheetPr>
  <dimension ref="A1:U17"/>
  <sheetViews>
    <sheetView topLeftCell="A1" showGridLines="0" zoomScale="90" workbookViewId="0">
      <selection activeCell="A1" sqref="A1"/>
    </sheetView>
  </sheetViews>
  <sheetFormatPr defaultColWidth="10.57421875" customHeight="1" defaultRowHeight="14.25"/>
  <cols>
    <col min="1" max="1" style="3178" width="9.140625" hidden="1" customWidth="1"/>
    <col min="2" max="2" style="3175" width="9.140625" hidden="1" customWidth="1"/>
    <col min="3" max="3" style="3152" width="3.7109375" customWidth="1"/>
    <col min="4" max="4" style="3175" width="5.57421875" customWidth="1"/>
    <col min="5" max="5" style="3175" width="38.140625" customWidth="1"/>
    <col min="6" max="7" style="3175" width="3.7109375" customWidth="1"/>
    <col min="8" max="8" style="3175" width="38.28125" customWidth="1"/>
    <col min="9" max="9" style="3175" width="35.7109375" customWidth="1"/>
    <col min="10" max="10" style="3175" width="103.7109375" customWidth="1"/>
    <col min="11" max="11" style="2946" width="3.7109375" customWidth="1"/>
    <col min="12" max="14" style="3168" width="10.57421875"/>
    <col min="15" max="15" style="3168" width="13.7109375" customWidth="1"/>
    <col min="16" max="16" style="3168" width="15.421875" customWidth="1"/>
    <col min="17" max="17" style="3168" width="16.28125" customWidth="1"/>
    <col min="18" max="21" style="3168" width="10.57421875"/>
  </cols>
  <sheetData>
    <row customHeight="1" ht="14.25" hidden="1">
      <c r="E1" s="418"/>
      <c r="F1" s="418"/>
      <c r="G1" s="418"/>
      <c r="H1" s="2082" t="s">
        <v>347</v>
      </c>
      <c r="I1" s="2082"/>
    </row>
    <row s="3155" customFormat="1" customHeight="1" ht="14.25" hidden="1">
      <c r="C2" s="1659"/>
      <c r="D2" s="2086" t="s">
        <v>110</v>
      </c>
      <c r="E2" s="2088"/>
      <c r="F2" s="1665"/>
      <c r="G2" s="1660" t="s">
        <v>110</v>
      </c>
      <c r="H2" s="1663"/>
      <c r="I2" s="1661"/>
      <c r="L2" s="1662"/>
      <c r="M2" s="1662"/>
      <c r="N2" s="1662"/>
      <c r="O2" s="1662" t="s">
        <v>377</v>
      </c>
      <c r="P2" s="1662"/>
      <c r="Q2" s="1662"/>
      <c r="R2" s="1664" t="s">
        <v>376</v>
      </c>
      <c r="S2" s="1664" t="s">
        <v>376</v>
      </c>
      <c r="T2" s="1662"/>
      <c r="U2" s="1662"/>
    </row>
    <row s="3155" customFormat="1" customHeight="1" ht="14.25" hidden="1">
      <c r="C3" s="1659"/>
      <c r="D3" s="2087"/>
      <c r="E3" s="2089"/>
      <c r="F3" s="411"/>
      <c r="G3" s="875"/>
      <c r="H3" s="875" t="s">
        <v>378</v>
      </c>
      <c r="I3" s="303"/>
      <c r="L3" s="1662"/>
      <c r="M3" s="1662"/>
      <c r="N3" s="1662"/>
      <c r="O3" s="1662"/>
      <c r="P3" s="1662"/>
      <c r="Q3" s="1662"/>
      <c r="R3" s="1664"/>
      <c r="S3" s="1664"/>
      <c r="T3" s="1662"/>
      <c r="U3" s="1662"/>
    </row>
    <row customHeight="1" ht="14.25" hidden="1"/>
    <row s="3167" customFormat="1" customHeight="1" ht="6">
      <c r="C5" s="707"/>
      <c r="D5" s="708"/>
      <c r="E5" s="708"/>
      <c r="F5" s="708"/>
      <c r="G5" s="708"/>
      <c r="H5" s="708" t="s">
        <v>351</v>
      </c>
      <c r="I5" s="708"/>
      <c r="J5" s="708"/>
      <c r="L5" s="1654"/>
      <c r="M5" s="1654"/>
      <c r="N5" s="1654"/>
      <c r="O5" s="1654"/>
      <c r="P5" s="1654"/>
      <c r="Q5" s="1654"/>
      <c r="R5" s="1654"/>
      <c r="S5" s="1654"/>
      <c r="T5" s="1654"/>
      <c r="U5" s="1654"/>
    </row>
    <row customHeight="1" ht="27.75">
      <c r="C6" s="1546"/>
      <c r="D6" s="2085" t="s">
        <v>379</v>
      </c>
      <c r="E6" s="2085"/>
      <c r="F6" s="2085"/>
      <c r="G6" s="2085"/>
      <c r="H6" s="2085"/>
      <c r="I6" s="2085"/>
      <c r="J6" s="497"/>
      <c r="K6" s="1655"/>
    </row>
    <row customHeight="1" ht="17.25">
      <c r="C7" s="1546"/>
      <c r="D7" s="2053" t="str">
        <f>IF(org=0,"Не определено",org)</f>
        <v>ЗАО "Байкалэнерго"</v>
      </c>
      <c r="E7" s="2053"/>
      <c r="F7" s="2053"/>
      <c r="G7" s="2053"/>
      <c r="H7" s="2053"/>
      <c r="I7" s="2053"/>
      <c r="J7" s="497"/>
      <c r="K7" s="1655"/>
    </row>
    <row s="3172" customFormat="1" customHeight="1" ht="6">
      <c r="A8" s="1651"/>
      <c r="C8" s="492"/>
      <c r="D8" s="491"/>
      <c r="E8" s="491"/>
      <c r="F8" s="491"/>
      <c r="G8" s="491"/>
      <c r="H8" s="491"/>
      <c r="I8" s="491"/>
      <c r="J8" s="491"/>
      <c r="L8" s="1654"/>
      <c r="M8" s="1654"/>
      <c r="N8" s="1654"/>
      <c r="O8" s="1654"/>
      <c r="P8" s="1654"/>
      <c r="Q8" s="1654"/>
      <c r="R8" s="1654"/>
      <c r="S8" s="1654"/>
      <c r="T8" s="1654"/>
      <c r="U8" s="1654"/>
    </row>
    <row s="3172" customFormat="1" customHeight="1" ht="6">
      <c r="A9" s="1651"/>
      <c r="C9" s="492"/>
      <c r="D9" s="491"/>
      <c r="E9" s="491"/>
      <c r="F9" s="491"/>
      <c r="G9" s="491"/>
      <c r="H9" s="491"/>
      <c r="I9" s="491"/>
      <c r="J9" s="491"/>
      <c r="L9" s="1662"/>
      <c r="M9" s="1662"/>
      <c r="N9" s="1662"/>
      <c r="O9" s="1662"/>
      <c r="P9" s="1662"/>
      <c r="Q9" s="1662"/>
      <c r="R9" s="1662"/>
      <c r="S9" s="1662"/>
      <c r="T9" s="1662"/>
      <c r="U9" s="1662"/>
    </row>
    <row customHeight="1" ht="14.25">
      <c r="C10" s="1546"/>
      <c r="D10" s="2068" t="s">
        <v>293</v>
      </c>
      <c r="E10" s="2083"/>
      <c r="F10" s="2083"/>
      <c r="G10" s="2083"/>
      <c r="H10" s="2083"/>
      <c r="I10" s="2083"/>
      <c r="J10" s="2067" t="s">
        <v>294</v>
      </c>
    </row>
    <row customHeight="1" ht="25.5">
      <c r="C11" s="1546"/>
      <c r="D11" s="1971" t="s">
        <v>88</v>
      </c>
      <c r="E11" s="2067" t="str">
        <f>IF(TEMPLATE_SPHERE&lt;&gt;"HEAT","Регулируемый вид деятельности","Вид регулируемой деятельности")</f>
        <v>Вид регулируемой деятельности</v>
      </c>
      <c r="F11" s="2029" t="s">
        <v>88</v>
      </c>
      <c r="G11" s="2030"/>
      <c r="H11" s="2028" t="s">
        <v>380</v>
      </c>
      <c r="I11" s="2028" t="s">
        <v>381</v>
      </c>
      <c r="J11" s="2067"/>
    </row>
    <row customHeight="1" ht="14.25">
      <c r="C12" s="1546"/>
      <c r="D12" s="1971"/>
      <c r="E12" s="2067"/>
      <c r="F12" s="2037"/>
      <c r="G12" s="2038"/>
      <c r="H12" s="2090"/>
      <c r="I12" s="2090"/>
      <c r="J12" s="2067"/>
    </row>
    <row s="2610" customFormat="1" customHeight="1" ht="11.25" hidden="1">
      <c r="C13" s="504"/>
      <c r="D13" s="505" t="s">
        <v>371</v>
      </c>
      <c r="E13" s="505"/>
      <c r="F13" s="505"/>
      <c r="G13" s="505"/>
      <c r="H13" s="503"/>
      <c r="I13" s="503"/>
      <c r="J13" s="441"/>
      <c r="L13" s="1654"/>
      <c r="M13" s="1654"/>
      <c r="N13" s="1654"/>
      <c r="O13" s="1654"/>
      <c r="P13" s="1654"/>
      <c r="Q13" s="1654"/>
      <c r="R13" s="1654"/>
      <c r="S13" s="1654"/>
      <c r="T13" s="1654"/>
      <c r="U13" s="1654"/>
    </row>
    <row customHeight="1" ht="14.25">
      <c r="A14" s="1647"/>
      <c r="C14" s="1546"/>
      <c r="D14" s="2086" t="s">
        <v>110</v>
      </c>
      <c r="E14" s="2088"/>
      <c r="F14" s="1657"/>
      <c r="G14" s="1656" t="s">
        <v>110</v>
      </c>
      <c r="H14" s="1663"/>
      <c r="I14" s="1661"/>
      <c r="J14" s="2015" t="s">
        <v>382</v>
      </c>
      <c r="K14" s="1647"/>
      <c r="R14" s="506" t="s">
        <v>376</v>
      </c>
      <c r="S14" s="506" t="s">
        <v>376</v>
      </c>
    </row>
    <row customHeight="1" ht="14.25">
      <c r="A15" s="1647"/>
      <c r="C15" s="1546"/>
      <c r="D15" s="2087"/>
      <c r="E15" s="2089"/>
      <c r="F15" s="411"/>
      <c r="G15" s="875"/>
      <c r="H15" s="875" t="s">
        <v>378</v>
      </c>
      <c r="I15" s="303"/>
      <c r="J15" s="2016"/>
      <c r="K15" s="1647"/>
      <c r="R15" s="506"/>
      <c r="S15" s="506"/>
    </row>
    <row customHeight="1" ht="14.25">
      <c r="A16" s="1647"/>
      <c r="C16" s="1546"/>
      <c r="D16" s="411"/>
      <c r="E16" s="875" t="s">
        <v>122</v>
      </c>
      <c r="F16" s="303"/>
      <c r="G16" s="303"/>
      <c r="H16" s="412"/>
      <c r="I16" s="412"/>
      <c r="J16" s="2017"/>
      <c r="K16" s="1647"/>
    </row>
    <row customHeight="1" ht="14.25">
      <c r="K17" s="1647"/>
    </row>
  </sheetData>
  <sheetProtection formatColumns="0" formatRows="0" autoFilter="0" sort="0" insertRows="0" insertColumns="1" deleteRows="0" deleteColumns="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D2DAC9E-4A46-01A8-2D93-EDD5249F7AE1}"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3151" width="9.140625" hidden="1" customWidth="1"/>
    <col min="2" max="2" style="3130" width="9.140625" hidden="1" customWidth="1"/>
    <col min="3" max="3" style="2623" width="9.140625" hidden="1" customWidth="1"/>
    <col min="4" max="4" style="3152" width="3.7109375" customWidth="1"/>
    <col min="5" max="5" style="3130" width="6.28125" customWidth="1"/>
    <col min="6" max="6" style="2623" width="1.7109375" hidden="1" customWidth="1"/>
    <col min="7" max="8" style="3130" width="30.7109375" customWidth="1"/>
    <col min="9" max="9" style="3130" width="9.00390625" customWidth="1"/>
    <col min="10" max="10" style="3130" width="12.140625" customWidth="1"/>
    <col min="11" max="11" style="3130" width="46.7109375" customWidth="1"/>
    <col min="12" max="12" style="3130" width="100.28125" customWidth="1"/>
    <col min="13" max="13" style="3154" width="7.57421875" customWidth="1"/>
    <col min="14" max="22" style="3130" width="10.57421875"/>
  </cols>
  <sheetData>
    <row s="3107" customFormat="1" customHeight="1" ht="5.25" hidden="1">
      <c r="C1" s="517"/>
      <c r="D1" s="500"/>
      <c r="F1" s="517"/>
      <c r="G1" s="495" t="s">
        <v>83</v>
      </c>
      <c r="H1" s="495" t="s">
        <v>84</v>
      </c>
      <c r="I1" s="495" t="s">
        <v>85</v>
      </c>
      <c r="P1" s="495" t="s">
        <v>83</v>
      </c>
      <c r="Q1" s="495" t="s">
        <v>84</v>
      </c>
      <c r="R1" s="495" t="s">
        <v>85</v>
      </c>
    </row>
    <row s="3107" customFormat="1" customHeight="1" ht="5.25" hidden="1">
      <c r="C2" s="517"/>
      <c r="D2" s="500"/>
      <c r="F2" s="517"/>
    </row>
    <row s="3102" customFormat="1" customHeight="1" ht="6">
      <c r="A3" s="485"/>
      <c r="D3" s="492"/>
      <c r="E3" s="487"/>
      <c r="F3" s="487"/>
      <c r="G3" s="487"/>
      <c r="H3" s="487"/>
      <c r="I3" s="488"/>
      <c r="J3" s="489"/>
      <c r="K3" s="489"/>
      <c r="L3" s="489"/>
    </row>
    <row customHeight="1" ht="22.5">
      <c r="D4" s="456"/>
      <c r="E4" s="2091" t="s">
        <v>383</v>
      </c>
      <c r="F4" s="2091"/>
      <c r="G4" s="2092"/>
      <c r="H4" s="2092"/>
      <c r="I4" s="2093"/>
      <c r="J4" s="497"/>
      <c r="K4" s="459"/>
      <c r="L4" s="459"/>
    </row>
    <row s="2623" customFormat="1" customHeight="1" ht="17.25">
      <c r="A5" s="765"/>
      <c r="D5" s="828"/>
      <c r="E5" s="2079" t="str">
        <f>IF(org=0,"Не определено",org)</f>
        <v>ЗАО "Байкалэнерго"</v>
      </c>
      <c r="F5" s="2079"/>
      <c r="G5" s="2080"/>
      <c r="H5" s="2080"/>
      <c r="I5" s="2081"/>
      <c r="J5" s="497"/>
      <c r="K5" s="459"/>
      <c r="L5" s="459"/>
      <c r="M5" s="513"/>
    </row>
    <row s="3102" customFormat="1" customHeight="1" ht="11.25">
      <c r="A6" s="485"/>
      <c r="D6" s="492"/>
      <c r="E6" s="487"/>
      <c r="F6" s="487"/>
      <c r="G6" s="490"/>
      <c r="H6" s="490"/>
      <c r="I6" s="491"/>
      <c r="J6" s="491"/>
      <c r="K6" s="758"/>
      <c r="L6" s="491"/>
    </row>
    <row customHeight="1" ht="14.25">
      <c r="D7" s="456"/>
      <c r="E7" s="2061" t="s">
        <v>293</v>
      </c>
      <c r="F7" s="2061"/>
      <c r="G7" s="2062"/>
      <c r="H7" s="2062"/>
      <c r="I7" s="2062"/>
      <c r="J7" s="2062"/>
      <c r="K7" s="2062"/>
      <c r="L7" s="2067" t="s">
        <v>294</v>
      </c>
    </row>
    <row customHeight="1" ht="45">
      <c r="D8" s="456"/>
      <c r="E8" s="479" t="s">
        <v>88</v>
      </c>
      <c r="F8" s="829"/>
      <c r="G8" s="471" t="s">
        <v>86</v>
      </c>
      <c r="H8" s="471" t="s">
        <v>87</v>
      </c>
      <c r="I8" s="420" t="s">
        <v>85</v>
      </c>
      <c r="J8" s="420" t="s">
        <v>384</v>
      </c>
      <c r="K8" s="420" t="s">
        <v>385</v>
      </c>
      <c r="L8" s="2067"/>
    </row>
    <row customHeight="1" ht="12" hidden="1">
      <c r="D9" s="493"/>
      <c r="E9" s="499"/>
      <c r="F9" s="836"/>
      <c r="G9" s="499"/>
      <c r="H9" s="499"/>
      <c r="I9" s="499"/>
      <c r="J9" s="499"/>
      <c r="K9" s="499"/>
      <c r="L9" s="499"/>
      <c r="M9" s="453"/>
    </row>
    <row customHeight="1" ht="14.25" hidden="1">
      <c r="A10" s="511"/>
      <c r="B10" s="511"/>
      <c r="D10" s="512"/>
      <c r="E10" s="518">
        <v>0</v>
      </c>
      <c r="F10" s="827"/>
      <c r="G10" s="514"/>
      <c r="H10" s="514"/>
      <c r="I10" s="514"/>
      <c r="J10" s="514"/>
      <c r="K10" s="514"/>
      <c r="L10" s="2077" t="s">
        <v>386</v>
      </c>
      <c r="M10" s="513"/>
      <c r="N10" s="511"/>
      <c r="O10" s="511"/>
      <c r="P10" s="511"/>
      <c r="Q10" s="511"/>
      <c r="R10" s="511"/>
      <c r="S10" s="511"/>
      <c r="T10" s="511"/>
      <c r="U10" s="511"/>
      <c r="V10" s="511"/>
    </row>
    <row customHeight="1" ht="15" hidden="1">
      <c r="A11" s="1953"/>
      <c r="B11" s="510"/>
      <c r="C11" s="510"/>
      <c r="D11" s="871"/>
      <c r="E11" s="519"/>
      <c r="F11" s="519"/>
      <c r="G11" s="519"/>
      <c r="H11" s="519"/>
      <c r="I11" s="520"/>
      <c r="J11" s="521"/>
      <c r="K11" s="719"/>
      <c r="L11" s="2094"/>
      <c r="M11" s="517"/>
      <c r="N11" s="517"/>
      <c r="O11" s="517"/>
      <c r="P11" s="522"/>
      <c r="Q11" s="522"/>
      <c r="R11" s="523"/>
      <c r="S11" s="517"/>
      <c r="T11" s="517"/>
      <c r="U11" s="517"/>
      <c r="V11" s="517"/>
    </row>
    <row s="3102" customFormat="1" customHeight="1" ht="14.25">
      <c r="A12" s="1953"/>
      <c r="B12" s="510"/>
      <c r="C12" s="510"/>
      <c r="D12" s="872"/>
      <c r="E12" s="829">
        <v>1</v>
      </c>
      <c r="F12" s="870">
        <v>23</v>
      </c>
      <c r="G12" s="869"/>
      <c r="H12" s="799"/>
      <c r="I12" s="797"/>
      <c r="J12" s="526" t="s">
        <v>62</v>
      </c>
      <c r="K12" s="1172" t="s">
        <v>24</v>
      </c>
      <c r="L12" s="2094"/>
      <c r="M12" s="517"/>
      <c r="N12" s="517"/>
      <c r="O12" s="517"/>
      <c r="P12" s="522" t="s">
        <v>387</v>
      </c>
      <c r="Q12" s="522" t="s">
        <v>388</v>
      </c>
      <c r="R12" s="523" t="s">
        <v>389</v>
      </c>
      <c r="S12" s="517" t="s">
        <v>390</v>
      </c>
      <c r="T12" s="517"/>
      <c r="U12" s="517"/>
      <c r="V12" s="517"/>
    </row>
    <row customHeight="1" ht="15">
      <c r="A13" s="1953"/>
      <c r="B13" s="511"/>
      <c r="D13" s="512"/>
      <c r="E13" s="411"/>
      <c r="F13" s="535"/>
      <c r="G13" s="422" t="s">
        <v>103</v>
      </c>
      <c r="H13" s="410"/>
      <c r="I13" s="410"/>
      <c r="J13" s="410"/>
      <c r="K13" s="409"/>
      <c r="L13" s="2078"/>
      <c r="M13" s="515"/>
      <c r="N13" s="511"/>
      <c r="O13" s="511"/>
      <c r="P13" s="511"/>
      <c r="Q13" s="511"/>
      <c r="R13" s="511"/>
      <c r="S13" s="511"/>
      <c r="T13" s="511"/>
      <c r="U13" s="511"/>
      <c r="V13" s="511"/>
    </row>
    <row customHeight="1" ht="11.25">
      <c r="A14" s="485"/>
      <c r="B14" s="486"/>
      <c r="C14" s="486"/>
      <c r="D14" s="501"/>
      <c r="E14" s="486"/>
      <c r="F14" s="486"/>
      <c r="G14" s="486"/>
      <c r="H14" s="486"/>
      <c r="I14" s="486"/>
      <c r="J14" s="486"/>
      <c r="K14" s="486"/>
      <c r="L14" s="486"/>
      <c r="M14" s="486"/>
      <c r="N14" s="486"/>
      <c r="O14" s="486"/>
      <c r="P14" s="486"/>
      <c r="Q14" s="486"/>
      <c r="R14" s="486"/>
      <c r="S14" s="486"/>
      <c r="T14" s="486"/>
      <c r="U14" s="486"/>
      <c r="V14" s="486"/>
    </row>
    <row customHeight="1" ht="14.25">
      <c r="D15" s="472"/>
      <c r="E15" s="332"/>
      <c r="F15" s="332"/>
      <c r="G15" s="670"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72"/>
      <c r="I15" s="472"/>
      <c r="J15" s="472"/>
      <c r="K15" s="472"/>
      <c r="L15" s="472"/>
    </row>
    <row r="18" customHeight="1" ht="14.25">
      <c r="G18" s="511"/>
    </row>
  </sheetData>
  <sheetProtection formatColumns="0" formatRows="0" autoFilter="0" sort="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4A61F8B-9B84-B217-102D-17504F49EC86}"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3292" width="10.57421875" hidden="1"/>
    <col min="2" max="2" style="3292" width="11.00390625" hidden="1" customWidth="1"/>
    <col min="3" max="3" style="3292" width="10.57421875" hidden="1"/>
    <col min="4" max="4" style="3292" width="11.8515625" hidden="1" customWidth="1"/>
    <col min="5" max="5" style="3292" width="10.00390625" hidden="1" customWidth="1"/>
    <col min="6" max="6" style="3292" width="8.7109375" hidden="1" customWidth="1"/>
    <col min="7" max="7" style="3292" width="7.57421875" hidden="1" customWidth="1"/>
    <col min="8" max="8" style="3292" width="11.421875" hidden="1" customWidth="1"/>
    <col min="9" max="9" style="3292" width="12.00390625" hidden="1" customWidth="1"/>
    <col min="10" max="10" style="3292" width="9.8515625" hidden="1" customWidth="1"/>
    <col min="11" max="11" style="3292" width="11.421875" hidden="1" customWidth="1"/>
    <col min="12" max="12" style="3293" width="19.140625" hidden="1" customWidth="1"/>
    <col min="13" max="14" style="3294" width="12.28125" hidden="1" customWidth="1"/>
    <col min="15" max="15" style="3294" width="23.421875" hidden="1" customWidth="1"/>
    <col min="16" max="16" style="3370" width="3.7109375" customWidth="1"/>
    <col min="17" max="18" style="3371" width="3.7109375" customWidth="1"/>
    <col min="19" max="19" style="3372" width="12.7109375" customWidth="1"/>
    <col min="20" max="20" style="2939" width="35.7109375" customWidth="1"/>
    <col min="21" max="21" style="2939" width="0.140625" customWidth="1"/>
    <col min="22" max="22" style="2939" width="24.7109375" hidden="1" customWidth="1"/>
    <col min="23" max="23" style="2939" width="0.140625" hidden="1" customWidth="1"/>
    <col min="24" max="25" style="2939" width="24.7109375" hidden="1" customWidth="1"/>
    <col min="26" max="26" style="2939" width="11.7109375" hidden="1" customWidth="1"/>
    <col min="27" max="27" style="2939" width="3.7109375" hidden="1" customWidth="1"/>
    <col min="28" max="28" style="2939" width="11.7109375" hidden="1" customWidth="1"/>
    <col min="29" max="29" style="2939" width="8.57421875" hidden="1" customWidth="1"/>
    <col min="30" max="30" style="2939" width="24.7109375" customWidth="1"/>
    <col min="31" max="31" style="2939" width="0.140625" customWidth="1"/>
    <col min="32" max="33" style="2939" width="24.7109375" customWidth="1"/>
    <col min="34" max="34" style="2939" width="11.7109375" customWidth="1"/>
    <col min="35" max="35" style="2939" width="3.7109375" customWidth="1"/>
    <col min="36" max="36" style="2939" width="11.7109375" customWidth="1"/>
    <col min="37" max="37" style="2939" width="8.57421875" hidden="1" customWidth="1"/>
    <col min="38" max="38" style="2939" width="4.7109375" customWidth="1"/>
    <col min="39" max="39" style="2939" width="115.7109375" customWidth="1"/>
    <col min="40" max="41" style="2611" width="10.57421875"/>
    <col min="42" max="42" style="2611" width="11.140625" customWidth="1"/>
    <col min="43" max="44" style="2611" width="10.57421875"/>
  </cols>
  <sheetData>
    <row customHeight="1" ht="14.25" hidden="1">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39">
        <f>INDEX(PT_DIFFERENTIATION_NUM_NTAR,MATCH(A2,PT_DIFFERENTIATION_NTAR_ID,0))</f>
      </c>
      <c r="T2" s="286" t="s">
        <v>124</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391</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34"/>
      <c r="Q3" s="348"/>
      <c r="R3" s="349"/>
      <c r="S3" s="1339">
        <f>INDEX(PT_DIFFERENTIATION_NUM_TER,MATCH(B3,PT_DIFFERENTIATION_TER_ID,0))</f>
      </c>
      <c r="T3" s="298" t="s">
        <v>392</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393</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39">
        <f>INDEX(PT_DIFFERENTIATION_NUM_CS,MATCH(C4,PT_DIFFERENTIATION_CS_ID,0))</f>
      </c>
      <c r="T4" s="299" t="s">
        <v>394</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395</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39">
        <f>INDEX(PT_DIFFERENTIATION_NUM_IST_TE,MATCH(D5,PT_DIFFERENTIATION_IST_TE_ID,0))</f>
      </c>
      <c r="T5" s="300" t="s">
        <v>396</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397</v>
      </c>
      <c r="AO5" s="506"/>
      <c r="AP5" s="506" t="str">
        <f>IF(T5="","",T5)</f>
        <v>Источник тепловой энергии  </v>
      </c>
      <c r="AQ5" s="506"/>
      <c r="AR5" s="506"/>
    </row>
    <row customHeight="1" ht="47.25" hidden="1">
      <c r="A6" s="1393"/>
      <c r="B6" s="1393"/>
      <c r="C6" s="1393"/>
      <c r="D6" s="1393"/>
      <c r="E6" s="2108"/>
      <c r="F6" s="2108"/>
      <c r="G6" s="2108"/>
      <c r="H6" s="2108"/>
      <c r="I6" s="2109">
        <f>S5&amp;".1"</f>
      </c>
      <c r="J6" s="1393"/>
      <c r="K6" s="1393"/>
      <c r="L6" s="1394" t="s">
        <v>398</v>
      </c>
      <c r="M6" s="543"/>
      <c r="P6" s="2111">
        <v>1</v>
      </c>
      <c r="Q6" s="1335"/>
      <c r="R6" s="352"/>
      <c r="S6" s="1339">
        <f>$I6</f>
      </c>
      <c r="T6" s="273" t="s">
        <v>399</v>
      </c>
      <c r="U6" s="288"/>
      <c r="V6" s="2095"/>
      <c r="W6" s="2096"/>
      <c r="X6" s="2096"/>
      <c r="Y6" s="2096"/>
      <c r="Z6" s="2096"/>
      <c r="AA6" s="2096"/>
      <c r="AB6" s="2096"/>
      <c r="AC6" s="2097"/>
      <c r="AD6" s="2095"/>
      <c r="AE6" s="2096"/>
      <c r="AF6" s="2096"/>
      <c r="AG6" s="2096"/>
      <c r="AH6" s="2096"/>
      <c r="AI6" s="2096"/>
      <c r="AJ6" s="2096"/>
      <c r="AK6" s="2096"/>
      <c r="AL6" s="2097"/>
      <c r="AM6" s="1286" t="s">
        <v>400</v>
      </c>
      <c r="AO6" s="506"/>
      <c r="AP6" s="506" t="str">
        <f>IF(T6="","",T6)</f>
        <v>Схема подключения теплопотребляющей установки к коллектору источника тепловой энергии</v>
      </c>
      <c r="AQ6" s="506"/>
      <c r="AR6" s="506"/>
    </row>
    <row customHeight="1" ht="21" hidden="1">
      <c r="A7" s="1393"/>
      <c r="B7" s="1393"/>
      <c r="C7" s="1393"/>
      <c r="D7" s="1393"/>
      <c r="E7" s="2108"/>
      <c r="F7" s="2108"/>
      <c r="G7" s="2108"/>
      <c r="H7" s="2108"/>
      <c r="I7" s="2110"/>
      <c r="J7" s="2109">
        <f>I6&amp;".1"</f>
      </c>
      <c r="K7" s="1393"/>
      <c r="L7" s="1394" t="s">
        <v>401</v>
      </c>
      <c r="M7" s="543"/>
      <c r="N7" s="1396"/>
      <c r="P7" s="2111"/>
      <c r="Q7" s="2111">
        <v>1</v>
      </c>
      <c r="R7" s="353"/>
      <c r="S7" s="1339">
        <f>$J7</f>
      </c>
      <c r="T7" s="274" t="s">
        <v>402</v>
      </c>
      <c r="U7" s="288"/>
      <c r="V7" s="2095"/>
      <c r="W7" s="2096"/>
      <c r="X7" s="2096"/>
      <c r="Y7" s="2096"/>
      <c r="Z7" s="2096"/>
      <c r="AA7" s="2096"/>
      <c r="AB7" s="2096"/>
      <c r="AC7" s="2097"/>
      <c r="AD7" s="2095"/>
      <c r="AE7" s="2096"/>
      <c r="AF7" s="2096"/>
      <c r="AG7" s="2096"/>
      <c r="AH7" s="2096"/>
      <c r="AI7" s="2096"/>
      <c r="AJ7" s="2096"/>
      <c r="AK7" s="2096"/>
      <c r="AL7" s="2097"/>
      <c r="AM7" s="1286" t="s">
        <v>403</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404</v>
      </c>
      <c r="M8" s="543"/>
      <c r="N8" s="1396"/>
      <c r="O8" s="1396"/>
      <c r="P8" s="2111"/>
      <c r="Q8" s="2111"/>
      <c r="R8" s="353">
        <v>1</v>
      </c>
      <c r="S8" s="1339">
        <f>$K8</f>
      </c>
      <c r="T8" s="1377"/>
      <c r="U8" s="288"/>
      <c r="V8" s="757"/>
      <c r="W8" s="320"/>
      <c r="X8" s="757"/>
      <c r="Y8" s="1285"/>
      <c r="Z8" s="2112"/>
      <c r="AA8" s="1981" t="s">
        <v>62</v>
      </c>
      <c r="AB8" s="2112"/>
      <c r="AC8" s="1981" t="s">
        <v>62</v>
      </c>
      <c r="AD8" s="757"/>
      <c r="AE8" s="320"/>
      <c r="AF8" s="757"/>
      <c r="AG8" s="1285"/>
      <c r="AH8" s="2112"/>
      <c r="AI8" s="1981" t="s">
        <v>62</v>
      </c>
      <c r="AJ8" s="2112"/>
      <c r="AK8" s="1981" t="s">
        <v>62</v>
      </c>
      <c r="AL8" s="320"/>
      <c r="AM8" s="2137" t="s">
        <v>405</v>
      </c>
      <c r="AN8" s="517">
        <f>STRCHECKDATE(V9:AL9)</f>
      </c>
      <c r="AO8" s="506"/>
      <c r="AP8" s="506" t="str">
        <f>IF(T8="","",T8)</f>
        <v/>
      </c>
      <c r="AQ8" s="506"/>
      <c r="AR8" s="506"/>
    </row>
    <row customHeight="1" ht="0.75" hidden="1">
      <c r="A9" s="1393"/>
      <c r="B9" s="1393"/>
      <c r="C9" s="1393"/>
      <c r="D9" s="1393"/>
      <c r="E9" s="2108"/>
      <c r="F9" s="2108"/>
      <c r="G9" s="2108"/>
      <c r="H9" s="2108"/>
      <c r="I9" s="2110"/>
      <c r="J9" s="2110"/>
      <c r="K9" s="2109"/>
      <c r="L9" s="1394"/>
      <c r="M9" s="543"/>
      <c r="N9" s="1396"/>
      <c r="O9" s="1396"/>
      <c r="P9" s="2111"/>
      <c r="Q9" s="2111"/>
      <c r="R9" s="353"/>
      <c r="S9" s="1336"/>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6" t="s">
        <v>406</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5" hidden="1">
      <c r="A11" s="1393"/>
      <c r="B11" s="1393"/>
      <c r="C11" s="1393"/>
      <c r="D11" s="1393"/>
      <c r="E11" s="2108"/>
      <c r="F11" s="2108"/>
      <c r="G11" s="2108"/>
      <c r="H11" s="2108"/>
      <c r="I11" s="2109"/>
      <c r="J11" s="1393"/>
      <c r="K11" s="1393"/>
      <c r="L11" s="1394"/>
      <c r="M11" s="543"/>
      <c r="P11" s="2111"/>
      <c r="Q11" s="1335"/>
      <c r="R11" s="352"/>
      <c r="S11" s="1308"/>
      <c r="T11" s="275" t="s">
        <v>407</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308"/>
      <c r="T12" s="364" t="s">
        <v>408</v>
      </c>
      <c r="U12" s="367"/>
      <c r="V12" s="367"/>
      <c r="W12" s="367"/>
      <c r="X12" s="367"/>
      <c r="Y12" s="367"/>
      <c r="Z12" s="367"/>
      <c r="AA12" s="367"/>
      <c r="AB12" s="367"/>
      <c r="AC12" s="366"/>
      <c r="AD12" s="367"/>
      <c r="AE12" s="367"/>
      <c r="AF12" s="367"/>
      <c r="AG12" s="367"/>
      <c r="AH12" s="367"/>
      <c r="AI12" s="367"/>
      <c r="AJ12" s="367"/>
      <c r="AK12" s="366"/>
      <c r="AL12" s="367"/>
      <c r="AM12" s="291"/>
      <c r="AO12" s="506"/>
      <c r="AP12" s="506" t="str">
        <f>IF(T12="","",T12)</f>
        <v>Добавить схему подключения</v>
      </c>
      <c r="AQ12" s="506"/>
      <c r="AR12" s="506"/>
    </row>
    <row s="3273" customFormat="1" customHeight="1" ht="0.75" hidden="1">
      <c r="A13" s="1344"/>
      <c r="B13" s="1344"/>
      <c r="C13" s="1344"/>
      <c r="D13" s="1344"/>
      <c r="E13" s="2108"/>
      <c r="F13" s="2108"/>
      <c r="G13" s="2107"/>
      <c r="H13" s="1344"/>
      <c r="I13" s="1344"/>
      <c r="J13" s="1344"/>
      <c r="K13" s="1344"/>
      <c r="L13" s="1369"/>
      <c r="M13" s="1345"/>
      <c r="N13" s="1345"/>
      <c r="P13" s="1346"/>
      <c r="Q13" s="1347"/>
      <c r="R13" s="1346"/>
      <c r="S13" s="1348"/>
      <c r="T13" s="1349" t="s">
        <v>181</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273" customFormat="1" customHeight="1" ht="0.75" hidden="1">
      <c r="A14" s="1344"/>
      <c r="B14" s="1344"/>
      <c r="C14" s="1344"/>
      <c r="D14" s="1344"/>
      <c r="E14" s="2108"/>
      <c r="F14" s="2107"/>
      <c r="G14" s="1344"/>
      <c r="H14" s="1344"/>
      <c r="I14" s="1344"/>
      <c r="J14" s="1344"/>
      <c r="K14" s="1344"/>
      <c r="L14" s="1369"/>
      <c r="M14" s="1351"/>
      <c r="N14" s="1351"/>
      <c r="P14" s="1346"/>
      <c r="Q14" s="1347"/>
      <c r="R14" s="1346"/>
      <c r="S14" s="1352"/>
      <c r="T14" s="1353" t="s">
        <v>182</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273" customFormat="1" customHeight="1" ht="0.75" hidden="1">
      <c r="A15" s="1344"/>
      <c r="B15" s="1344"/>
      <c r="C15" s="1344"/>
      <c r="D15" s="1344"/>
      <c r="E15" s="2107"/>
      <c r="F15" s="1344"/>
      <c r="G15" s="1344"/>
      <c r="H15" s="1344"/>
      <c r="I15" s="1344"/>
      <c r="J15" s="1344"/>
      <c r="K15" s="1344"/>
      <c r="L15" s="1369"/>
      <c r="M15" s="1351"/>
      <c r="N15" s="1351"/>
      <c r="P15" s="1346"/>
      <c r="Q15" s="1347"/>
      <c r="R15" s="1346"/>
      <c r="S15" s="1352"/>
      <c r="T15" s="1355" t="s">
        <v>183</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P17" s="1341"/>
      <c r="AD17" s="1390"/>
      <c r="AE17" s="1390"/>
      <c r="AF17" s="1390"/>
      <c r="AG17" s="1391"/>
      <c r="AH17" s="2105"/>
      <c r="AI17" s="2104" t="s">
        <v>62</v>
      </c>
      <c r="AJ17" s="2105"/>
      <c r="AK17" s="2104" t="s">
        <v>62</v>
      </c>
    </row>
    <row customHeight="1" ht="14.25" hidden="1">
      <c r="P18" s="1341"/>
      <c r="AD18" s="1390"/>
      <c r="AE18" s="1390"/>
      <c r="AF18" s="1390"/>
      <c r="AG18" s="324" t="str">
        <f>AH17&amp;"-"&amp;AJ17</f>
        <v>-</v>
      </c>
      <c r="AH18" s="2104"/>
      <c r="AI18" s="2104"/>
      <c r="AJ18" s="2104"/>
      <c r="AK18" s="2104"/>
    </row>
    <row customHeight="1" ht="14.25" hidden="1">
      <c r="P19" s="1341"/>
      <c r="AK19" s="323"/>
    </row>
    <row s="3292" customFormat="1" customHeight="1" ht="22.5" hidden="1">
      <c r="L20" s="1359"/>
      <c r="M20" s="1392"/>
      <c r="N20" s="1392"/>
      <c r="O20" s="1397" t="s">
        <v>409</v>
      </c>
      <c r="P20" s="1392"/>
      <c r="Q20" s="1401"/>
      <c r="R20" s="1401"/>
      <c r="S20" s="735"/>
      <c r="Z20" s="1397"/>
      <c r="AB20" s="1397"/>
      <c r="AC20" s="1396"/>
      <c r="AH20" s="1397"/>
      <c r="AJ20" s="1397"/>
      <c r="AK20" s="1396"/>
      <c r="AN20" s="517"/>
      <c r="AO20" s="517"/>
      <c r="AP20" s="517"/>
      <c r="AQ20" s="517"/>
      <c r="AR20" s="517"/>
    </row>
    <row s="3292" customFormat="1" customHeight="1" ht="14.25" hidden="1">
      <c r="L21" s="1359"/>
      <c r="M21" s="1392"/>
      <c r="N21" s="1392"/>
      <c r="O21" s="1392"/>
      <c r="P21" s="1392"/>
      <c r="Q21" s="1401"/>
      <c r="R21" s="1401"/>
      <c r="S21" s="735"/>
      <c r="AC21" s="1396"/>
      <c r="AK21" s="1396"/>
      <c r="AN21" s="517"/>
      <c r="AO21" s="517"/>
      <c r="AP21" s="517"/>
      <c r="AQ21" s="517"/>
      <c r="AR21" s="517"/>
    </row>
    <row s="3292" customFormat="1" customHeight="1" ht="14.25" hidden="1">
      <c r="L22" s="1359"/>
      <c r="M22" s="1392"/>
      <c r="N22" s="1392"/>
      <c r="O22" s="1394" t="s">
        <v>410</v>
      </c>
      <c r="P22" s="1392"/>
      <c r="Q22" s="1401"/>
      <c r="R22" s="1401"/>
      <c r="S22" s="735"/>
      <c r="T22" s="1168" t="s">
        <v>411</v>
      </c>
      <c r="AA22" s="172" t="s">
        <v>412</v>
      </c>
      <c r="AC22" s="172" t="s">
        <v>413</v>
      </c>
      <c r="AD22" s="1168" t="s">
        <v>411</v>
      </c>
      <c r="AI22" s="172" t="s">
        <v>414</v>
      </c>
      <c r="AK22" s="172" t="s">
        <v>413</v>
      </c>
      <c r="AN22" s="517"/>
      <c r="AO22" s="517"/>
      <c r="AP22" s="517"/>
      <c r="AQ22" s="517"/>
      <c r="AR22" s="517"/>
    </row>
    <row customHeight="1" ht="14.25" hidden="1">
      <c r="O23" s="1394"/>
      <c r="P23" s="1341"/>
    </row>
    <row customHeight="1" ht="14.25" hidden="1">
      <c r="O24" s="1394"/>
      <c r="P24" s="1341"/>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14.25">
      <c r="Q26" s="377"/>
      <c r="R26" s="377"/>
      <c r="S26" s="2140"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140"/>
      <c r="U26" s="2140"/>
      <c r="V26" s="2140"/>
      <c r="W26" s="2140"/>
      <c r="X26" s="2140"/>
      <c r="Y26" s="2140"/>
      <c r="Z26" s="2140"/>
      <c r="AA26" s="2140"/>
      <c r="AB26" s="2140"/>
      <c r="AC26" s="2140"/>
      <c r="AD26" s="2140"/>
      <c r="AE26" s="2140"/>
      <c r="AF26" s="2140"/>
      <c r="AG26" s="2140"/>
      <c r="AH26" s="2140"/>
      <c r="AI26" s="2140"/>
      <c r="AJ26" s="2140"/>
      <c r="AK26" s="1261"/>
    </row>
    <row customHeight="1" ht="14.25">
      <c r="Q27" s="377"/>
      <c r="R27" s="377"/>
      <c r="S27" s="2141" t="str">
        <f>IF(org=0,"Не определено",org)</f>
        <v>ЗАО "Байкалэнерго"</v>
      </c>
      <c r="T27" s="2141"/>
      <c r="U27" s="2141"/>
      <c r="V27" s="2141"/>
      <c r="W27" s="2141"/>
      <c r="X27" s="2141"/>
      <c r="Y27" s="2141"/>
      <c r="Z27" s="2141"/>
      <c r="AA27" s="2141"/>
      <c r="AB27" s="2141"/>
      <c r="AC27" s="2141"/>
      <c r="AD27" s="2141"/>
      <c r="AE27" s="2141"/>
      <c r="AF27" s="2141"/>
      <c r="AG27" s="2141"/>
      <c r="AH27" s="2141"/>
      <c r="AI27" s="2141"/>
      <c r="AJ27" s="2141"/>
      <c r="AK27" s="1261"/>
    </row>
    <row customHeight="1" ht="14.25">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305" customFormat="1" customHeight="1" ht="25.5">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Служба по тарифам Иркутской области</v>
      </c>
      <c r="W29" s="2100"/>
      <c r="X29" s="2100"/>
      <c r="Y29" s="2100"/>
      <c r="Z29" s="2100"/>
      <c r="AA29" s="2100"/>
      <c r="AB29" s="2100"/>
      <c r="AC29" s="322"/>
      <c r="AD29" s="2100" t="str">
        <f>IF(TITLE_NAME_OR_PR_CHANGE="",IF(TITLE_NAME_OR_PR="","",TITLE_NAME_OR_PR),TITLE_NAME_OR_PR_CHANGE)</f>
        <v>Служба по тарифам Иркутской области</v>
      </c>
      <c r="AE29" s="2100"/>
      <c r="AF29" s="2100"/>
      <c r="AG29" s="2100"/>
      <c r="AH29" s="2100"/>
      <c r="AI29" s="2100"/>
      <c r="AJ29" s="2100"/>
      <c r="AK29" s="322"/>
      <c r="AL29" s="322"/>
      <c r="AM29" s="268"/>
      <c r="AN29" s="368"/>
      <c r="AO29" s="368"/>
      <c r="AP29" s="368"/>
      <c r="AQ29" s="368"/>
      <c r="AR29" s="368"/>
    </row>
    <row s="3305" customFormat="1" customHeight="1" ht="18.75">
      <c r="A30" s="1398"/>
      <c r="B30" s="1398"/>
      <c r="C30" s="1398"/>
      <c r="D30" s="1398"/>
      <c r="E30" s="1398"/>
      <c r="F30" s="1398"/>
      <c r="G30" s="1398"/>
      <c r="H30" s="1398"/>
      <c r="I30" s="1398"/>
      <c r="J30" s="1398"/>
      <c r="K30" s="1398"/>
      <c r="L30" s="1399"/>
      <c r="M30" s="1398"/>
      <c r="N30" s="1398"/>
      <c r="O30" s="1398"/>
      <c r="S30" s="2098" t="s">
        <v>415</v>
      </c>
      <c r="T30" s="2098"/>
      <c r="U30" s="1402"/>
      <c r="V30" s="2099" t="str">
        <f>IF(TITLE_DATE_PR_CHANGE="",IF(TITLE_DATE_PR="","",TITLE_DATE_PR),TITLE_DATE_PR_CHANGE)</f>
        <v>45280.56123842593</v>
      </c>
      <c r="W30" s="2099"/>
      <c r="X30" s="2099"/>
      <c r="Y30" s="2099"/>
      <c r="Z30" s="2099"/>
      <c r="AA30" s="2099"/>
      <c r="AB30" s="2099"/>
      <c r="AC30" s="322"/>
      <c r="AD30" s="2099" t="str">
        <f>IF(TITLE_DATE_PR_CHANGE="",IF(TITLE_DATE_PR="","",TITLE_DATE_PR),TITLE_DATE_PR_CHANGE)</f>
        <v>45280.56123842593</v>
      </c>
      <c r="AE30" s="2099"/>
      <c r="AF30" s="2099"/>
      <c r="AG30" s="2099"/>
      <c r="AH30" s="2099"/>
      <c r="AI30" s="2099"/>
      <c r="AJ30" s="2099"/>
      <c r="AK30" s="322"/>
      <c r="AL30" s="322"/>
      <c r="AM30" s="268"/>
      <c r="AN30" s="368"/>
      <c r="AO30" s="368"/>
      <c r="AP30" s="368"/>
      <c r="AQ30" s="368"/>
      <c r="AR30" s="368"/>
    </row>
    <row s="3305" customFormat="1" customHeight="1" ht="18.75">
      <c r="A31" s="1398"/>
      <c r="B31" s="1398"/>
      <c r="C31" s="1398"/>
      <c r="D31" s="1398"/>
      <c r="E31" s="1398"/>
      <c r="F31" s="1398"/>
      <c r="G31" s="1398"/>
      <c r="H31" s="1398"/>
      <c r="I31" s="1398"/>
      <c r="J31" s="1398"/>
      <c r="K31" s="1398"/>
      <c r="L31" s="1399"/>
      <c r="M31" s="1398"/>
      <c r="N31" s="1398"/>
      <c r="O31" s="1398"/>
      <c r="S31" s="2098" t="s">
        <v>416</v>
      </c>
      <c r="T31" s="2098"/>
      <c r="U31" s="1402"/>
      <c r="V31" s="2100" t="str">
        <f>IF(TITLE_NUMBER_PR_CHANGE="",IF(TITLE_NUMBER_PR="","",TITLE_NUMBER_PR),TITLE_NUMBER_PR_CHANGE)</f>
        <v>79-477-спр</v>
      </c>
      <c r="W31" s="2100"/>
      <c r="X31" s="2100"/>
      <c r="Y31" s="2100"/>
      <c r="Z31" s="2100"/>
      <c r="AA31" s="2100"/>
      <c r="AB31" s="2100"/>
      <c r="AC31" s="322"/>
      <c r="AD31" s="2100" t="str">
        <f>IF(TITLE_NUMBER_PR_CHANGE="",IF(TITLE_NUMBER_PR="","",TITLE_NUMBER_PR),TITLE_NUMBER_PR_CHANGE)</f>
        <v>79-477-спр</v>
      </c>
      <c r="AE31" s="2100"/>
      <c r="AF31" s="2100"/>
      <c r="AG31" s="2100"/>
      <c r="AH31" s="2100"/>
      <c r="AI31" s="2100"/>
      <c r="AJ31" s="2100"/>
      <c r="AK31" s="322"/>
      <c r="AL31" s="322"/>
      <c r="AM31" s="268"/>
      <c r="AN31" s="368"/>
      <c r="AO31" s="368"/>
      <c r="AP31" s="368"/>
      <c r="AQ31" s="368"/>
      <c r="AR31" s="368"/>
    </row>
    <row s="3305" customFormat="1" customHeight="1" ht="18.75">
      <c r="A32" s="1398"/>
      <c r="B32" s="1398"/>
      <c r="C32" s="1398"/>
      <c r="D32" s="1398"/>
      <c r="E32" s="1398"/>
      <c r="F32" s="1398"/>
      <c r="G32" s="1398"/>
      <c r="H32" s="1398"/>
      <c r="I32" s="1398"/>
      <c r="J32" s="1398"/>
      <c r="K32" s="1398"/>
      <c r="L32" s="1399"/>
      <c r="M32" s="1398"/>
      <c r="N32" s="1398"/>
      <c r="O32" s="1398"/>
      <c r="S32" s="2098" t="s">
        <v>40</v>
      </c>
      <c r="T32" s="2098"/>
      <c r="U32" s="1402"/>
      <c r="V32" s="2100" t="str">
        <f>IF(TITLE_IST_PUB_CHANGE="",IF(TITLE_IST_PUB="","",TITLE_IST_PUB),TITLE_IST_PUB_CHANGE)</f>
        <v>Официальный сайт службы по тарифам Иркутской области http://irkobl.ru</v>
      </c>
      <c r="W32" s="2100"/>
      <c r="X32" s="2100"/>
      <c r="Y32" s="2100"/>
      <c r="Z32" s="2100"/>
      <c r="AA32" s="2100"/>
      <c r="AB32" s="2100"/>
      <c r="AC32" s="322"/>
      <c r="AD32" s="2100" t="str">
        <f>IF(TITLE_IST_PUB_CHANGE="",IF(TITLE_IST_PUB="","",TITLE_IST_PUB),TITLE_IST_PUB_CHANGE)</f>
        <v>Официальный сайт службы по тарифам Иркутской области http://irkobl.ru</v>
      </c>
      <c r="AE32" s="2100"/>
      <c r="AF32" s="2100"/>
      <c r="AG32" s="2100"/>
      <c r="AH32" s="2100"/>
      <c r="AI32" s="2100"/>
      <c r="AJ32" s="2100"/>
      <c r="AK32" s="322"/>
      <c r="AL32" s="322"/>
      <c r="AM32" s="268"/>
      <c r="AN32" s="368"/>
      <c r="AO32" s="368"/>
      <c r="AP32" s="368"/>
      <c r="AQ32" s="368"/>
      <c r="AR32" s="368"/>
    </row>
    <row customHeight="1" ht="14.25" hidden="1">
      <c r="P33" s="1358"/>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305" customFormat="1" customHeight="1" ht="18.75" hidden="1">
      <c r="A34" s="1398"/>
      <c r="B34" s="1398"/>
      <c r="C34" s="1398"/>
      <c r="D34" s="1398"/>
      <c r="E34" s="1398"/>
      <c r="F34" s="1398"/>
      <c r="G34" s="1398"/>
      <c r="H34" s="1398"/>
      <c r="I34" s="1398"/>
      <c r="J34" s="1398"/>
      <c r="K34" s="1398"/>
      <c r="L34" s="1399"/>
      <c r="M34" s="1398"/>
      <c r="N34" s="1398"/>
      <c r="O34" s="1398"/>
      <c r="S34" s="2098" t="s">
        <v>417</v>
      </c>
      <c r="T34" s="2098"/>
      <c r="U34" s="1402"/>
      <c r="V34" s="2099" t="str">
        <f>IF(TITLE_DATE_PR_CHANGE="",IF(TITLE_DATE_PR="","",TITLE_DATE_PR),TITLE_DATE_PR_CHANGE)</f>
        <v>45280.56123842593</v>
      </c>
      <c r="W34" s="2099"/>
      <c r="X34" s="2099"/>
      <c r="Y34" s="2099"/>
      <c r="Z34" s="2099"/>
      <c r="AA34" s="2099"/>
      <c r="AB34" s="2099"/>
      <c r="AC34" s="322"/>
      <c r="AD34" s="2099" t="str">
        <f>IF(TITLE_DATE_PR_CHANGE="",IF(TITLE_DATE_PR="","",TITLE_DATE_PR),TITLE_DATE_PR_CHANGE)</f>
        <v>45280.56123842593</v>
      </c>
      <c r="AE34" s="2099"/>
      <c r="AF34" s="2099"/>
      <c r="AG34" s="2099"/>
      <c r="AH34" s="2099"/>
      <c r="AI34" s="2099"/>
      <c r="AJ34" s="2099"/>
      <c r="AK34" s="322"/>
      <c r="AL34" s="322"/>
      <c r="AM34" s="268"/>
      <c r="AN34" s="368"/>
      <c r="AO34" s="368"/>
      <c r="AP34" s="368"/>
      <c r="AQ34" s="368"/>
      <c r="AR34" s="368"/>
    </row>
    <row s="3305" customFormat="1" customHeight="1" ht="18.75" hidden="1">
      <c r="A35" s="1398"/>
      <c r="B35" s="1398"/>
      <c r="C35" s="1398"/>
      <c r="D35" s="1398"/>
      <c r="E35" s="1398"/>
      <c r="F35" s="1398"/>
      <c r="G35" s="1398"/>
      <c r="H35" s="1398"/>
      <c r="I35" s="1398"/>
      <c r="J35" s="1398"/>
      <c r="K35" s="1398"/>
      <c r="L35" s="1399"/>
      <c r="M35" s="1398"/>
      <c r="N35" s="1398"/>
      <c r="O35" s="1398"/>
      <c r="S35" s="2098" t="s">
        <v>418</v>
      </c>
      <c r="T35" s="2098"/>
      <c r="U35" s="1402"/>
      <c r="V35" s="2100" t="str">
        <f>IF(TITLE_NUMBER_PR_CHANGE="",IF(TITLE_NUMBER_PR="","",TITLE_NUMBER_PR),TITLE_NUMBER_PR_CHANGE)</f>
        <v>79-477-спр</v>
      </c>
      <c r="W35" s="2100"/>
      <c r="X35" s="2100"/>
      <c r="Y35" s="2100"/>
      <c r="Z35" s="2100"/>
      <c r="AA35" s="2100"/>
      <c r="AB35" s="2100"/>
      <c r="AC35" s="322"/>
      <c r="AD35" s="2100" t="str">
        <f>IF(TITLE_NUMBER_PR_CHANGE="",IF(TITLE_NUMBER_PR="","",TITLE_NUMBER_PR),TITLE_NUMBER_PR_CHANGE)</f>
        <v>79-477-спр</v>
      </c>
      <c r="AE35" s="2100"/>
      <c r="AF35" s="2100"/>
      <c r="AG35" s="2100"/>
      <c r="AH35" s="2100"/>
      <c r="AI35" s="2100"/>
      <c r="AJ35" s="2100"/>
      <c r="AK35" s="322"/>
      <c r="AL35" s="322"/>
      <c r="AM35" s="268"/>
      <c r="AN35" s="368"/>
      <c r="AO35" s="368"/>
      <c r="AP35" s="368"/>
      <c r="AQ35" s="368"/>
      <c r="AR35" s="368"/>
    </row>
    <row s="3305" customFormat="1" customHeight="1" ht="0">
      <c r="A36" s="1398"/>
      <c r="B36" s="1398"/>
      <c r="C36" s="1398"/>
      <c r="D36" s="1398"/>
      <c r="E36" s="1398"/>
      <c r="F36" s="1398"/>
      <c r="G36" s="1398"/>
      <c r="H36" s="1398"/>
      <c r="I36" s="1398"/>
      <c r="J36" s="1398"/>
      <c r="K36" s="1398"/>
      <c r="L36" s="1399"/>
      <c r="M36" s="1398"/>
      <c r="N36" s="1398"/>
      <c r="O36" s="1398"/>
      <c r="S36" s="318"/>
      <c r="T36" s="318"/>
      <c r="U36" s="1233"/>
      <c r="V36" s="322"/>
      <c r="W36" s="322"/>
      <c r="X36" s="322"/>
      <c r="Y36" s="322"/>
      <c r="Z36" s="322"/>
      <c r="AA36" s="322"/>
      <c r="AB36" s="322"/>
      <c r="AC36" s="266" t="s">
        <v>419</v>
      </c>
      <c r="AD36" s="322"/>
      <c r="AE36" s="322"/>
      <c r="AF36" s="322"/>
      <c r="AG36" s="322"/>
      <c r="AH36" s="322"/>
      <c r="AI36" s="322"/>
      <c r="AJ36" s="322"/>
      <c r="AK36" s="266" t="s">
        <v>419</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293</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294</v>
      </c>
    </row>
    <row customHeight="1" ht="14.25">
      <c r="Q39" s="377"/>
      <c r="R39" s="377"/>
      <c r="S39" s="2125" t="s">
        <v>88</v>
      </c>
      <c r="T39" s="2062" t="s">
        <v>420</v>
      </c>
      <c r="U39" s="289"/>
      <c r="V39" s="2126" t="s">
        <v>421</v>
      </c>
      <c r="W39" s="2127"/>
      <c r="X39" s="2127"/>
      <c r="Y39" s="2127"/>
      <c r="Z39" s="2127"/>
      <c r="AA39" s="2127"/>
      <c r="AB39" s="2128"/>
      <c r="AC39" s="2129" t="s">
        <v>422</v>
      </c>
      <c r="AD39" s="2126" t="s">
        <v>421</v>
      </c>
      <c r="AE39" s="2127"/>
      <c r="AF39" s="2127"/>
      <c r="AG39" s="2127"/>
      <c r="AH39" s="2127"/>
      <c r="AI39" s="2127"/>
      <c r="AJ39" s="2128"/>
      <c r="AK39" s="2129" t="s">
        <v>423</v>
      </c>
      <c r="AL39" s="2132" t="s">
        <v>424</v>
      </c>
      <c r="AM39" s="1971"/>
    </row>
    <row customHeight="1" ht="33.75">
      <c r="Q40" s="377"/>
      <c r="R40" s="377"/>
      <c r="S40" s="2125"/>
      <c r="T40" s="2062"/>
      <c r="U40" s="1038"/>
      <c r="V40" s="2135" t="s">
        <v>425</v>
      </c>
      <c r="W40" s="2116" t="s">
        <v>426</v>
      </c>
      <c r="X40" s="2118" t="s">
        <v>427</v>
      </c>
      <c r="Y40" s="2120"/>
      <c r="Z40" s="2118" t="s">
        <v>428</v>
      </c>
      <c r="AA40" s="2119"/>
      <c r="AB40" s="2120"/>
      <c r="AC40" s="2130"/>
      <c r="AD40" s="2135" t="s">
        <v>425</v>
      </c>
      <c r="AE40" s="2116" t="s">
        <v>426</v>
      </c>
      <c r="AF40" s="2118" t="s">
        <v>427</v>
      </c>
      <c r="AG40" s="2120"/>
      <c r="AH40" s="2118" t="s">
        <v>428</v>
      </c>
      <c r="AI40" s="2119"/>
      <c r="AJ40" s="2120"/>
      <c r="AK40" s="2130"/>
      <c r="AL40" s="2133"/>
      <c r="AM40" s="1971"/>
    </row>
    <row customHeight="1" ht="33.75">
      <c r="A41" s="1400"/>
      <c r="B41" s="1400" t="s">
        <v>136</v>
      </c>
      <c r="C41" s="1400" t="s">
        <v>137</v>
      </c>
      <c r="D41" s="1400" t="s">
        <v>138</v>
      </c>
      <c r="E41" s="1394" t="s">
        <v>429</v>
      </c>
      <c r="F41" s="1394" t="s">
        <v>430</v>
      </c>
      <c r="G41" s="1394" t="s">
        <v>431</v>
      </c>
      <c r="H41" s="1394" t="s">
        <v>432</v>
      </c>
      <c r="I41" s="1394" t="s">
        <v>433</v>
      </c>
      <c r="J41" s="1394" t="s">
        <v>434</v>
      </c>
      <c r="K41" s="1394" t="s">
        <v>435</v>
      </c>
      <c r="L41" s="1394" t="s">
        <v>410</v>
      </c>
      <c r="Q41" s="377"/>
      <c r="R41" s="377"/>
      <c r="S41" s="2125"/>
      <c r="T41" s="2062"/>
      <c r="U41" s="290"/>
      <c r="V41" s="2136"/>
      <c r="W41" s="2117"/>
      <c r="X41" s="1237" t="s">
        <v>436</v>
      </c>
      <c r="Y41" s="1237" t="s">
        <v>437</v>
      </c>
      <c r="Z41" s="1236" t="s">
        <v>438</v>
      </c>
      <c r="AA41" s="2121" t="s">
        <v>439</v>
      </c>
      <c r="AB41" s="2122"/>
      <c r="AC41" s="2131"/>
      <c r="AD41" s="2136"/>
      <c r="AE41" s="2117"/>
      <c r="AF41" s="1237" t="s">
        <v>436</v>
      </c>
      <c r="AG41" s="1237" t="s">
        <v>437</v>
      </c>
      <c r="AH41" s="1343" t="s">
        <v>438</v>
      </c>
      <c r="AI41" s="2121" t="s">
        <v>439</v>
      </c>
      <c r="AJ41" s="2122"/>
      <c r="AK41" s="2131"/>
      <c r="AL41" s="2134"/>
      <c r="AM41" s="1971"/>
    </row>
    <row s="2610"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110</v>
      </c>
      <c r="T42" s="1281" t="s">
        <v>111</v>
      </c>
      <c r="U42" s="1263" t="str">
        <f>OFFSET(U42,0,-1)</f>
        <v>2</v>
      </c>
      <c r="V42" s="1282">
        <f>OFFSET(V42,0,-1)+1</f>
        <v>3</v>
      </c>
      <c r="W42" s="1282"/>
      <c r="X42" s="1282">
        <f>OFFSET(X42,0,-1)+1</f>
        <v>1</v>
      </c>
      <c r="Y42" s="1282">
        <f>OFFSET(Y42,0,-1)+1</f>
        <v>2</v>
      </c>
      <c r="Z42" s="1282">
        <f>OFFSET(Z42,0,-1)+1</f>
        <v>3</v>
      </c>
      <c r="AA42" s="2123">
        <f>OFFSET(AA42,0,-1)+1</f>
        <v>4</v>
      </c>
      <c r="AB42" s="2123"/>
      <c r="AC42" s="1282">
        <f>OFFSET(AC42,0,-2)+1</f>
        <v>5</v>
      </c>
      <c r="AD42" s="1342">
        <f>OFFSET(AD42,0,-1)+1</f>
        <v>6</v>
      </c>
      <c r="AE42" s="1342"/>
      <c r="AF42" s="1342">
        <f>OFFSET(AF42,0,-1)+1</f>
        <v>1</v>
      </c>
      <c r="AG42" s="1342">
        <f>OFFSET(AG42,0,-1)+1</f>
        <v>2</v>
      </c>
      <c r="AH42" s="1342">
        <f>OFFSET(AH42,0,-1)+1</f>
        <v>3</v>
      </c>
      <c r="AI42" s="2123">
        <f>OFFSET(AI42,0,-1)+1</f>
        <v>4</v>
      </c>
      <c r="AJ42" s="2123"/>
      <c r="AK42" s="1342">
        <f>OFFSET(AK42,0,-2)+1</f>
        <v>5</v>
      </c>
      <c r="AL42" s="1263">
        <f>OFFSET(AL42,0,-1)</f>
        <v>5</v>
      </c>
      <c r="AM42" s="1282">
        <f>OFFSET(AM42,0,-1)+1</f>
        <v>6</v>
      </c>
      <c r="AN42" s="517"/>
      <c r="AO42" s="517"/>
      <c r="AP42" s="517"/>
      <c r="AQ42" s="517"/>
      <c r="AR42" s="517"/>
    </row>
    <row customHeight="1" ht="23.25">
      <c r="A43" s="1393" t="s">
        <v>157</v>
      </c>
      <c r="B43" s="1393"/>
      <c r="C43" s="1393"/>
      <c r="D43" s="1393"/>
      <c r="E43" s="2107">
        <v>1</v>
      </c>
      <c r="F43" s="1393"/>
      <c r="G43" s="1393"/>
      <c r="H43" s="1393"/>
      <c r="I43" s="1393"/>
      <c r="J43" s="1393"/>
      <c r="K43" s="1393"/>
      <c r="L43" s="1394"/>
      <c r="M43" s="1395"/>
      <c r="N43" s="1395"/>
      <c r="O43" s="1395"/>
      <c r="P43" s="357"/>
      <c r="Q43" s="356"/>
      <c r="R43" s="351"/>
      <c r="S43" s="1241">
        <f>INDEX(PT_DIFFERENTIATION_NUM_NTAR,MATCH(A43,PT_DIFFERENTIATION_NTAR_ID,0))</f>
        <v>0</v>
      </c>
      <c r="T43" s="286" t="s">
        <v>124</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6"/>
      <c r="AP43" s="506" t="str">
        <f>IF(T43="","",T43)</f>
        <v>Наименование тарифа</v>
      </c>
      <c r="AQ43" s="506"/>
      <c r="AR43" s="506"/>
    </row>
    <row customHeight="1" ht="23.25">
      <c r="A44" s="1393" t="s">
        <v>157</v>
      </c>
      <c r="B44" s="1393" t="s">
        <v>158</v>
      </c>
      <c r="C44" s="1393"/>
      <c r="D44" s="1393"/>
      <c r="E44" s="2108"/>
      <c r="F44" s="2107">
        <v>1</v>
      </c>
      <c r="G44" s="1393"/>
      <c r="H44" s="1393"/>
      <c r="I44" s="1393"/>
      <c r="J44" s="1393"/>
      <c r="K44" s="1393"/>
      <c r="L44" s="1394"/>
      <c r="M44" s="1395"/>
      <c r="N44" s="1395"/>
      <c r="O44" s="1395"/>
      <c r="P44" s="528"/>
      <c r="Q44" s="348"/>
      <c r="R44" s="349"/>
      <c r="S44" s="1241" t="str">
        <f>INDEX(PT_DIFFERENTIATION_NUM_TER,MATCH(B44,PT_DIFFERENTIATION_TER_ID,0))</f>
        <v>.</v>
      </c>
      <c r="T44" s="298" t="s">
        <v>392</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393</v>
      </c>
      <c r="AO44" s="506"/>
      <c r="AP44" s="506" t="str">
        <f>IF(T44="","",T44)</f>
        <v>Территория действия тарифа</v>
      </c>
      <c r="AQ44" s="506"/>
      <c r="AR44" s="506"/>
    </row>
    <row customHeight="1" ht="23.25">
      <c r="A45" s="1393" t="s">
        <v>157</v>
      </c>
      <c r="B45" s="1393" t="s">
        <v>158</v>
      </c>
      <c r="C45" s="1393" t="s">
        <v>159</v>
      </c>
      <c r="D45" s="1393"/>
      <c r="E45" s="2108"/>
      <c r="F45" s="2108"/>
      <c r="G45" s="2107">
        <v>1</v>
      </c>
      <c r="H45" s="1393"/>
      <c r="I45" s="1393"/>
      <c r="J45" s="1393"/>
      <c r="K45" s="1393"/>
      <c r="L45" s="1394"/>
      <c r="M45" s="1395"/>
      <c r="N45" s="1395"/>
      <c r="O45" s="1395"/>
      <c r="P45" s="350"/>
      <c r="Q45" s="348"/>
      <c r="R45" s="349"/>
      <c r="S45" s="1241" t="str">
        <f>INDEX(PT_DIFFERENTIATION_NUM_CS,MATCH(C45,PT_DIFFERENTIATION_CS_ID,0))</f>
        <v>..</v>
      </c>
      <c r="T45" s="299" t="s">
        <v>394</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395</v>
      </c>
      <c r="AO45" s="506"/>
      <c r="AP45" s="506" t="str">
        <f>IF(T45="","",T45)</f>
        <v>Наименование системы теплоснабжения </v>
      </c>
      <c r="AQ45" s="506"/>
      <c r="AR45" s="506"/>
    </row>
    <row customHeight="1" ht="23.25">
      <c r="A46" s="1393" t="s">
        <v>157</v>
      </c>
      <c r="B46" s="1393" t="s">
        <v>158</v>
      </c>
      <c r="C46" s="1393" t="s">
        <v>159</v>
      </c>
      <c r="D46" s="1393" t="s">
        <v>160</v>
      </c>
      <c r="E46" s="2108"/>
      <c r="F46" s="2108"/>
      <c r="G46" s="2108"/>
      <c r="H46" s="2107">
        <v>1</v>
      </c>
      <c r="I46" s="1393"/>
      <c r="J46" s="1393"/>
      <c r="K46" s="1393"/>
      <c r="L46" s="1394"/>
      <c r="M46" s="1395"/>
      <c r="N46" s="1395"/>
      <c r="O46" s="1395"/>
      <c r="P46" s="350"/>
      <c r="Q46" s="348"/>
      <c r="R46" s="349"/>
      <c r="S46" s="1241" t="str">
        <f>INDEX(PT_DIFFERENTIATION_NUM_IST_TE,MATCH(D46,PT_DIFFERENTIATION_IST_TE_ID,0))</f>
        <v>...</v>
      </c>
      <c r="T46" s="300" t="s">
        <v>396</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397</v>
      </c>
      <c r="AO46" s="506"/>
      <c r="AP46" s="506" t="str">
        <f>IF(T46="","",T46)</f>
        <v>Источник тепловой энергии  </v>
      </c>
      <c r="AQ46" s="506"/>
      <c r="AR46" s="506"/>
    </row>
    <row customHeight="1" ht="47.25">
      <c r="A47" s="1393" t="s">
        <v>157</v>
      </c>
      <c r="B47" s="1393" t="s">
        <v>158</v>
      </c>
      <c r="C47" s="1393" t="s">
        <v>159</v>
      </c>
      <c r="D47" s="1393" t="s">
        <v>160</v>
      </c>
      <c r="E47" s="2108"/>
      <c r="F47" s="2108"/>
      <c r="G47" s="2108"/>
      <c r="H47" s="2108"/>
      <c r="I47" s="2109" t="str">
        <f>S46&amp;".1"</f>
        <v>....1</v>
      </c>
      <c r="J47" s="1393"/>
      <c r="K47" s="1393"/>
      <c r="L47" s="1394" t="s">
        <v>398</v>
      </c>
      <c r="P47" s="2111">
        <v>1</v>
      </c>
      <c r="Q47" s="1235"/>
      <c r="R47" s="352"/>
      <c r="S47" s="1241" t="str">
        <f>$I47</f>
        <v>....1</v>
      </c>
      <c r="T47" s="273" t="s">
        <v>399</v>
      </c>
      <c r="U47" s="288"/>
      <c r="V47" s="2095"/>
      <c r="W47" s="2096"/>
      <c r="X47" s="2096"/>
      <c r="Y47" s="2096"/>
      <c r="Z47" s="2096"/>
      <c r="AA47" s="2096"/>
      <c r="AB47" s="2096"/>
      <c r="AC47" s="2097"/>
      <c r="AD47" s="2095"/>
      <c r="AE47" s="2096"/>
      <c r="AF47" s="2096"/>
      <c r="AG47" s="2096"/>
      <c r="AH47" s="2096"/>
      <c r="AI47" s="2096"/>
      <c r="AJ47" s="2096"/>
      <c r="AK47" s="2096"/>
      <c r="AL47" s="2097"/>
      <c r="AM47" s="1286" t="s">
        <v>400</v>
      </c>
      <c r="AO47" s="506"/>
      <c r="AP47" s="506" t="str">
        <f>IF(T47="","",T47)</f>
        <v>Схема подключения теплопотребляющей установки к коллектору источника тепловой энергии</v>
      </c>
      <c r="AQ47" s="506"/>
      <c r="AR47" s="506"/>
    </row>
    <row customHeight="1" ht="23.25">
      <c r="A48" s="1393" t="s">
        <v>157</v>
      </c>
      <c r="B48" s="1393" t="s">
        <v>158</v>
      </c>
      <c r="C48" s="1393" t="s">
        <v>159</v>
      </c>
      <c r="D48" s="1393" t="s">
        <v>160</v>
      </c>
      <c r="E48" s="2108"/>
      <c r="F48" s="2108"/>
      <c r="G48" s="2108"/>
      <c r="H48" s="2108"/>
      <c r="I48" s="2110"/>
      <c r="J48" s="2109" t="str">
        <f>I47&amp;".1"</f>
        <v>....1.1</v>
      </c>
      <c r="K48" s="1393"/>
      <c r="L48" s="1394" t="s">
        <v>401</v>
      </c>
      <c r="P48" s="2111"/>
      <c r="Q48" s="2111">
        <v>1</v>
      </c>
      <c r="R48" s="353"/>
      <c r="S48" s="1241" t="str">
        <f>$J48</f>
        <v>....1.1</v>
      </c>
      <c r="T48" s="274" t="s">
        <v>402</v>
      </c>
      <c r="U48" s="288"/>
      <c r="V48" s="2095"/>
      <c r="W48" s="2096"/>
      <c r="X48" s="2096"/>
      <c r="Y48" s="2096"/>
      <c r="Z48" s="2096"/>
      <c r="AA48" s="2096"/>
      <c r="AB48" s="2096"/>
      <c r="AC48" s="2097"/>
      <c r="AD48" s="2095"/>
      <c r="AE48" s="2096"/>
      <c r="AF48" s="2096"/>
      <c r="AG48" s="2096"/>
      <c r="AH48" s="2096"/>
      <c r="AI48" s="2096"/>
      <c r="AJ48" s="2096"/>
      <c r="AK48" s="2096"/>
      <c r="AL48" s="2097"/>
      <c r="AM48" s="1286" t="s">
        <v>403</v>
      </c>
      <c r="AO48" s="506"/>
      <c r="AP48" s="506" t="str">
        <f>IF(T48="","",T48)</f>
        <v>Группа потребителей</v>
      </c>
      <c r="AQ48" s="506"/>
      <c r="AR48" s="506"/>
    </row>
    <row customHeight="1" ht="23.25">
      <c r="A49" s="1393" t="s">
        <v>157</v>
      </c>
      <c r="B49" s="1393" t="s">
        <v>158</v>
      </c>
      <c r="C49" s="1393" t="s">
        <v>159</v>
      </c>
      <c r="D49" s="1393" t="s">
        <v>160</v>
      </c>
      <c r="E49" s="2108"/>
      <c r="F49" s="2108"/>
      <c r="G49" s="2108"/>
      <c r="H49" s="2108"/>
      <c r="I49" s="2110"/>
      <c r="J49" s="2110"/>
      <c r="K49" s="2109" t="str">
        <f>J48&amp;".1"</f>
        <v>....1.1.1</v>
      </c>
      <c r="L49" s="1394" t="s">
        <v>404</v>
      </c>
      <c r="P49" s="2111"/>
      <c r="Q49" s="2111"/>
      <c r="R49" s="353">
        <v>1</v>
      </c>
      <c r="S49" s="1241" t="str">
        <f>$K49</f>
        <v>....1.1.1</v>
      </c>
      <c r="T49" s="1377"/>
      <c r="U49" s="288"/>
      <c r="V49" s="757"/>
      <c r="W49" s="320"/>
      <c r="X49" s="757"/>
      <c r="Y49" s="1285"/>
      <c r="Z49" s="2112"/>
      <c r="AA49" s="1981" t="s">
        <v>62</v>
      </c>
      <c r="AB49" s="2112"/>
      <c r="AC49" s="1981" t="s">
        <v>62</v>
      </c>
      <c r="AD49" s="757"/>
      <c r="AE49" s="320"/>
      <c r="AF49" s="757"/>
      <c r="AG49" s="1285"/>
      <c r="AH49" s="2112"/>
      <c r="AI49" s="1981" t="s">
        <v>62</v>
      </c>
      <c r="AJ49" s="2114"/>
      <c r="AK49" s="1981" t="s">
        <v>62</v>
      </c>
      <c r="AL49" s="1378"/>
      <c r="AM49" s="2137" t="s">
        <v>405</v>
      </c>
      <c r="AN49" s="517">
        <f>STRCHECKDATE(V50:AL50)</f>
      </c>
      <c r="AO49" s="506"/>
      <c r="AP49" s="506" t="str">
        <f>IF(T49="","",T49)</f>
        <v/>
      </c>
      <c r="AQ49" s="506"/>
      <c r="AR49" s="506"/>
    </row>
    <row customHeight="1" ht="0.75">
      <c r="A50" s="1393" t="s">
        <v>157</v>
      </c>
      <c r="B50" s="1393" t="s">
        <v>158</v>
      </c>
      <c r="C50" s="1393" t="s">
        <v>159</v>
      </c>
      <c r="D50" s="1393" t="s">
        <v>160</v>
      </c>
      <c r="E50" s="2108"/>
      <c r="F50" s="2108"/>
      <c r="G50" s="2108"/>
      <c r="H50" s="2108"/>
      <c r="I50" s="2110"/>
      <c r="J50" s="2110"/>
      <c r="K50" s="2109"/>
      <c r="L50" s="1394"/>
      <c r="P50" s="2111"/>
      <c r="Q50" s="2111"/>
      <c r="R50" s="353"/>
      <c r="S50" s="1239"/>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157</v>
      </c>
      <c r="B51" s="1393" t="s">
        <v>158</v>
      </c>
      <c r="C51" s="1393" t="s">
        <v>159</v>
      </c>
      <c r="D51" s="1393" t="s">
        <v>160</v>
      </c>
      <c r="E51" s="2108"/>
      <c r="F51" s="2108"/>
      <c r="G51" s="2108"/>
      <c r="H51" s="2108"/>
      <c r="I51" s="2110"/>
      <c r="J51" s="2109"/>
      <c r="K51" s="1393"/>
      <c r="L51" s="1394"/>
      <c r="P51" s="2111"/>
      <c r="Q51" s="2111"/>
      <c r="R51" s="352"/>
      <c r="S51" s="1308"/>
      <c r="T51" s="276" t="s">
        <v>406</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157</v>
      </c>
      <c r="B52" s="1393" t="s">
        <v>158</v>
      </c>
      <c r="C52" s="1393" t="s">
        <v>159</v>
      </c>
      <c r="D52" s="1393" t="s">
        <v>160</v>
      </c>
      <c r="E52" s="2108"/>
      <c r="F52" s="2108"/>
      <c r="G52" s="2108"/>
      <c r="H52" s="2108"/>
      <c r="I52" s="2109"/>
      <c r="J52" s="1393"/>
      <c r="K52" s="1393"/>
      <c r="L52" s="1394"/>
      <c r="P52" s="2111"/>
      <c r="Q52" s="1235"/>
      <c r="R52" s="352"/>
      <c r="S52" s="1308"/>
      <c r="T52" s="275" t="s">
        <v>407</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14.25">
      <c r="A53" s="1393" t="s">
        <v>157</v>
      </c>
      <c r="B53" s="1393" t="s">
        <v>158</v>
      </c>
      <c r="C53" s="1393" t="s">
        <v>159</v>
      </c>
      <c r="D53" s="1393" t="s">
        <v>160</v>
      </c>
      <c r="E53" s="2108"/>
      <c r="F53" s="2108"/>
      <c r="G53" s="2108"/>
      <c r="H53" s="2107"/>
      <c r="I53" s="1393"/>
      <c r="J53" s="1393"/>
      <c r="K53" s="1393"/>
      <c r="L53" s="1394"/>
      <c r="M53" s="1395"/>
      <c r="N53" s="1395"/>
      <c r="O53" s="543"/>
      <c r="P53" s="356"/>
      <c r="Q53" s="376"/>
      <c r="R53" s="351"/>
      <c r="S53" s="1308"/>
      <c r="T53" s="364" t="s">
        <v>408</v>
      </c>
      <c r="U53" s="367"/>
      <c r="V53" s="367"/>
      <c r="W53" s="367"/>
      <c r="X53" s="367"/>
      <c r="Y53" s="367"/>
      <c r="Z53" s="367"/>
      <c r="AA53" s="367"/>
      <c r="AB53" s="367"/>
      <c r="AC53" s="366"/>
      <c r="AD53" s="367"/>
      <c r="AE53" s="367"/>
      <c r="AF53" s="367"/>
      <c r="AG53" s="367"/>
      <c r="AH53" s="367"/>
      <c r="AI53" s="367"/>
      <c r="AJ53" s="367"/>
      <c r="AK53" s="366"/>
      <c r="AL53" s="367"/>
      <c r="AM53" s="291"/>
      <c r="AO53" s="506"/>
      <c r="AP53" s="506" t="str">
        <f>IF(T53="","",T53)</f>
        <v>Добавить схему подключения</v>
      </c>
      <c r="AQ53" s="506"/>
      <c r="AR53" s="506"/>
    </row>
    <row s="3273" customFormat="1" customHeight="1" ht="0.75">
      <c r="A54" s="1373" t="s">
        <v>157</v>
      </c>
      <c r="B54" s="1373" t="s">
        <v>158</v>
      </c>
      <c r="C54" s="1373" t="s">
        <v>159</v>
      </c>
      <c r="D54" s="1344"/>
      <c r="E54" s="2108"/>
      <c r="F54" s="2108"/>
      <c r="G54" s="2107"/>
      <c r="H54" s="1344"/>
      <c r="I54" s="1344"/>
      <c r="J54" s="1344"/>
      <c r="K54" s="1344"/>
      <c r="L54" s="1369"/>
      <c r="M54" s="1345"/>
      <c r="N54" s="1345"/>
      <c r="P54" s="1346"/>
      <c r="Q54" s="1347"/>
      <c r="R54" s="1346"/>
      <c r="S54" s="1352"/>
      <c r="T54" s="1355" t="s">
        <v>181</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273" customFormat="1" customHeight="1" ht="0.75">
      <c r="A55" s="1373" t="s">
        <v>157</v>
      </c>
      <c r="B55" s="1373" t="s">
        <v>158</v>
      </c>
      <c r="C55" s="1344"/>
      <c r="D55" s="1344"/>
      <c r="E55" s="2108"/>
      <c r="F55" s="2107"/>
      <c r="G55" s="1344"/>
      <c r="H55" s="1344"/>
      <c r="I55" s="1344"/>
      <c r="J55" s="1344"/>
      <c r="K55" s="1344"/>
      <c r="L55" s="1369"/>
      <c r="M55" s="1351"/>
      <c r="N55" s="1351"/>
      <c r="P55" s="1346"/>
      <c r="Q55" s="1347"/>
      <c r="R55" s="1346"/>
      <c r="S55" s="1352"/>
      <c r="T55" s="1355" t="s">
        <v>182</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1" customFormat="1" customHeight="1" ht="0.75">
      <c r="A56" s="1373" t="s">
        <v>157</v>
      </c>
      <c r="B56" s="1373"/>
      <c r="C56" s="1373"/>
      <c r="D56" s="1373"/>
      <c r="E56" s="2107"/>
      <c r="F56" s="1373"/>
      <c r="G56" s="1373"/>
      <c r="H56" s="1373"/>
      <c r="I56" s="1373"/>
      <c r="J56" s="1373"/>
      <c r="K56" s="1373"/>
      <c r="L56" s="1376"/>
      <c r="M56" s="1351"/>
      <c r="N56" s="1351"/>
      <c r="O56" s="524"/>
      <c r="P56" s="385"/>
      <c r="Q56" s="1374"/>
      <c r="R56" s="385"/>
      <c r="S56" s="1352"/>
      <c r="T56" s="1355" t="s">
        <v>183</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273" customFormat="1" customHeight="1" ht="0.75">
      <c r="A57" s="1344"/>
      <c r="B57" s="1344"/>
      <c r="C57" s="1344"/>
      <c r="D57" s="1344"/>
      <c r="E57" s="1373"/>
      <c r="F57" s="1344"/>
      <c r="G57" s="1344"/>
      <c r="H57" s="1344"/>
      <c r="I57" s="1344"/>
      <c r="J57" s="1344"/>
      <c r="K57" s="1344"/>
      <c r="L57" s="1369"/>
      <c r="M57" s="1351"/>
      <c r="N57" s="1351"/>
      <c r="P57" s="1346"/>
      <c r="Q57" s="1347"/>
      <c r="R57" s="1346"/>
      <c r="S57" s="1352"/>
      <c r="T57" s="1355" t="s">
        <v>184</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27">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64.5">
      <c r="O60" s="543"/>
      <c r="P60" s="133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14.25">
      <c r="O61" s="543"/>
    </row>
    <row customHeight="1" ht="18">
      <c r="O62" s="543"/>
      <c r="P62" s="1358"/>
      <c r="S62" s="1273"/>
      <c r="T62" s="2106"/>
      <c r="U62" s="2106"/>
      <c r="V62" s="2106"/>
      <c r="W62" s="2106"/>
      <c r="X62" s="2106"/>
      <c r="Y62" s="2106"/>
      <c r="Z62" s="2106"/>
      <c r="AA62" s="2106"/>
      <c r="AB62" s="2106"/>
      <c r="AC62" s="2106"/>
      <c r="AD62" s="2106"/>
      <c r="AE62" s="2106"/>
      <c r="AF62" s="2106"/>
      <c r="AG62" s="2106"/>
      <c r="AH62" s="2106"/>
      <c r="AI62" s="2106"/>
      <c r="AJ62" s="2106"/>
      <c r="AK62" s="2106"/>
      <c r="AL62" s="2106"/>
      <c r="AM62" s="2106"/>
    </row>
    <row customHeight="1" ht="18">
      <c r="O63" s="543"/>
      <c r="P63" s="1358"/>
      <c r="T63" s="2106"/>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27.75">
      <c r="O64" s="543"/>
      <c r="P64" s="1358"/>
      <c r="S64" s="1273"/>
      <c r="T64" s="2106"/>
      <c r="U64" s="2106"/>
      <c r="V64" s="2106"/>
      <c r="W64" s="2106"/>
      <c r="X64" s="2106"/>
      <c r="Y64" s="2106"/>
      <c r="Z64" s="2106"/>
      <c r="AA64" s="2106"/>
      <c r="AB64" s="2106"/>
      <c r="AC64" s="2106"/>
      <c r="AD64" s="2106"/>
      <c r="AE64" s="2106"/>
      <c r="AF64" s="2106"/>
      <c r="AG64" s="2106"/>
      <c r="AH64" s="2106"/>
      <c r="AI64" s="2106"/>
      <c r="AJ64" s="2106"/>
      <c r="AK64" s="2106"/>
      <c r="AL64" s="2106"/>
      <c r="AM64" s="2106"/>
    </row>
  </sheetData>
  <sheetProtection formatColumns="0" formatRows="0" autoFilter="0" sort="0" insertRows="0" insertColumns="1" deleteRows="0" deleteColumns="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5B61458-1994-9137-2671-CCB9D0CB9A97}"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3292" width="10.57421875" hidden="1"/>
    <col min="2" max="2" style="3292" width="11.00390625" hidden="1" customWidth="1"/>
    <col min="3" max="3" style="3292" width="10.57421875" hidden="1"/>
    <col min="4" max="4" style="3292" width="11.8515625" hidden="1" customWidth="1"/>
    <col min="5" max="5" style="3292" width="10.00390625" hidden="1" customWidth="1"/>
    <col min="6" max="6" style="3292" width="8.7109375" hidden="1" customWidth="1"/>
    <col min="7" max="7" style="3292" width="7.57421875" hidden="1" customWidth="1"/>
    <col min="8" max="8" style="3292" width="11.421875" hidden="1" customWidth="1"/>
    <col min="9" max="9" style="3292" width="12.00390625" hidden="1" customWidth="1"/>
    <col min="10" max="10" style="3292" width="9.8515625" hidden="1" customWidth="1"/>
    <col min="11" max="11" style="3292" width="11.421875" hidden="1" customWidth="1"/>
    <col min="12" max="12" style="3293" width="19.140625" hidden="1" customWidth="1"/>
    <col min="13" max="14" style="3294" width="12.28125" hidden="1" customWidth="1"/>
    <col min="15" max="15" style="3294" width="23.421875" hidden="1" customWidth="1"/>
    <col min="16" max="16" style="3315" width="3.7109375" customWidth="1"/>
    <col min="17" max="18" style="3371" width="3.7109375" customWidth="1"/>
    <col min="19" max="19" style="3372" width="12.7109375" customWidth="1"/>
    <col min="20" max="20" style="2939" width="32.00390625" customWidth="1"/>
    <col min="21" max="21" style="2939" width="0.140625" customWidth="1"/>
    <col min="22" max="22" style="2939" width="24.7109375" hidden="1" customWidth="1"/>
    <col min="23" max="23" style="2939" width="0.140625" hidden="1" customWidth="1"/>
    <col min="24" max="25" style="2939" width="24.7109375" hidden="1" customWidth="1"/>
    <col min="26" max="26" style="2939" width="11.7109375" hidden="1" customWidth="1"/>
    <col min="27" max="27" style="2939" width="3.7109375" hidden="1" customWidth="1"/>
    <col min="28" max="28" style="2939" width="11.7109375" hidden="1" customWidth="1"/>
    <col min="29" max="29" style="2939" width="8.57421875" hidden="1" customWidth="1"/>
    <col min="30" max="30" style="2939" width="24.7109375" customWidth="1"/>
    <col min="31" max="31" style="2939" width="0.140625" customWidth="1"/>
    <col min="32" max="33" style="2939" width="24.7109375" customWidth="1"/>
    <col min="34" max="34" style="2939" width="11.7109375" customWidth="1"/>
    <col min="35" max="35" style="2939" width="3.7109375" customWidth="1"/>
    <col min="36" max="36" style="2939" width="11.7109375" customWidth="1"/>
    <col min="37" max="37" style="2939" width="8.57421875" hidden="1" customWidth="1"/>
    <col min="38" max="38" style="2939" width="4.7109375" customWidth="1"/>
    <col min="39" max="39" style="2939" width="115.7109375" customWidth="1"/>
    <col min="40" max="41" style="2611" width="10.57421875"/>
    <col min="42" max="42" style="2611" width="11.140625" customWidth="1"/>
    <col min="43" max="44" style="2611" width="10.57421875"/>
  </cols>
  <sheetData>
    <row customHeight="1" ht="14.25" hidden="1">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66">
        <f>INDEX(PT_DIFFERENTIATION_NUM_NTAR,MATCH(A2,PT_DIFFERENTIATION_NTAR_ID,0))</f>
      </c>
      <c r="T2" s="286" t="s">
        <v>124</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391</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62"/>
      <c r="Q3" s="348"/>
      <c r="R3" s="349"/>
      <c r="S3" s="1366">
        <f>INDEX(PT_DIFFERENTIATION_NUM_TER,MATCH(B3,PT_DIFFERENTIATION_TER_ID,0))</f>
      </c>
      <c r="T3" s="298" t="s">
        <v>392</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393</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66">
        <f>INDEX(PT_DIFFERENTIATION_NUM_CS,MATCH(C4,PT_DIFFERENTIATION_CS_ID,0))</f>
      </c>
      <c r="T4" s="299" t="s">
        <v>394</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395</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66">
        <f>INDEX(PT_DIFFERENTIATION_NUM_IST_TE,MATCH(D5,PT_DIFFERENTIATION_IST_TE_ID,0))</f>
      </c>
      <c r="T5" s="300" t="s">
        <v>396</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397</v>
      </c>
      <c r="AO5" s="506"/>
      <c r="AP5" s="506" t="str">
        <f>IF(T5="","",T5)</f>
        <v>Источник тепловой энергии  </v>
      </c>
      <c r="AQ5" s="506"/>
      <c r="AR5" s="506"/>
    </row>
    <row customHeight="1" ht="47.25" hidden="1">
      <c r="A6" s="1393"/>
      <c r="B6" s="1393"/>
      <c r="C6" s="1393"/>
      <c r="D6" s="1393"/>
      <c r="E6" s="2108"/>
      <c r="F6" s="2108"/>
      <c r="G6" s="2108"/>
      <c r="H6" s="2108"/>
      <c r="I6" s="2109">
        <f>S5&amp;".1"</f>
      </c>
      <c r="J6" s="1393"/>
      <c r="K6" s="1393"/>
      <c r="L6" s="1394" t="s">
        <v>398</v>
      </c>
      <c r="M6" s="543"/>
      <c r="P6" s="2111">
        <v>1</v>
      </c>
      <c r="Q6" s="1361"/>
      <c r="R6" s="352"/>
      <c r="S6" s="1366">
        <f>$I6</f>
      </c>
      <c r="T6" s="273" t="s">
        <v>399</v>
      </c>
      <c r="U6" s="288"/>
      <c r="V6" s="2095"/>
      <c r="W6" s="2096"/>
      <c r="X6" s="2096"/>
      <c r="Y6" s="2096"/>
      <c r="Z6" s="2096"/>
      <c r="AA6" s="2096"/>
      <c r="AB6" s="2096"/>
      <c r="AC6" s="2097"/>
      <c r="AD6" s="2095"/>
      <c r="AE6" s="2096"/>
      <c r="AF6" s="2096"/>
      <c r="AG6" s="2096"/>
      <c r="AH6" s="2096"/>
      <c r="AI6" s="2096"/>
      <c r="AJ6" s="2096"/>
      <c r="AK6" s="2096"/>
      <c r="AL6" s="2097"/>
      <c r="AM6" s="1286" t="s">
        <v>400</v>
      </c>
      <c r="AO6" s="506"/>
      <c r="AP6" s="506" t="str">
        <f>IF(T6="","",T6)</f>
        <v>Схема подключения теплопотребляющей установки к коллектору источника тепловой энергии</v>
      </c>
      <c r="AQ6" s="506"/>
      <c r="AR6" s="506"/>
    </row>
    <row customHeight="1" ht="21" hidden="1">
      <c r="A7" s="1393"/>
      <c r="B7" s="1393"/>
      <c r="C7" s="1393"/>
      <c r="D7" s="1393"/>
      <c r="E7" s="2108"/>
      <c r="F7" s="2108"/>
      <c r="G7" s="2108"/>
      <c r="H7" s="2108"/>
      <c r="I7" s="2110"/>
      <c r="J7" s="2109">
        <f>I6&amp;".1"</f>
      </c>
      <c r="K7" s="1393"/>
      <c r="L7" s="1394" t="s">
        <v>401</v>
      </c>
      <c r="M7" s="543"/>
      <c r="N7" s="1396"/>
      <c r="P7" s="2111"/>
      <c r="Q7" s="2111">
        <v>1</v>
      </c>
      <c r="R7" s="353"/>
      <c r="S7" s="1366">
        <f>$J7</f>
      </c>
      <c r="T7" s="274" t="s">
        <v>402</v>
      </c>
      <c r="U7" s="288"/>
      <c r="V7" s="2095"/>
      <c r="W7" s="2096"/>
      <c r="X7" s="2096"/>
      <c r="Y7" s="2096"/>
      <c r="Z7" s="2096"/>
      <c r="AA7" s="2096"/>
      <c r="AB7" s="2096"/>
      <c r="AC7" s="2097"/>
      <c r="AD7" s="2095"/>
      <c r="AE7" s="2096"/>
      <c r="AF7" s="2096"/>
      <c r="AG7" s="2096"/>
      <c r="AH7" s="2096"/>
      <c r="AI7" s="2096"/>
      <c r="AJ7" s="2096"/>
      <c r="AK7" s="2096"/>
      <c r="AL7" s="2097"/>
      <c r="AM7" s="1286" t="s">
        <v>403</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404</v>
      </c>
      <c r="M8" s="543"/>
      <c r="N8" s="1396"/>
      <c r="O8" s="1396"/>
      <c r="P8" s="2111"/>
      <c r="Q8" s="2111"/>
      <c r="R8" s="353">
        <v>1</v>
      </c>
      <c r="S8" s="1366">
        <f>$K8</f>
      </c>
      <c r="T8" s="1377"/>
      <c r="U8" s="288"/>
      <c r="V8" s="757"/>
      <c r="W8" s="320"/>
      <c r="X8" s="757"/>
      <c r="Y8" s="1285"/>
      <c r="Z8" s="2112"/>
      <c r="AA8" s="1981" t="s">
        <v>62</v>
      </c>
      <c r="AB8" s="2112"/>
      <c r="AC8" s="1981" t="s">
        <v>62</v>
      </c>
      <c r="AD8" s="757"/>
      <c r="AE8" s="320"/>
      <c r="AF8" s="757"/>
      <c r="AG8" s="1285"/>
      <c r="AH8" s="2112"/>
      <c r="AI8" s="1981" t="s">
        <v>62</v>
      </c>
      <c r="AJ8" s="2112"/>
      <c r="AK8" s="1981" t="s">
        <v>62</v>
      </c>
      <c r="AL8" s="320"/>
      <c r="AM8" s="2137" t="s">
        <v>405</v>
      </c>
      <c r="AN8" s="517">
        <f>STRCHECKDATE(V9:AL9)</f>
      </c>
      <c r="AO8" s="506"/>
      <c r="AP8" s="506" t="str">
        <f>IF(T8="","",T8)</f>
        <v/>
      </c>
      <c r="AQ8" s="506"/>
      <c r="AR8" s="506"/>
    </row>
    <row customHeight="1" ht="0.75" hidden="1">
      <c r="A9" s="1393"/>
      <c r="B9" s="1393"/>
      <c r="C9" s="1393"/>
      <c r="D9" s="1393"/>
      <c r="E9" s="2108"/>
      <c r="F9" s="2108"/>
      <c r="G9" s="2108"/>
      <c r="H9" s="2108"/>
      <c r="I9" s="2110"/>
      <c r="J9" s="2110"/>
      <c r="K9" s="2109"/>
      <c r="L9" s="1394"/>
      <c r="M9" s="543"/>
      <c r="N9" s="1396"/>
      <c r="O9" s="1396"/>
      <c r="P9" s="2111"/>
      <c r="Q9" s="2111"/>
      <c r="R9" s="353"/>
      <c r="S9" s="1372"/>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6" t="s">
        <v>406</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5" hidden="1">
      <c r="A11" s="1393"/>
      <c r="B11" s="1393"/>
      <c r="C11" s="1393"/>
      <c r="D11" s="1393"/>
      <c r="E11" s="2108"/>
      <c r="F11" s="2108"/>
      <c r="G11" s="2108"/>
      <c r="H11" s="2108"/>
      <c r="I11" s="2109"/>
      <c r="J11" s="1393"/>
      <c r="K11" s="1393"/>
      <c r="L11" s="1394"/>
      <c r="M11" s="543"/>
      <c r="P11" s="2111"/>
      <c r="Q11" s="1361"/>
      <c r="R11" s="352"/>
      <c r="S11" s="1308"/>
      <c r="T11" s="275" t="s">
        <v>407</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308"/>
      <c r="T12" s="364" t="s">
        <v>408</v>
      </c>
      <c r="U12" s="367"/>
      <c r="V12" s="367"/>
      <c r="W12" s="367"/>
      <c r="X12" s="367"/>
      <c r="Y12" s="367"/>
      <c r="Z12" s="367"/>
      <c r="AA12" s="367"/>
      <c r="AB12" s="367"/>
      <c r="AC12" s="366"/>
      <c r="AD12" s="367"/>
      <c r="AE12" s="367"/>
      <c r="AF12" s="367"/>
      <c r="AG12" s="367"/>
      <c r="AH12" s="367"/>
      <c r="AI12" s="367"/>
      <c r="AJ12" s="367"/>
      <c r="AK12" s="366"/>
      <c r="AL12" s="367"/>
      <c r="AM12" s="291"/>
      <c r="AO12" s="506"/>
      <c r="AP12" s="506" t="str">
        <f>IF(T12="","",T12)</f>
        <v>Добавить схему подключения</v>
      </c>
      <c r="AQ12" s="506"/>
      <c r="AR12" s="506"/>
    </row>
    <row s="3273" customFormat="1" customHeight="1" ht="0.75" hidden="1">
      <c r="A13" s="1344"/>
      <c r="B13" s="1344"/>
      <c r="C13" s="1344"/>
      <c r="D13" s="1344"/>
      <c r="E13" s="2108"/>
      <c r="F13" s="2108"/>
      <c r="G13" s="2107"/>
      <c r="H13" s="1344"/>
      <c r="I13" s="1344"/>
      <c r="J13" s="1344"/>
      <c r="K13" s="1344"/>
      <c r="L13" s="1369"/>
      <c r="M13" s="1345"/>
      <c r="N13" s="1345"/>
      <c r="P13" s="1346"/>
      <c r="Q13" s="1347"/>
      <c r="R13" s="1346"/>
      <c r="S13" s="1348"/>
      <c r="T13" s="1349" t="s">
        <v>181</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273" customFormat="1" customHeight="1" ht="0.75" hidden="1">
      <c r="A14" s="1344"/>
      <c r="B14" s="1344"/>
      <c r="C14" s="1344"/>
      <c r="D14" s="1344"/>
      <c r="E14" s="2108"/>
      <c r="F14" s="2107"/>
      <c r="G14" s="1344"/>
      <c r="H14" s="1344"/>
      <c r="I14" s="1344"/>
      <c r="J14" s="1344"/>
      <c r="K14" s="1344"/>
      <c r="L14" s="1369"/>
      <c r="M14" s="1351"/>
      <c r="N14" s="1351"/>
      <c r="P14" s="1346"/>
      <c r="Q14" s="1347"/>
      <c r="R14" s="1346"/>
      <c r="S14" s="1352"/>
      <c r="T14" s="1353" t="s">
        <v>182</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273" customFormat="1" customHeight="1" ht="0.75" hidden="1">
      <c r="A15" s="1344"/>
      <c r="B15" s="1344"/>
      <c r="C15" s="1344"/>
      <c r="D15" s="1344"/>
      <c r="E15" s="2107"/>
      <c r="F15" s="1344"/>
      <c r="G15" s="1344"/>
      <c r="H15" s="1344"/>
      <c r="I15" s="1344"/>
      <c r="J15" s="1344"/>
      <c r="K15" s="1344"/>
      <c r="L15" s="1369"/>
      <c r="M15" s="1351"/>
      <c r="N15" s="1351"/>
      <c r="P15" s="1346"/>
      <c r="Q15" s="1347"/>
      <c r="R15" s="1346"/>
      <c r="S15" s="1352"/>
      <c r="T15" s="1355" t="s">
        <v>183</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AD17" s="1390"/>
      <c r="AE17" s="1390"/>
      <c r="AF17" s="1390"/>
      <c r="AG17" s="1391"/>
      <c r="AH17" s="2105"/>
      <c r="AI17" s="2104" t="s">
        <v>62</v>
      </c>
      <c r="AJ17" s="2105"/>
      <c r="AK17" s="2104" t="s">
        <v>62</v>
      </c>
    </row>
    <row customHeight="1" ht="14.25" hidden="1">
      <c r="AD18" s="1390"/>
      <c r="AE18" s="1390"/>
      <c r="AF18" s="1390"/>
      <c r="AG18" s="324" t="str">
        <f>AH17&amp;"-"&amp;AJ17</f>
        <v>-</v>
      </c>
      <c r="AH18" s="2104"/>
      <c r="AI18" s="2104"/>
      <c r="AJ18" s="2104"/>
      <c r="AK18" s="2104"/>
    </row>
    <row customHeight="1" ht="14.25" hidden="1">
      <c r="AK19" s="323"/>
    </row>
    <row s="3292" customFormat="1" customHeight="1" ht="22.5" hidden="1">
      <c r="L20" s="1359"/>
      <c r="M20" s="1392"/>
      <c r="N20" s="1392"/>
      <c r="O20" s="1397" t="s">
        <v>409</v>
      </c>
      <c r="P20" s="1392"/>
      <c r="Q20" s="1401"/>
      <c r="R20" s="1401"/>
      <c r="S20" s="735"/>
      <c r="Z20" s="1397"/>
      <c r="AB20" s="1397"/>
      <c r="AC20" s="1396"/>
      <c r="AH20" s="1397"/>
      <c r="AJ20" s="1397"/>
      <c r="AK20" s="1396"/>
      <c r="AN20" s="517"/>
      <c r="AO20" s="517"/>
      <c r="AP20" s="517"/>
      <c r="AQ20" s="517"/>
      <c r="AR20" s="517"/>
    </row>
    <row s="3292" customFormat="1" customHeight="1" ht="14.25" hidden="1">
      <c r="L21" s="1359"/>
      <c r="M21" s="1392"/>
      <c r="N21" s="1392"/>
      <c r="O21" s="1392"/>
      <c r="P21" s="1392"/>
      <c r="Q21" s="1401"/>
      <c r="R21" s="1401"/>
      <c r="S21" s="735"/>
      <c r="AC21" s="1396"/>
      <c r="AK21" s="1396"/>
      <c r="AN21" s="517"/>
      <c r="AO21" s="517"/>
      <c r="AP21" s="517"/>
      <c r="AQ21" s="517"/>
      <c r="AR21" s="517"/>
    </row>
    <row s="3292" customFormat="1" customHeight="1" ht="14.25" hidden="1">
      <c r="L22" s="1359"/>
      <c r="M22" s="1392"/>
      <c r="N22" s="1392"/>
      <c r="O22" s="1394" t="s">
        <v>410</v>
      </c>
      <c r="P22" s="1392"/>
      <c r="Q22" s="1401"/>
      <c r="R22" s="1401"/>
      <c r="S22" s="735"/>
      <c r="T22" s="1168" t="s">
        <v>411</v>
      </c>
      <c r="AA22" s="172" t="s">
        <v>412</v>
      </c>
      <c r="AC22" s="172" t="s">
        <v>413</v>
      </c>
      <c r="AD22" s="1168" t="s">
        <v>411</v>
      </c>
      <c r="AI22" s="172" t="s">
        <v>414</v>
      </c>
      <c r="AK22" s="172" t="s">
        <v>413</v>
      </c>
      <c r="AN22" s="517"/>
      <c r="AO22" s="517"/>
      <c r="AP22" s="517"/>
      <c r="AQ22" s="517"/>
      <c r="AR22" s="517"/>
    </row>
    <row customHeight="1" ht="14.25" hidden="1">
      <c r="O23" s="1394"/>
    </row>
    <row customHeight="1" ht="14.25" hidden="1">
      <c r="O24" s="1394"/>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14.25">
      <c r="Q26" s="377"/>
      <c r="R26" s="377"/>
      <c r="S26" s="2140"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140"/>
      <c r="U26" s="2140"/>
      <c r="V26" s="2140"/>
      <c r="W26" s="2140"/>
      <c r="X26" s="2140"/>
      <c r="Y26" s="2140"/>
      <c r="Z26" s="2140"/>
      <c r="AA26" s="2140"/>
      <c r="AB26" s="2140"/>
      <c r="AC26" s="2140"/>
      <c r="AD26" s="2140"/>
      <c r="AE26" s="2140"/>
      <c r="AF26" s="2140"/>
      <c r="AG26" s="2140"/>
      <c r="AH26" s="2140"/>
      <c r="AI26" s="2140"/>
      <c r="AJ26" s="2140"/>
      <c r="AK26" s="1261"/>
    </row>
    <row customHeight="1" ht="14.25">
      <c r="Q27" s="377"/>
      <c r="R27" s="377"/>
      <c r="S27" s="2141" t="str">
        <f>IF(org=0,"Не определено",org)</f>
        <v>ЗАО "Байкалэнерго"</v>
      </c>
      <c r="T27" s="2141"/>
      <c r="U27" s="2141"/>
      <c r="V27" s="2141"/>
      <c r="W27" s="2141"/>
      <c r="X27" s="2141"/>
      <c r="Y27" s="2141"/>
      <c r="Z27" s="2141"/>
      <c r="AA27" s="2141"/>
      <c r="AB27" s="2141"/>
      <c r="AC27" s="2141"/>
      <c r="AD27" s="2141"/>
      <c r="AE27" s="2141"/>
      <c r="AF27" s="2141"/>
      <c r="AG27" s="2141"/>
      <c r="AH27" s="2141"/>
      <c r="AI27" s="2141"/>
      <c r="AJ27" s="2141"/>
      <c r="AK27" s="1261"/>
    </row>
    <row customHeight="1" ht="14.25">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305" customFormat="1" customHeight="1" ht="25.5">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Служба по тарифам Иркутской области</v>
      </c>
      <c r="W29" s="2100"/>
      <c r="X29" s="2100"/>
      <c r="Y29" s="2100"/>
      <c r="Z29" s="2100"/>
      <c r="AA29" s="2100"/>
      <c r="AB29" s="2100"/>
      <c r="AC29" s="322"/>
      <c r="AD29" s="2100" t="str">
        <f>IF(TITLE_NAME_OR_PR_CHANGE="",IF(TITLE_NAME_OR_PR="","",TITLE_NAME_OR_PR),TITLE_NAME_OR_PR_CHANGE)</f>
        <v>Служба по тарифам Иркутской области</v>
      </c>
      <c r="AE29" s="2100"/>
      <c r="AF29" s="2100"/>
      <c r="AG29" s="2100"/>
      <c r="AH29" s="2100"/>
      <c r="AI29" s="2100"/>
      <c r="AJ29" s="2100"/>
      <c r="AK29" s="322"/>
      <c r="AL29" s="322"/>
      <c r="AM29" s="268"/>
      <c r="AN29" s="368"/>
      <c r="AO29" s="368"/>
      <c r="AP29" s="368"/>
      <c r="AQ29" s="368"/>
      <c r="AR29" s="368"/>
    </row>
    <row s="3305" customFormat="1" customHeight="1" ht="18.75">
      <c r="A30" s="1398"/>
      <c r="B30" s="1398"/>
      <c r="C30" s="1398"/>
      <c r="D30" s="1398"/>
      <c r="E30" s="1398"/>
      <c r="F30" s="1398"/>
      <c r="G30" s="1398"/>
      <c r="H30" s="1398"/>
      <c r="I30" s="1398"/>
      <c r="J30" s="1398"/>
      <c r="K30" s="1398"/>
      <c r="L30" s="1399"/>
      <c r="M30" s="1398"/>
      <c r="N30" s="1398"/>
      <c r="O30" s="1398"/>
      <c r="S30" s="2098" t="s">
        <v>415</v>
      </c>
      <c r="T30" s="2098"/>
      <c r="U30" s="1402"/>
      <c r="V30" s="2099" t="str">
        <f>IF(TITLE_DATE_PR_CHANGE="",IF(TITLE_DATE_PR="","",TITLE_DATE_PR),TITLE_DATE_PR_CHANGE)</f>
        <v>45280.56123842593</v>
      </c>
      <c r="W30" s="2099"/>
      <c r="X30" s="2099"/>
      <c r="Y30" s="2099"/>
      <c r="Z30" s="2099"/>
      <c r="AA30" s="2099"/>
      <c r="AB30" s="2099"/>
      <c r="AC30" s="322"/>
      <c r="AD30" s="2099" t="str">
        <f>IF(TITLE_DATE_PR_CHANGE="",IF(TITLE_DATE_PR="","",TITLE_DATE_PR),TITLE_DATE_PR_CHANGE)</f>
        <v>45280.56123842593</v>
      </c>
      <c r="AE30" s="2099"/>
      <c r="AF30" s="2099"/>
      <c r="AG30" s="2099"/>
      <c r="AH30" s="2099"/>
      <c r="AI30" s="2099"/>
      <c r="AJ30" s="2099"/>
      <c r="AK30" s="322"/>
      <c r="AL30" s="322"/>
      <c r="AM30" s="268"/>
      <c r="AN30" s="368"/>
      <c r="AO30" s="368"/>
      <c r="AP30" s="368"/>
      <c r="AQ30" s="368"/>
      <c r="AR30" s="368"/>
    </row>
    <row s="3305" customFormat="1" customHeight="1" ht="18.75">
      <c r="A31" s="1398"/>
      <c r="B31" s="1398"/>
      <c r="C31" s="1398"/>
      <c r="D31" s="1398"/>
      <c r="E31" s="1398"/>
      <c r="F31" s="1398"/>
      <c r="G31" s="1398"/>
      <c r="H31" s="1398"/>
      <c r="I31" s="1398"/>
      <c r="J31" s="1398"/>
      <c r="K31" s="1398"/>
      <c r="L31" s="1399"/>
      <c r="M31" s="1398"/>
      <c r="N31" s="1398"/>
      <c r="O31" s="1398"/>
      <c r="S31" s="2098" t="s">
        <v>416</v>
      </c>
      <c r="T31" s="2098"/>
      <c r="U31" s="1402"/>
      <c r="V31" s="2100" t="str">
        <f>IF(TITLE_NUMBER_PR_CHANGE="",IF(TITLE_NUMBER_PR="","",TITLE_NUMBER_PR),TITLE_NUMBER_PR_CHANGE)</f>
        <v>79-477-спр</v>
      </c>
      <c r="W31" s="2100"/>
      <c r="X31" s="2100"/>
      <c r="Y31" s="2100"/>
      <c r="Z31" s="2100"/>
      <c r="AA31" s="2100"/>
      <c r="AB31" s="2100"/>
      <c r="AC31" s="322"/>
      <c r="AD31" s="2100" t="str">
        <f>IF(TITLE_NUMBER_PR_CHANGE="",IF(TITLE_NUMBER_PR="","",TITLE_NUMBER_PR),TITLE_NUMBER_PR_CHANGE)</f>
        <v>79-477-спр</v>
      </c>
      <c r="AE31" s="2100"/>
      <c r="AF31" s="2100"/>
      <c r="AG31" s="2100"/>
      <c r="AH31" s="2100"/>
      <c r="AI31" s="2100"/>
      <c r="AJ31" s="2100"/>
      <c r="AK31" s="322"/>
      <c r="AL31" s="322"/>
      <c r="AM31" s="268"/>
      <c r="AN31" s="368"/>
      <c r="AO31" s="368"/>
      <c r="AP31" s="368"/>
      <c r="AQ31" s="368"/>
      <c r="AR31" s="368"/>
    </row>
    <row s="3305" customFormat="1" customHeight="1" ht="18.75">
      <c r="A32" s="1398"/>
      <c r="B32" s="1398"/>
      <c r="C32" s="1398"/>
      <c r="D32" s="1398"/>
      <c r="E32" s="1398"/>
      <c r="F32" s="1398"/>
      <c r="G32" s="1398"/>
      <c r="H32" s="1398"/>
      <c r="I32" s="1398"/>
      <c r="J32" s="1398"/>
      <c r="K32" s="1398"/>
      <c r="L32" s="1399"/>
      <c r="M32" s="1398"/>
      <c r="N32" s="1398"/>
      <c r="O32" s="1398"/>
      <c r="S32" s="2098" t="s">
        <v>40</v>
      </c>
      <c r="T32" s="2098"/>
      <c r="U32" s="1402"/>
      <c r="V32" s="2100" t="str">
        <f>IF(TITLE_IST_PUB_CHANGE="",IF(TITLE_IST_PUB="","",TITLE_IST_PUB),TITLE_IST_PUB_CHANGE)</f>
        <v>Официальный сайт службы по тарифам Иркутской области http://irkobl.ru</v>
      </c>
      <c r="W32" s="2100"/>
      <c r="X32" s="2100"/>
      <c r="Y32" s="2100"/>
      <c r="Z32" s="2100"/>
      <c r="AA32" s="2100"/>
      <c r="AB32" s="2100"/>
      <c r="AC32" s="322"/>
      <c r="AD32" s="2100" t="str">
        <f>IF(TITLE_IST_PUB_CHANGE="",IF(TITLE_IST_PUB="","",TITLE_IST_PUB),TITLE_IST_PUB_CHANGE)</f>
        <v>Официальный сайт службы по тарифам Иркутской области http://irkobl.ru</v>
      </c>
      <c r="AE32" s="2100"/>
      <c r="AF32" s="2100"/>
      <c r="AG32" s="2100"/>
      <c r="AH32" s="2100"/>
      <c r="AI32" s="2100"/>
      <c r="AJ32" s="2100"/>
      <c r="AK32" s="322"/>
      <c r="AL32" s="322"/>
      <c r="AM32" s="268"/>
      <c r="AN32" s="368"/>
      <c r="AO32" s="368"/>
      <c r="AP32" s="368"/>
      <c r="AQ32" s="368"/>
      <c r="AR32" s="368"/>
    </row>
    <row customHeight="1" ht="14.25" hidden="1">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305" customFormat="1" customHeight="1" ht="18.75" hidden="1">
      <c r="A34" s="1398"/>
      <c r="B34" s="1398"/>
      <c r="C34" s="1398"/>
      <c r="D34" s="1398"/>
      <c r="E34" s="1398"/>
      <c r="F34" s="1398"/>
      <c r="G34" s="1398"/>
      <c r="H34" s="1398"/>
      <c r="I34" s="1398"/>
      <c r="J34" s="1398"/>
      <c r="K34" s="1398"/>
      <c r="L34" s="1399"/>
      <c r="M34" s="1398"/>
      <c r="N34" s="1398"/>
      <c r="O34" s="1398"/>
      <c r="S34" s="2098" t="s">
        <v>417</v>
      </c>
      <c r="T34" s="2098"/>
      <c r="U34" s="1402"/>
      <c r="V34" s="2099" t="str">
        <f>IF(TITLE_DATE_PR_CHANGE="",IF(TITLE_DATE_PR="","",TITLE_DATE_PR),TITLE_DATE_PR_CHANGE)</f>
        <v>45280.56123842593</v>
      </c>
      <c r="W34" s="2099"/>
      <c r="X34" s="2099"/>
      <c r="Y34" s="2099"/>
      <c r="Z34" s="2099"/>
      <c r="AA34" s="2099"/>
      <c r="AB34" s="2099"/>
      <c r="AC34" s="322"/>
      <c r="AD34" s="2099" t="str">
        <f>IF(TITLE_DATE_PR_CHANGE="",IF(TITLE_DATE_PR="","",TITLE_DATE_PR),TITLE_DATE_PR_CHANGE)</f>
        <v>45280.56123842593</v>
      </c>
      <c r="AE34" s="2099"/>
      <c r="AF34" s="2099"/>
      <c r="AG34" s="2099"/>
      <c r="AH34" s="2099"/>
      <c r="AI34" s="2099"/>
      <c r="AJ34" s="2099"/>
      <c r="AK34" s="322"/>
      <c r="AL34" s="322"/>
      <c r="AM34" s="268"/>
      <c r="AN34" s="368"/>
      <c r="AO34" s="368"/>
      <c r="AP34" s="368"/>
      <c r="AQ34" s="368"/>
      <c r="AR34" s="368"/>
    </row>
    <row s="3305" customFormat="1" customHeight="1" ht="18.75" hidden="1">
      <c r="A35" s="1398"/>
      <c r="B35" s="1398"/>
      <c r="C35" s="1398"/>
      <c r="D35" s="1398"/>
      <c r="E35" s="1398"/>
      <c r="F35" s="1398"/>
      <c r="G35" s="1398"/>
      <c r="H35" s="1398"/>
      <c r="I35" s="1398"/>
      <c r="J35" s="1398"/>
      <c r="K35" s="1398"/>
      <c r="L35" s="1399"/>
      <c r="M35" s="1398"/>
      <c r="N35" s="1398"/>
      <c r="O35" s="1398"/>
      <c r="S35" s="2098" t="s">
        <v>418</v>
      </c>
      <c r="T35" s="2098"/>
      <c r="U35" s="1402"/>
      <c r="V35" s="2100" t="str">
        <f>IF(TITLE_NUMBER_PR_CHANGE="",IF(TITLE_NUMBER_PR="","",TITLE_NUMBER_PR),TITLE_NUMBER_PR_CHANGE)</f>
        <v>79-477-спр</v>
      </c>
      <c r="W35" s="2100"/>
      <c r="X35" s="2100"/>
      <c r="Y35" s="2100"/>
      <c r="Z35" s="2100"/>
      <c r="AA35" s="2100"/>
      <c r="AB35" s="2100"/>
      <c r="AC35" s="322"/>
      <c r="AD35" s="2100" t="str">
        <f>IF(TITLE_NUMBER_PR_CHANGE="",IF(TITLE_NUMBER_PR="","",TITLE_NUMBER_PR),TITLE_NUMBER_PR_CHANGE)</f>
        <v>79-477-спр</v>
      </c>
      <c r="AE35" s="2100"/>
      <c r="AF35" s="2100"/>
      <c r="AG35" s="2100"/>
      <c r="AH35" s="2100"/>
      <c r="AI35" s="2100"/>
      <c r="AJ35" s="2100"/>
      <c r="AK35" s="322"/>
      <c r="AL35" s="322"/>
      <c r="AM35" s="268"/>
      <c r="AN35" s="368"/>
      <c r="AO35" s="368"/>
      <c r="AP35" s="368"/>
      <c r="AQ35" s="368"/>
      <c r="AR35" s="368"/>
    </row>
    <row s="3305" customFormat="1" customHeight="1" ht="0">
      <c r="A36" s="1398"/>
      <c r="B36" s="1398"/>
      <c r="C36" s="1398"/>
      <c r="D36" s="1398"/>
      <c r="E36" s="1398"/>
      <c r="F36" s="1398"/>
      <c r="G36" s="1398"/>
      <c r="H36" s="1398"/>
      <c r="I36" s="1398"/>
      <c r="J36" s="1398"/>
      <c r="K36" s="1398"/>
      <c r="L36" s="1399"/>
      <c r="M36" s="1398"/>
      <c r="N36" s="1398"/>
      <c r="O36" s="1398"/>
      <c r="S36" s="318"/>
      <c r="T36" s="318"/>
      <c r="U36" s="1370"/>
      <c r="V36" s="322"/>
      <c r="W36" s="322"/>
      <c r="X36" s="322"/>
      <c r="Y36" s="322"/>
      <c r="Z36" s="322"/>
      <c r="AA36" s="322"/>
      <c r="AB36" s="322"/>
      <c r="AC36" s="266" t="s">
        <v>419</v>
      </c>
      <c r="AD36" s="322"/>
      <c r="AE36" s="322"/>
      <c r="AF36" s="322"/>
      <c r="AG36" s="322"/>
      <c r="AH36" s="322"/>
      <c r="AI36" s="322"/>
      <c r="AJ36" s="322"/>
      <c r="AK36" s="266" t="s">
        <v>419</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293</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294</v>
      </c>
    </row>
    <row customHeight="1" ht="14.25">
      <c r="Q39" s="377"/>
      <c r="R39" s="377"/>
      <c r="S39" s="2125" t="s">
        <v>88</v>
      </c>
      <c r="T39" s="2062" t="s">
        <v>420</v>
      </c>
      <c r="U39" s="289"/>
      <c r="V39" s="2126" t="s">
        <v>421</v>
      </c>
      <c r="W39" s="2127"/>
      <c r="X39" s="2127"/>
      <c r="Y39" s="2127"/>
      <c r="Z39" s="2127"/>
      <c r="AA39" s="2127"/>
      <c r="AB39" s="2128"/>
      <c r="AC39" s="2129" t="s">
        <v>422</v>
      </c>
      <c r="AD39" s="2126" t="s">
        <v>421</v>
      </c>
      <c r="AE39" s="2127"/>
      <c r="AF39" s="2127"/>
      <c r="AG39" s="2127"/>
      <c r="AH39" s="2127"/>
      <c r="AI39" s="2127"/>
      <c r="AJ39" s="2128"/>
      <c r="AK39" s="2129" t="s">
        <v>423</v>
      </c>
      <c r="AL39" s="2132" t="s">
        <v>424</v>
      </c>
      <c r="AM39" s="1971"/>
    </row>
    <row customHeight="1" ht="33.75">
      <c r="Q40" s="377"/>
      <c r="R40" s="377"/>
      <c r="S40" s="2125"/>
      <c r="T40" s="2062"/>
      <c r="U40" s="1038"/>
      <c r="V40" s="2135" t="s">
        <v>425</v>
      </c>
      <c r="W40" s="2116" t="s">
        <v>426</v>
      </c>
      <c r="X40" s="2118" t="s">
        <v>427</v>
      </c>
      <c r="Y40" s="2120"/>
      <c r="Z40" s="2118" t="s">
        <v>440</v>
      </c>
      <c r="AA40" s="2119"/>
      <c r="AB40" s="2120"/>
      <c r="AC40" s="2130"/>
      <c r="AD40" s="2135" t="s">
        <v>425</v>
      </c>
      <c r="AE40" s="2116" t="s">
        <v>426</v>
      </c>
      <c r="AF40" s="2118" t="s">
        <v>427</v>
      </c>
      <c r="AG40" s="2120"/>
      <c r="AH40" s="2118" t="s">
        <v>428</v>
      </c>
      <c r="AI40" s="2119"/>
      <c r="AJ40" s="2120"/>
      <c r="AK40" s="2130"/>
      <c r="AL40" s="2133"/>
      <c r="AM40" s="1971"/>
    </row>
    <row customHeight="1" ht="33.75">
      <c r="A41" s="1400"/>
      <c r="B41" s="1400" t="s">
        <v>136</v>
      </c>
      <c r="C41" s="1400" t="s">
        <v>137</v>
      </c>
      <c r="D41" s="1400" t="s">
        <v>138</v>
      </c>
      <c r="E41" s="1394" t="s">
        <v>429</v>
      </c>
      <c r="F41" s="1394" t="s">
        <v>430</v>
      </c>
      <c r="G41" s="1394" t="s">
        <v>431</v>
      </c>
      <c r="H41" s="1394" t="s">
        <v>432</v>
      </c>
      <c r="I41" s="1394" t="s">
        <v>433</v>
      </c>
      <c r="J41" s="1394" t="s">
        <v>434</v>
      </c>
      <c r="K41" s="1394" t="s">
        <v>435</v>
      </c>
      <c r="L41" s="1394" t="s">
        <v>410</v>
      </c>
      <c r="Q41" s="377"/>
      <c r="R41" s="377"/>
      <c r="S41" s="2125"/>
      <c r="T41" s="2062"/>
      <c r="U41" s="290"/>
      <c r="V41" s="2136"/>
      <c r="W41" s="2117"/>
      <c r="X41" s="1237" t="s">
        <v>436</v>
      </c>
      <c r="Y41" s="1237" t="s">
        <v>437</v>
      </c>
      <c r="Z41" s="1368" t="s">
        <v>438</v>
      </c>
      <c r="AA41" s="2121" t="s">
        <v>439</v>
      </c>
      <c r="AB41" s="2122"/>
      <c r="AC41" s="2131"/>
      <c r="AD41" s="2136"/>
      <c r="AE41" s="2117"/>
      <c r="AF41" s="1237" t="s">
        <v>436</v>
      </c>
      <c r="AG41" s="1237" t="s">
        <v>437</v>
      </c>
      <c r="AH41" s="1368" t="s">
        <v>438</v>
      </c>
      <c r="AI41" s="2121" t="s">
        <v>439</v>
      </c>
      <c r="AJ41" s="2122"/>
      <c r="AK41" s="2131"/>
      <c r="AL41" s="2134"/>
      <c r="AM41" s="1971"/>
    </row>
    <row s="2610"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110</v>
      </c>
      <c r="T42" s="1281" t="s">
        <v>111</v>
      </c>
      <c r="U42" s="1263" t="str">
        <f>OFFSET(U42,0,-1)</f>
        <v>2</v>
      </c>
      <c r="V42" s="1365">
        <f>OFFSET(V42,0,-1)+1</f>
        <v>3</v>
      </c>
      <c r="W42" s="1365"/>
      <c r="X42" s="1365">
        <f>OFFSET(X42,0,-1)+1</f>
        <v>1</v>
      </c>
      <c r="Y42" s="1365">
        <f>OFFSET(Y42,0,-1)+1</f>
        <v>2</v>
      </c>
      <c r="Z42" s="1365">
        <f>OFFSET(Z42,0,-1)+1</f>
        <v>3</v>
      </c>
      <c r="AA42" s="2123">
        <f>OFFSET(AA42,0,-1)+1</f>
        <v>4</v>
      </c>
      <c r="AB42" s="2123"/>
      <c r="AC42" s="1365">
        <f>OFFSET(AC42,0,-2)+1</f>
        <v>5</v>
      </c>
      <c r="AD42" s="1365">
        <f>OFFSET(AD42,0,-1)+1</f>
        <v>6</v>
      </c>
      <c r="AE42" s="1365"/>
      <c r="AF42" s="1365">
        <f>OFFSET(AF42,0,-1)+1</f>
        <v>1</v>
      </c>
      <c r="AG42" s="1365">
        <f>OFFSET(AG42,0,-1)+1</f>
        <v>2</v>
      </c>
      <c r="AH42" s="1365">
        <f>OFFSET(AH42,0,-1)+1</f>
        <v>3</v>
      </c>
      <c r="AI42" s="2123">
        <f>OFFSET(AI42,0,-1)+1</f>
        <v>4</v>
      </c>
      <c r="AJ42" s="2123"/>
      <c r="AK42" s="1365">
        <f>OFFSET(AK42,0,-2)+1</f>
        <v>5</v>
      </c>
      <c r="AL42" s="1263">
        <f>OFFSET(AL42,0,-1)</f>
        <v>5</v>
      </c>
      <c r="AM42" s="1365">
        <f>OFFSET(AM42,0,-1)+1</f>
        <v>6</v>
      </c>
      <c r="AN42" s="517"/>
      <c r="AO42" s="517"/>
      <c r="AP42" s="517"/>
      <c r="AQ42" s="517"/>
      <c r="AR42" s="517"/>
    </row>
    <row customHeight="1" ht="21">
      <c r="A43" s="1393" t="s">
        <v>163</v>
      </c>
      <c r="B43" s="1393"/>
      <c r="C43" s="1393"/>
      <c r="D43" s="1393"/>
      <c r="E43" s="2107">
        <v>1</v>
      </c>
      <c r="F43" s="1393"/>
      <c r="G43" s="1393"/>
      <c r="H43" s="1393"/>
      <c r="I43" s="1393"/>
      <c r="J43" s="1393"/>
      <c r="K43" s="1393"/>
      <c r="L43" s="1394"/>
      <c r="M43" s="1395"/>
      <c r="N43" s="1395"/>
      <c r="O43" s="1395"/>
      <c r="P43" s="357"/>
      <c r="Q43" s="356"/>
      <c r="R43" s="351"/>
      <c r="S43" s="1366">
        <f>INDEX(PT_DIFFERENTIATION_NUM_NTAR,MATCH(A43,PT_DIFFERENTIATION_NTAR_ID,0))</f>
        <v>0</v>
      </c>
      <c r="T43" s="286" t="s">
        <v>124</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6"/>
      <c r="AP43" s="506" t="str">
        <f>IF(T43="","",T43)</f>
        <v>Наименование тарифа</v>
      </c>
      <c r="AQ43" s="506"/>
      <c r="AR43" s="506"/>
    </row>
    <row customHeight="1" ht="21">
      <c r="A44" s="1393" t="s">
        <v>163</v>
      </c>
      <c r="B44" s="1393" t="s">
        <v>164</v>
      </c>
      <c r="C44" s="1393"/>
      <c r="D44" s="1393"/>
      <c r="E44" s="2108"/>
      <c r="F44" s="2107">
        <v>1</v>
      </c>
      <c r="G44" s="1393"/>
      <c r="H44" s="1393"/>
      <c r="I44" s="1393"/>
      <c r="J44" s="1393"/>
      <c r="K44" s="1393"/>
      <c r="L44" s="1394"/>
      <c r="M44" s="1395"/>
      <c r="N44" s="1395"/>
      <c r="O44" s="1395"/>
      <c r="P44" s="1362"/>
      <c r="Q44" s="348"/>
      <c r="R44" s="349"/>
      <c r="S44" s="1366" t="str">
        <f>INDEX(PT_DIFFERENTIATION_NUM_TER,MATCH(B44,PT_DIFFERENTIATION_TER_ID,0))</f>
        <v>.</v>
      </c>
      <c r="T44" s="298" t="s">
        <v>392</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393</v>
      </c>
      <c r="AO44" s="506"/>
      <c r="AP44" s="506" t="str">
        <f>IF(T44="","",T44)</f>
        <v>Территория действия тарифа</v>
      </c>
      <c r="AQ44" s="506"/>
      <c r="AR44" s="506"/>
    </row>
    <row customHeight="1" ht="23.25">
      <c r="A45" s="1393" t="s">
        <v>163</v>
      </c>
      <c r="B45" s="1393" t="s">
        <v>164</v>
      </c>
      <c r="C45" s="1393" t="s">
        <v>165</v>
      </c>
      <c r="D45" s="1393"/>
      <c r="E45" s="2108"/>
      <c r="F45" s="2108"/>
      <c r="G45" s="2107">
        <v>1</v>
      </c>
      <c r="H45" s="1393"/>
      <c r="I45" s="1393"/>
      <c r="J45" s="1393"/>
      <c r="K45" s="1393"/>
      <c r="L45" s="1394"/>
      <c r="M45" s="1395"/>
      <c r="N45" s="1395"/>
      <c r="O45" s="1395"/>
      <c r="P45" s="350"/>
      <c r="Q45" s="348"/>
      <c r="R45" s="349"/>
      <c r="S45" s="1366" t="str">
        <f>INDEX(PT_DIFFERENTIATION_NUM_CS,MATCH(C45,PT_DIFFERENTIATION_CS_ID,0))</f>
        <v>..</v>
      </c>
      <c r="T45" s="299" t="s">
        <v>394</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395</v>
      </c>
      <c r="AO45" s="506"/>
      <c r="AP45" s="506" t="str">
        <f>IF(T45="","",T45)</f>
        <v>Наименование системы теплоснабжения </v>
      </c>
      <c r="AQ45" s="506"/>
      <c r="AR45" s="506"/>
    </row>
    <row customHeight="1" ht="21">
      <c r="A46" s="1393" t="s">
        <v>163</v>
      </c>
      <c r="B46" s="1393" t="s">
        <v>164</v>
      </c>
      <c r="C46" s="1393" t="s">
        <v>165</v>
      </c>
      <c r="D46" s="1393" t="s">
        <v>166</v>
      </c>
      <c r="E46" s="2108"/>
      <c r="F46" s="2108"/>
      <c r="G46" s="2108"/>
      <c r="H46" s="2107">
        <v>1</v>
      </c>
      <c r="I46" s="1393"/>
      <c r="J46" s="1393"/>
      <c r="K46" s="1393"/>
      <c r="L46" s="1394"/>
      <c r="M46" s="1395"/>
      <c r="N46" s="1395"/>
      <c r="O46" s="1395"/>
      <c r="P46" s="350"/>
      <c r="Q46" s="348"/>
      <c r="R46" s="349"/>
      <c r="S46" s="1366" t="str">
        <f>INDEX(PT_DIFFERENTIATION_NUM_IST_TE,MATCH(D46,PT_DIFFERENTIATION_IST_TE_ID,0))</f>
        <v>...</v>
      </c>
      <c r="T46" s="300" t="s">
        <v>396</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397</v>
      </c>
      <c r="AO46" s="506"/>
      <c r="AP46" s="506" t="str">
        <f>IF(T46="","",T46)</f>
        <v>Источник тепловой энергии  </v>
      </c>
      <c r="AQ46" s="506"/>
      <c r="AR46" s="506"/>
    </row>
    <row customHeight="1" ht="47.25">
      <c r="A47" s="1393" t="s">
        <v>163</v>
      </c>
      <c r="B47" s="1393" t="s">
        <v>164</v>
      </c>
      <c r="C47" s="1393" t="s">
        <v>165</v>
      </c>
      <c r="D47" s="1393" t="s">
        <v>166</v>
      </c>
      <c r="E47" s="2108"/>
      <c r="F47" s="2108"/>
      <c r="G47" s="2108"/>
      <c r="H47" s="2108"/>
      <c r="I47" s="2109" t="str">
        <f>S46&amp;".1"</f>
        <v>....1</v>
      </c>
      <c r="J47" s="1393"/>
      <c r="K47" s="1393"/>
      <c r="L47" s="1394" t="s">
        <v>398</v>
      </c>
      <c r="P47" s="2111">
        <v>1</v>
      </c>
      <c r="Q47" s="1361"/>
      <c r="R47" s="352"/>
      <c r="S47" s="1366" t="str">
        <f>$I47</f>
        <v>....1</v>
      </c>
      <c r="T47" s="273" t="s">
        <v>399</v>
      </c>
      <c r="U47" s="288"/>
      <c r="V47" s="2095"/>
      <c r="W47" s="2096"/>
      <c r="X47" s="2096"/>
      <c r="Y47" s="2096"/>
      <c r="Z47" s="2096"/>
      <c r="AA47" s="2096"/>
      <c r="AB47" s="2096"/>
      <c r="AC47" s="2097"/>
      <c r="AD47" s="2095"/>
      <c r="AE47" s="2096"/>
      <c r="AF47" s="2096"/>
      <c r="AG47" s="2096"/>
      <c r="AH47" s="2096"/>
      <c r="AI47" s="2096"/>
      <c r="AJ47" s="2096"/>
      <c r="AK47" s="2096"/>
      <c r="AL47" s="2097"/>
      <c r="AM47" s="1286" t="s">
        <v>400</v>
      </c>
      <c r="AO47" s="506"/>
      <c r="AP47" s="506" t="str">
        <f>IF(T47="","",T47)</f>
        <v>Схема подключения теплопотребляющей установки к коллектору источника тепловой энергии</v>
      </c>
      <c r="AQ47" s="506"/>
      <c r="AR47" s="506"/>
    </row>
    <row customHeight="1" ht="21">
      <c r="A48" s="1393" t="s">
        <v>163</v>
      </c>
      <c r="B48" s="1393" t="s">
        <v>164</v>
      </c>
      <c r="C48" s="1393" t="s">
        <v>165</v>
      </c>
      <c r="D48" s="1393" t="s">
        <v>166</v>
      </c>
      <c r="E48" s="2108"/>
      <c r="F48" s="2108"/>
      <c r="G48" s="2108"/>
      <c r="H48" s="2108"/>
      <c r="I48" s="2110"/>
      <c r="J48" s="2109" t="str">
        <f>I47&amp;".1"</f>
        <v>....1.1</v>
      </c>
      <c r="K48" s="1393"/>
      <c r="L48" s="1394" t="s">
        <v>401</v>
      </c>
      <c r="P48" s="2111"/>
      <c r="Q48" s="2111">
        <v>1</v>
      </c>
      <c r="R48" s="353"/>
      <c r="S48" s="1366" t="str">
        <f>$J48</f>
        <v>....1.1</v>
      </c>
      <c r="T48" s="274" t="s">
        <v>402</v>
      </c>
      <c r="U48" s="288"/>
      <c r="V48" s="2095"/>
      <c r="W48" s="2096"/>
      <c r="X48" s="2096"/>
      <c r="Y48" s="2096"/>
      <c r="Z48" s="2096"/>
      <c r="AA48" s="2096"/>
      <c r="AB48" s="2096"/>
      <c r="AC48" s="2097"/>
      <c r="AD48" s="2095"/>
      <c r="AE48" s="2096"/>
      <c r="AF48" s="2096"/>
      <c r="AG48" s="2096"/>
      <c r="AH48" s="2096"/>
      <c r="AI48" s="2096"/>
      <c r="AJ48" s="2096"/>
      <c r="AK48" s="2096"/>
      <c r="AL48" s="2097"/>
      <c r="AM48" s="1286" t="s">
        <v>403</v>
      </c>
      <c r="AO48" s="506"/>
      <c r="AP48" s="506" t="str">
        <f>IF(T48="","",T48)</f>
        <v>Группа потребителей</v>
      </c>
      <c r="AQ48" s="506"/>
      <c r="AR48" s="506"/>
    </row>
    <row customHeight="1" ht="21">
      <c r="A49" s="1393" t="s">
        <v>163</v>
      </c>
      <c r="B49" s="1393" t="s">
        <v>164</v>
      </c>
      <c r="C49" s="1393" t="s">
        <v>165</v>
      </c>
      <c r="D49" s="1393" t="s">
        <v>166</v>
      </c>
      <c r="E49" s="2108"/>
      <c r="F49" s="2108"/>
      <c r="G49" s="2108"/>
      <c r="H49" s="2108"/>
      <c r="I49" s="2110"/>
      <c r="J49" s="2110"/>
      <c r="K49" s="2109" t="str">
        <f>J48&amp;".1"</f>
        <v>....1.1.1</v>
      </c>
      <c r="L49" s="1394" t="s">
        <v>404</v>
      </c>
      <c r="P49" s="2111"/>
      <c r="Q49" s="2111"/>
      <c r="R49" s="353">
        <v>1</v>
      </c>
      <c r="S49" s="1366" t="str">
        <f>$K49</f>
        <v>....1.1.1</v>
      </c>
      <c r="T49" s="1377"/>
      <c r="U49" s="288"/>
      <c r="V49" s="757"/>
      <c r="W49" s="320"/>
      <c r="X49" s="757"/>
      <c r="Y49" s="1285"/>
      <c r="Z49" s="2112"/>
      <c r="AA49" s="1981" t="s">
        <v>62</v>
      </c>
      <c r="AB49" s="2112"/>
      <c r="AC49" s="1981" t="s">
        <v>62</v>
      </c>
      <c r="AD49" s="757"/>
      <c r="AE49" s="320"/>
      <c r="AF49" s="757"/>
      <c r="AG49" s="1285"/>
      <c r="AH49" s="2112"/>
      <c r="AI49" s="1981" t="s">
        <v>62</v>
      </c>
      <c r="AJ49" s="2114"/>
      <c r="AK49" s="1981" t="s">
        <v>62</v>
      </c>
      <c r="AL49" s="1378"/>
      <c r="AM49" s="2137" t="s">
        <v>405</v>
      </c>
      <c r="AN49" s="517">
        <f>STRCHECKDATE(V50:AL50)</f>
      </c>
      <c r="AO49" s="506"/>
      <c r="AP49" s="506" t="str">
        <f>IF(T49="","",T49)</f>
        <v/>
      </c>
      <c r="AQ49" s="506"/>
      <c r="AR49" s="506"/>
    </row>
    <row customHeight="1" ht="0.75">
      <c r="A50" s="1393" t="s">
        <v>163</v>
      </c>
      <c r="B50" s="1393" t="s">
        <v>164</v>
      </c>
      <c r="C50" s="1393" t="s">
        <v>165</v>
      </c>
      <c r="D50" s="1393" t="s">
        <v>166</v>
      </c>
      <c r="E50" s="2108"/>
      <c r="F50" s="2108"/>
      <c r="G50" s="2108"/>
      <c r="H50" s="2108"/>
      <c r="I50" s="2110"/>
      <c r="J50" s="2110"/>
      <c r="K50" s="2109"/>
      <c r="L50" s="1394"/>
      <c r="P50" s="2111"/>
      <c r="Q50" s="2111"/>
      <c r="R50" s="353"/>
      <c r="S50" s="1372"/>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163</v>
      </c>
      <c r="B51" s="1393" t="s">
        <v>164</v>
      </c>
      <c r="C51" s="1393" t="s">
        <v>165</v>
      </c>
      <c r="D51" s="1393" t="s">
        <v>166</v>
      </c>
      <c r="E51" s="2108"/>
      <c r="F51" s="2108"/>
      <c r="G51" s="2108"/>
      <c r="H51" s="2108"/>
      <c r="I51" s="2110"/>
      <c r="J51" s="2109"/>
      <c r="K51" s="1393"/>
      <c r="L51" s="1394"/>
      <c r="P51" s="2111"/>
      <c r="Q51" s="2111"/>
      <c r="R51" s="352"/>
      <c r="S51" s="1308"/>
      <c r="T51" s="276" t="s">
        <v>406</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163</v>
      </c>
      <c r="B52" s="1393" t="s">
        <v>164</v>
      </c>
      <c r="C52" s="1393" t="s">
        <v>165</v>
      </c>
      <c r="D52" s="1393" t="s">
        <v>166</v>
      </c>
      <c r="E52" s="2108"/>
      <c r="F52" s="2108"/>
      <c r="G52" s="2108"/>
      <c r="H52" s="2108"/>
      <c r="I52" s="2109"/>
      <c r="J52" s="1393"/>
      <c r="K52" s="1393"/>
      <c r="L52" s="1394"/>
      <c r="P52" s="2111"/>
      <c r="Q52" s="1361"/>
      <c r="R52" s="352"/>
      <c r="S52" s="1308"/>
      <c r="T52" s="275" t="s">
        <v>407</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14.25">
      <c r="A53" s="1393" t="s">
        <v>163</v>
      </c>
      <c r="B53" s="1393" t="s">
        <v>164</v>
      </c>
      <c r="C53" s="1393" t="s">
        <v>165</v>
      </c>
      <c r="D53" s="1393" t="s">
        <v>166</v>
      </c>
      <c r="E53" s="2108"/>
      <c r="F53" s="2108"/>
      <c r="G53" s="2108"/>
      <c r="H53" s="2107"/>
      <c r="I53" s="1393"/>
      <c r="J53" s="1393"/>
      <c r="K53" s="1393"/>
      <c r="L53" s="1394"/>
      <c r="M53" s="1395"/>
      <c r="N53" s="1395"/>
      <c r="O53" s="543"/>
      <c r="P53" s="356"/>
      <c r="Q53" s="376"/>
      <c r="R53" s="351"/>
      <c r="S53" s="1308"/>
      <c r="T53" s="364" t="s">
        <v>408</v>
      </c>
      <c r="U53" s="367"/>
      <c r="V53" s="367"/>
      <c r="W53" s="367"/>
      <c r="X53" s="367"/>
      <c r="Y53" s="367"/>
      <c r="Z53" s="367"/>
      <c r="AA53" s="367"/>
      <c r="AB53" s="367"/>
      <c r="AC53" s="366"/>
      <c r="AD53" s="367"/>
      <c r="AE53" s="367"/>
      <c r="AF53" s="367"/>
      <c r="AG53" s="367"/>
      <c r="AH53" s="367"/>
      <c r="AI53" s="367"/>
      <c r="AJ53" s="367"/>
      <c r="AK53" s="366"/>
      <c r="AL53" s="367"/>
      <c r="AM53" s="291"/>
      <c r="AO53" s="506"/>
      <c r="AP53" s="506" t="str">
        <f>IF(T53="","",T53)</f>
        <v>Добавить схему подключения</v>
      </c>
      <c r="AQ53" s="506"/>
      <c r="AR53" s="506"/>
    </row>
    <row s="3273" customFormat="1" customHeight="1" ht="0.75">
      <c r="A54" s="1373" t="s">
        <v>163</v>
      </c>
      <c r="B54" s="1373" t="s">
        <v>164</v>
      </c>
      <c r="C54" s="1373" t="s">
        <v>165</v>
      </c>
      <c r="D54" s="1344"/>
      <c r="E54" s="2108"/>
      <c r="F54" s="2108"/>
      <c r="G54" s="2107"/>
      <c r="H54" s="1344"/>
      <c r="I54" s="1344"/>
      <c r="J54" s="1344"/>
      <c r="K54" s="1344"/>
      <c r="L54" s="1369"/>
      <c r="M54" s="1345"/>
      <c r="N54" s="1345"/>
      <c r="P54" s="1346"/>
      <c r="Q54" s="1347"/>
      <c r="R54" s="1346"/>
      <c r="S54" s="1352"/>
      <c r="T54" s="1355" t="s">
        <v>181</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273" customFormat="1" customHeight="1" ht="0.75">
      <c r="A55" s="1373" t="s">
        <v>163</v>
      </c>
      <c r="B55" s="1373" t="s">
        <v>164</v>
      </c>
      <c r="C55" s="1344"/>
      <c r="D55" s="1344"/>
      <c r="E55" s="2108"/>
      <c r="F55" s="2107"/>
      <c r="G55" s="1344"/>
      <c r="H55" s="1344"/>
      <c r="I55" s="1344"/>
      <c r="J55" s="1344"/>
      <c r="K55" s="1344"/>
      <c r="L55" s="1369"/>
      <c r="M55" s="1351"/>
      <c r="N55" s="1351"/>
      <c r="P55" s="1346"/>
      <c r="Q55" s="1347"/>
      <c r="R55" s="1346"/>
      <c r="S55" s="1352"/>
      <c r="T55" s="1355" t="s">
        <v>182</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1" customFormat="1" customHeight="1" ht="0.75">
      <c r="A56" s="1373" t="s">
        <v>163</v>
      </c>
      <c r="B56" s="1373"/>
      <c r="C56" s="1373"/>
      <c r="D56" s="1373"/>
      <c r="E56" s="2107"/>
      <c r="F56" s="1373"/>
      <c r="G56" s="1373"/>
      <c r="H56" s="1373"/>
      <c r="I56" s="1373"/>
      <c r="J56" s="1373"/>
      <c r="K56" s="1373"/>
      <c r="L56" s="1376"/>
      <c r="M56" s="1351"/>
      <c r="N56" s="1351"/>
      <c r="O56" s="524"/>
      <c r="P56" s="385"/>
      <c r="Q56" s="1374"/>
      <c r="R56" s="385"/>
      <c r="S56" s="1352"/>
      <c r="T56" s="1355" t="s">
        <v>183</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273" customFormat="1" customHeight="1" ht="0.75">
      <c r="A57" s="1344"/>
      <c r="B57" s="1344"/>
      <c r="C57" s="1344"/>
      <c r="D57" s="1344"/>
      <c r="E57" s="1373"/>
      <c r="F57" s="1344"/>
      <c r="G57" s="1344"/>
      <c r="H57" s="1344"/>
      <c r="I57" s="1344"/>
      <c r="J57" s="1344"/>
      <c r="K57" s="1344"/>
      <c r="L57" s="1369"/>
      <c r="M57" s="1351"/>
      <c r="N57" s="1351"/>
      <c r="P57" s="1346"/>
      <c r="Q57" s="1347"/>
      <c r="R57" s="1346"/>
      <c r="S57" s="1352"/>
      <c r="T57" s="1355" t="s">
        <v>184</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27">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62.25">
      <c r="O60" s="54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14.25">
      <c r="O61" s="543"/>
    </row>
    <row customHeight="1" ht="18">
      <c r="O62" s="543"/>
      <c r="S62" s="1273"/>
      <c r="T62" s="2106"/>
      <c r="U62" s="2106"/>
      <c r="V62" s="2106"/>
      <c r="W62" s="2106"/>
      <c r="X62" s="2106"/>
      <c r="Y62" s="2106"/>
      <c r="Z62" s="2106"/>
      <c r="AA62" s="2106"/>
      <c r="AB62" s="2106"/>
      <c r="AC62" s="2106"/>
      <c r="AD62" s="2106"/>
      <c r="AE62" s="2106"/>
      <c r="AF62" s="2106"/>
      <c r="AG62" s="2106"/>
      <c r="AH62" s="2106"/>
      <c r="AI62" s="2106"/>
      <c r="AJ62" s="2106"/>
      <c r="AK62" s="2106"/>
      <c r="AL62" s="2106"/>
      <c r="AM62" s="2106"/>
    </row>
    <row customHeight="1" ht="18">
      <c r="O63" s="543"/>
      <c r="T63" s="2106"/>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27.75">
      <c r="O64" s="543"/>
      <c r="S64" s="1273"/>
      <c r="T64" s="2106"/>
      <c r="U64" s="2106"/>
      <c r="V64" s="2106"/>
      <c r="W64" s="2106"/>
      <c r="X64" s="2106"/>
      <c r="Y64" s="2106"/>
      <c r="Z64" s="2106"/>
      <c r="AA64" s="2106"/>
      <c r="AB64" s="2106"/>
      <c r="AC64" s="2106"/>
      <c r="AD64" s="2106"/>
      <c r="AE64" s="2106"/>
      <c r="AF64" s="2106"/>
      <c r="AG64" s="2106"/>
      <c r="AH64" s="2106"/>
      <c r="AI64" s="2106"/>
      <c r="AJ64" s="2106"/>
      <c r="AK64" s="2106"/>
      <c r="AL64" s="2106"/>
      <c r="AM64" s="2106"/>
    </row>
  </sheetData>
  <sheetProtection formatColumns="0" formatRows="0" autoFilter="0" sort="0" insertRows="0" insertColumns="1" deleteRows="0" deleteColumns="0"/>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46C5E7B-FFDB-FABB-CE99-10CCDBEB359F}"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3292" width="10.57421875" hidden="1"/>
    <col min="2" max="2" style="3292" width="11.00390625" hidden="1" customWidth="1"/>
    <col min="3" max="3" style="3292" width="10.57421875" hidden="1"/>
    <col min="4" max="4" style="3292" width="11.8515625" hidden="1" customWidth="1"/>
    <col min="5" max="5" style="3292" width="10.00390625" hidden="1" customWidth="1"/>
    <col min="6" max="6" style="3292" width="8.7109375" hidden="1" customWidth="1"/>
    <col min="7" max="7" style="3292" width="7.57421875" hidden="1" customWidth="1"/>
    <col min="8" max="8" style="3292" width="11.421875" hidden="1" customWidth="1"/>
    <col min="9" max="9" style="3292" width="12.00390625" hidden="1" customWidth="1"/>
    <col min="10" max="10" style="3292" width="9.8515625" hidden="1" customWidth="1"/>
    <col min="11" max="11" style="3292" width="11.421875" hidden="1" customWidth="1"/>
    <col min="12" max="12" style="3293" width="19.140625" hidden="1" customWidth="1"/>
    <col min="13" max="14" style="3294" width="12.28125" hidden="1" customWidth="1"/>
    <col min="15" max="15" style="3294" width="23.421875" hidden="1" customWidth="1"/>
    <col min="16" max="16" style="3315" width="3.7109375" customWidth="1"/>
    <col min="17" max="18" style="3371" width="3.7109375" customWidth="1"/>
    <col min="19" max="19" style="3372" width="12.7109375" customWidth="1"/>
    <col min="20" max="20" style="2939" width="32.00390625" customWidth="1"/>
    <col min="21" max="21" style="2939" width="0.7109375" hidden="1" customWidth="1"/>
    <col min="22" max="22" style="2939" width="1.7109375" hidden="1" customWidth="1"/>
    <col min="23" max="23" style="2939" width="24.7109375" hidden="1" customWidth="1"/>
    <col min="24" max="25" style="2939" width="0.140625" hidden="1" customWidth="1"/>
    <col min="26" max="26" style="2939" width="11.7109375" hidden="1" customWidth="1"/>
    <col min="27" max="27" style="2939" width="3.7109375" hidden="1" customWidth="1"/>
    <col min="28" max="28" style="2939" width="11.7109375" hidden="1" customWidth="1"/>
    <col min="29" max="29" style="2939" width="8.57421875" hidden="1" customWidth="1"/>
    <col min="30" max="30" style="2939" width="0.140625" customWidth="1"/>
    <col min="31" max="31" style="2939" width="24.7109375" customWidth="1"/>
    <col min="32" max="33" style="2939" width="0.140625" customWidth="1"/>
    <col min="34" max="34" style="2939" width="11.7109375" customWidth="1"/>
    <col min="35" max="35" style="2939" width="3.7109375" customWidth="1"/>
    <col min="36" max="36" style="2939" width="11.7109375" customWidth="1"/>
    <col min="37" max="37" style="2939" width="8.57421875" hidden="1" customWidth="1"/>
    <col min="38" max="38" style="2939" width="4.7109375" customWidth="1"/>
    <col min="39" max="39" style="2939" width="115.7109375" customWidth="1"/>
    <col min="40" max="41" style="2611" width="10.57421875"/>
    <col min="42" max="42" style="2611" width="11.140625" customWidth="1"/>
    <col min="43" max="44" style="2611" width="10.57421875"/>
  </cols>
  <sheetData>
    <row customHeight="1" ht="14.25" hidden="1">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66">
        <f>INDEX(PT_DIFFERENTIATION_NUM_NTAR,MATCH(A2,PT_DIFFERENTIATION_NTAR_ID,0))</f>
      </c>
      <c r="T2" s="286" t="s">
        <v>124</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391</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62"/>
      <c r="Q3" s="348"/>
      <c r="R3" s="349"/>
      <c r="S3" s="1366">
        <f>INDEX(PT_DIFFERENTIATION_NUM_TER,MATCH(B3,PT_DIFFERENTIATION_TER_ID,0))</f>
      </c>
      <c r="T3" s="298" t="s">
        <v>392</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393</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66">
        <f>INDEX(PT_DIFFERENTIATION_NUM_CS,MATCH(C4,PT_DIFFERENTIATION_CS_ID,0))</f>
      </c>
      <c r="T4" s="299" t="s">
        <v>394</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395</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66">
        <f>INDEX(PT_DIFFERENTIATION_NUM_IST_TE,MATCH(D5,PT_DIFFERENTIATION_IST_TE_ID,0))</f>
      </c>
      <c r="T5" s="300" t="s">
        <v>396</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397</v>
      </c>
      <c r="AO5" s="506"/>
      <c r="AP5" s="506" t="str">
        <f>IF(T5="","",T5)</f>
        <v>Источник тепловой энергии  </v>
      </c>
      <c r="AQ5" s="506"/>
      <c r="AR5" s="506"/>
    </row>
    <row customHeight="1" ht="47.25" hidden="1">
      <c r="A6" s="1393"/>
      <c r="B6" s="1393"/>
      <c r="C6" s="1393"/>
      <c r="D6" s="1393"/>
      <c r="E6" s="2108"/>
      <c r="F6" s="2108"/>
      <c r="G6" s="2108"/>
      <c r="H6" s="2108"/>
      <c r="I6" s="2109">
        <f>S5&amp;".1"</f>
      </c>
      <c r="J6" s="1393"/>
      <c r="K6" s="1393"/>
      <c r="L6" s="1394" t="s">
        <v>398</v>
      </c>
      <c r="M6" s="543"/>
      <c r="P6" s="2111">
        <v>1</v>
      </c>
      <c r="Q6" s="1361"/>
      <c r="R6" s="352"/>
      <c r="S6" s="1366">
        <f>$I6</f>
      </c>
      <c r="T6" s="273" t="s">
        <v>399</v>
      </c>
      <c r="U6" s="288"/>
      <c r="V6" s="2095"/>
      <c r="W6" s="2096"/>
      <c r="X6" s="2096"/>
      <c r="Y6" s="2096"/>
      <c r="Z6" s="2096"/>
      <c r="AA6" s="2096"/>
      <c r="AB6" s="2096"/>
      <c r="AC6" s="2097"/>
      <c r="AD6" s="2095"/>
      <c r="AE6" s="2096"/>
      <c r="AF6" s="2096"/>
      <c r="AG6" s="2096"/>
      <c r="AH6" s="2096"/>
      <c r="AI6" s="2096"/>
      <c r="AJ6" s="2096"/>
      <c r="AK6" s="2096"/>
      <c r="AL6" s="2097"/>
      <c r="AM6" s="1286" t="s">
        <v>400</v>
      </c>
      <c r="AO6" s="506"/>
      <c r="AP6" s="506" t="str">
        <f>IF(T6="","",T6)</f>
        <v>Схема подключения теплопотребляющей установки к коллектору источника тепловой энергии</v>
      </c>
      <c r="AQ6" s="506"/>
      <c r="AR6" s="506"/>
    </row>
    <row customHeight="1" ht="21" hidden="1">
      <c r="A7" s="1393"/>
      <c r="B7" s="1393"/>
      <c r="C7" s="1393"/>
      <c r="D7" s="1393"/>
      <c r="E7" s="2108"/>
      <c r="F7" s="2108"/>
      <c r="G7" s="2108"/>
      <c r="H7" s="2108"/>
      <c r="I7" s="2110"/>
      <c r="J7" s="2109">
        <f>I6&amp;".1"</f>
      </c>
      <c r="K7" s="1393"/>
      <c r="L7" s="1394" t="s">
        <v>401</v>
      </c>
      <c r="M7" s="543"/>
      <c r="N7" s="1396"/>
      <c r="P7" s="2111"/>
      <c r="Q7" s="2111">
        <v>1</v>
      </c>
      <c r="R7" s="353"/>
      <c r="S7" s="1366">
        <f>$J7</f>
      </c>
      <c r="T7" s="274" t="s">
        <v>402</v>
      </c>
      <c r="U7" s="288"/>
      <c r="V7" s="2095"/>
      <c r="W7" s="2096"/>
      <c r="X7" s="2096"/>
      <c r="Y7" s="2096"/>
      <c r="Z7" s="2096"/>
      <c r="AA7" s="2096"/>
      <c r="AB7" s="2096"/>
      <c r="AC7" s="2097"/>
      <c r="AD7" s="2095"/>
      <c r="AE7" s="2096"/>
      <c r="AF7" s="2096"/>
      <c r="AG7" s="2096"/>
      <c r="AH7" s="2096"/>
      <c r="AI7" s="2096"/>
      <c r="AJ7" s="2096"/>
      <c r="AK7" s="2096"/>
      <c r="AL7" s="2097"/>
      <c r="AM7" s="1286" t="s">
        <v>403</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404</v>
      </c>
      <c r="M8" s="543"/>
      <c r="N8" s="1396"/>
      <c r="O8" s="1396"/>
      <c r="P8" s="2111"/>
      <c r="Q8" s="2111"/>
      <c r="R8" s="353">
        <v>1</v>
      </c>
      <c r="S8" s="1366">
        <f>$K8</f>
      </c>
      <c r="T8" s="1377"/>
      <c r="U8" s="288"/>
      <c r="V8" s="320"/>
      <c r="W8" s="757"/>
      <c r="X8" s="320"/>
      <c r="Y8" s="390"/>
      <c r="Z8" s="2112"/>
      <c r="AA8" s="1981" t="s">
        <v>62</v>
      </c>
      <c r="AB8" s="2112"/>
      <c r="AC8" s="1981" t="s">
        <v>62</v>
      </c>
      <c r="AD8" s="320"/>
      <c r="AE8" s="757"/>
      <c r="AF8" s="320"/>
      <c r="AG8" s="390"/>
      <c r="AH8" s="2112"/>
      <c r="AI8" s="1981" t="s">
        <v>62</v>
      </c>
      <c r="AJ8" s="2112"/>
      <c r="AK8" s="1981" t="s">
        <v>62</v>
      </c>
      <c r="AL8" s="320"/>
      <c r="AM8" s="2137" t="s">
        <v>405</v>
      </c>
      <c r="AN8" s="517">
        <f>STRCHECKDATE(V9:AL9)</f>
      </c>
      <c r="AO8" s="506"/>
      <c r="AP8" s="506" t="str">
        <f>IF(T8="","",T8)</f>
        <v/>
      </c>
      <c r="AQ8" s="506"/>
      <c r="AR8" s="506"/>
    </row>
    <row customHeight="1" ht="0.75" hidden="1">
      <c r="A9" s="1393"/>
      <c r="B9" s="1393"/>
      <c r="C9" s="1393"/>
      <c r="D9" s="1393"/>
      <c r="E9" s="2108"/>
      <c r="F9" s="2108"/>
      <c r="G9" s="2108"/>
      <c r="H9" s="2108"/>
      <c r="I9" s="2110"/>
      <c r="J9" s="2110"/>
      <c r="K9" s="2109"/>
      <c r="L9" s="1394"/>
      <c r="M9" s="543"/>
      <c r="N9" s="1396"/>
      <c r="O9" s="1396"/>
      <c r="P9" s="2111"/>
      <c r="Q9" s="2111"/>
      <c r="R9" s="353"/>
      <c r="S9" s="1372"/>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6" t="s">
        <v>406</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5" hidden="1">
      <c r="A11" s="1393"/>
      <c r="B11" s="1393"/>
      <c r="C11" s="1393"/>
      <c r="D11" s="1393"/>
      <c r="E11" s="2108"/>
      <c r="F11" s="2108"/>
      <c r="G11" s="2108"/>
      <c r="H11" s="2108"/>
      <c r="I11" s="2109"/>
      <c r="J11" s="1393"/>
      <c r="K11" s="1393"/>
      <c r="L11" s="1394"/>
      <c r="M11" s="543"/>
      <c r="P11" s="2111"/>
      <c r="Q11" s="1361"/>
      <c r="R11" s="352"/>
      <c r="S11" s="1308"/>
      <c r="T11" s="275" t="s">
        <v>407</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308"/>
      <c r="T12" s="364" t="s">
        <v>408</v>
      </c>
      <c r="U12" s="367"/>
      <c r="V12" s="367"/>
      <c r="W12" s="367"/>
      <c r="X12" s="367"/>
      <c r="Y12" s="367"/>
      <c r="Z12" s="367"/>
      <c r="AA12" s="367"/>
      <c r="AB12" s="367"/>
      <c r="AC12" s="366"/>
      <c r="AD12" s="367"/>
      <c r="AE12" s="367"/>
      <c r="AF12" s="367"/>
      <c r="AG12" s="367"/>
      <c r="AH12" s="367"/>
      <c r="AI12" s="367"/>
      <c r="AJ12" s="367"/>
      <c r="AK12" s="366"/>
      <c r="AL12" s="367"/>
      <c r="AM12" s="291"/>
      <c r="AO12" s="506"/>
      <c r="AP12" s="506" t="str">
        <f>IF(T12="","",T12)</f>
        <v>Добавить схему подключения</v>
      </c>
      <c r="AQ12" s="506"/>
      <c r="AR12" s="506"/>
    </row>
    <row s="3273" customFormat="1" customHeight="1" ht="0.75" hidden="1">
      <c r="A13" s="1344"/>
      <c r="B13" s="1344"/>
      <c r="C13" s="1344"/>
      <c r="D13" s="1344"/>
      <c r="E13" s="2108"/>
      <c r="F13" s="2108"/>
      <c r="G13" s="2107"/>
      <c r="H13" s="1344"/>
      <c r="I13" s="1344"/>
      <c r="J13" s="1344"/>
      <c r="K13" s="1344"/>
      <c r="L13" s="1369"/>
      <c r="M13" s="1345"/>
      <c r="N13" s="1345"/>
      <c r="P13" s="1346"/>
      <c r="Q13" s="1347"/>
      <c r="R13" s="1346"/>
      <c r="S13" s="1348"/>
      <c r="T13" s="1349" t="s">
        <v>181</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273" customFormat="1" customHeight="1" ht="0.75" hidden="1">
      <c r="A14" s="1344"/>
      <c r="B14" s="1344"/>
      <c r="C14" s="1344"/>
      <c r="D14" s="1344"/>
      <c r="E14" s="2108"/>
      <c r="F14" s="2107"/>
      <c r="G14" s="1344"/>
      <c r="H14" s="1344"/>
      <c r="I14" s="1344"/>
      <c r="J14" s="1344"/>
      <c r="K14" s="1344"/>
      <c r="L14" s="1369"/>
      <c r="M14" s="1351"/>
      <c r="N14" s="1351"/>
      <c r="P14" s="1346"/>
      <c r="Q14" s="1347"/>
      <c r="R14" s="1346"/>
      <c r="S14" s="1352"/>
      <c r="T14" s="1353" t="s">
        <v>182</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273" customFormat="1" customHeight="1" ht="0.75" hidden="1">
      <c r="A15" s="1344"/>
      <c r="B15" s="1344"/>
      <c r="C15" s="1344"/>
      <c r="D15" s="1344"/>
      <c r="E15" s="2107"/>
      <c r="F15" s="1344"/>
      <c r="G15" s="1344"/>
      <c r="H15" s="1344"/>
      <c r="I15" s="1344"/>
      <c r="J15" s="1344"/>
      <c r="K15" s="1344"/>
      <c r="L15" s="1369"/>
      <c r="M15" s="1351"/>
      <c r="N15" s="1351"/>
      <c r="P15" s="1346"/>
      <c r="Q15" s="1347"/>
      <c r="R15" s="1346"/>
      <c r="S15" s="1352"/>
      <c r="T15" s="1355" t="s">
        <v>183</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AD17" s="1390"/>
      <c r="AE17" s="1390"/>
      <c r="AF17" s="1390"/>
      <c r="AG17" s="1391"/>
      <c r="AH17" s="2105"/>
      <c r="AI17" s="2104" t="s">
        <v>62</v>
      </c>
      <c r="AJ17" s="2105"/>
      <c r="AK17" s="2104" t="s">
        <v>62</v>
      </c>
    </row>
    <row customHeight="1" ht="14.25" hidden="1">
      <c r="AD18" s="1390"/>
      <c r="AE18" s="1390"/>
      <c r="AF18" s="1390"/>
      <c r="AG18" s="324" t="str">
        <f>AH17&amp;"-"&amp;AJ17</f>
        <v>-</v>
      </c>
      <c r="AH18" s="2104"/>
      <c r="AI18" s="2104"/>
      <c r="AJ18" s="2104"/>
      <c r="AK18" s="2104"/>
    </row>
    <row customHeight="1" ht="14.25" hidden="1">
      <c r="AK19" s="323"/>
    </row>
    <row s="3292" customFormat="1" customHeight="1" ht="22.5" hidden="1">
      <c r="L20" s="1359"/>
      <c r="M20" s="1392"/>
      <c r="N20" s="1392"/>
      <c r="O20" s="1397" t="s">
        <v>409</v>
      </c>
      <c r="P20" s="1392"/>
      <c r="Q20" s="1401"/>
      <c r="R20" s="1401"/>
      <c r="S20" s="735"/>
      <c r="Z20" s="1397"/>
      <c r="AB20" s="1397"/>
      <c r="AC20" s="1396"/>
      <c r="AH20" s="1397"/>
      <c r="AJ20" s="1397"/>
      <c r="AK20" s="1396"/>
      <c r="AN20" s="517"/>
      <c r="AO20" s="517"/>
      <c r="AP20" s="517"/>
      <c r="AQ20" s="517"/>
      <c r="AR20" s="517"/>
    </row>
    <row s="3292" customFormat="1" customHeight="1" ht="14.25" hidden="1">
      <c r="L21" s="1359"/>
      <c r="M21" s="1392"/>
      <c r="N21" s="1392"/>
      <c r="O21" s="1392"/>
      <c r="P21" s="1392"/>
      <c r="Q21" s="1401"/>
      <c r="R21" s="1401"/>
      <c r="S21" s="735"/>
      <c r="AC21" s="1396"/>
      <c r="AK21" s="1396"/>
      <c r="AN21" s="517"/>
      <c r="AO21" s="517"/>
      <c r="AP21" s="517"/>
      <c r="AQ21" s="517"/>
      <c r="AR21" s="517"/>
    </row>
    <row s="3292" customFormat="1" customHeight="1" ht="33.75" hidden="1">
      <c r="L22" s="1359"/>
      <c r="M22" s="1392"/>
      <c r="N22" s="1392"/>
      <c r="O22" s="1394" t="s">
        <v>410</v>
      </c>
      <c r="P22" s="1392"/>
      <c r="Q22" s="1401"/>
      <c r="R22" s="1401"/>
      <c r="S22" s="735"/>
      <c r="T22" s="1168" t="s">
        <v>411</v>
      </c>
      <c r="AA22" s="172" t="s">
        <v>412</v>
      </c>
      <c r="AC22" s="172" t="s">
        <v>413</v>
      </c>
      <c r="AD22" s="1168" t="s">
        <v>411</v>
      </c>
      <c r="AI22" s="172" t="s">
        <v>414</v>
      </c>
      <c r="AK22" s="172" t="s">
        <v>413</v>
      </c>
      <c r="AN22" s="517"/>
      <c r="AO22" s="517"/>
      <c r="AP22" s="517"/>
      <c r="AQ22" s="517"/>
      <c r="AR22" s="517"/>
    </row>
    <row customHeight="1" ht="14.25" hidden="1">
      <c r="O23" s="1394"/>
    </row>
    <row customHeight="1" ht="14.25" hidden="1">
      <c r="O24" s="1394"/>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27.75">
      <c r="Q26" s="377"/>
      <c r="R26" s="377"/>
      <c r="S26" s="2140"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140"/>
      <c r="U26" s="2140"/>
      <c r="V26" s="2140"/>
      <c r="W26" s="2140"/>
      <c r="X26" s="2140"/>
      <c r="Y26" s="2140"/>
      <c r="Z26" s="2140"/>
      <c r="AA26" s="2140"/>
      <c r="AB26" s="2140"/>
      <c r="AC26" s="2140"/>
      <c r="AD26" s="2140"/>
      <c r="AE26" s="2140"/>
      <c r="AF26" s="2140"/>
      <c r="AG26" s="2140"/>
      <c r="AH26" s="2140"/>
      <c r="AI26" s="2140"/>
      <c r="AJ26" s="2140"/>
      <c r="AK26" s="1261"/>
    </row>
    <row customHeight="1" ht="14.25">
      <c r="Q27" s="377"/>
      <c r="R27" s="377"/>
      <c r="S27" s="2141" t="str">
        <f>IF(org=0,"Не определено",org)</f>
        <v>ЗАО "Байкалэнерго"</v>
      </c>
      <c r="T27" s="2141"/>
      <c r="U27" s="2141"/>
      <c r="V27" s="2141"/>
      <c r="W27" s="2141"/>
      <c r="X27" s="2141"/>
      <c r="Y27" s="2141"/>
      <c r="Z27" s="2141"/>
      <c r="AA27" s="2141"/>
      <c r="AB27" s="2141"/>
      <c r="AC27" s="2141"/>
      <c r="AD27" s="2141"/>
      <c r="AE27" s="2141"/>
      <c r="AF27" s="2141"/>
      <c r="AG27" s="2141"/>
      <c r="AH27" s="2141"/>
      <c r="AI27" s="2141"/>
      <c r="AJ27" s="2141"/>
      <c r="AK27" s="1261"/>
    </row>
    <row customHeight="1" ht="14.25">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305" customFormat="1" customHeight="1" ht="25.5">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Служба по тарифам Иркутской области</v>
      </c>
      <c r="W29" s="2100"/>
      <c r="X29" s="2100"/>
      <c r="Y29" s="2100"/>
      <c r="Z29" s="2100"/>
      <c r="AA29" s="2100"/>
      <c r="AB29" s="2100"/>
      <c r="AC29" s="322"/>
      <c r="AD29" s="2100" t="str">
        <f>IF(TITLE_NAME_OR_PR_CHANGE="",IF(TITLE_NAME_OR_PR="","",TITLE_NAME_OR_PR),TITLE_NAME_OR_PR_CHANGE)</f>
        <v>Служба по тарифам Иркутской области</v>
      </c>
      <c r="AE29" s="2100"/>
      <c r="AF29" s="2100"/>
      <c r="AG29" s="2100"/>
      <c r="AH29" s="2100"/>
      <c r="AI29" s="2100"/>
      <c r="AJ29" s="2100"/>
      <c r="AK29" s="322"/>
      <c r="AL29" s="322"/>
      <c r="AM29" s="268"/>
      <c r="AN29" s="368"/>
      <c r="AO29" s="368"/>
      <c r="AP29" s="368"/>
      <c r="AQ29" s="368"/>
      <c r="AR29" s="368"/>
    </row>
    <row s="3305" customFormat="1" customHeight="1" ht="18.75">
      <c r="A30" s="1398"/>
      <c r="B30" s="1398"/>
      <c r="C30" s="1398"/>
      <c r="D30" s="1398"/>
      <c r="E30" s="1398"/>
      <c r="F30" s="1398"/>
      <c r="G30" s="1398"/>
      <c r="H30" s="1398"/>
      <c r="I30" s="1398"/>
      <c r="J30" s="1398"/>
      <c r="K30" s="1398"/>
      <c r="L30" s="1399"/>
      <c r="M30" s="1398"/>
      <c r="N30" s="1398"/>
      <c r="O30" s="1398"/>
      <c r="S30" s="2098" t="s">
        <v>415</v>
      </c>
      <c r="T30" s="2098"/>
      <c r="U30" s="1402"/>
      <c r="V30" s="2099" t="str">
        <f>IF(TITLE_DATE_PR_CHANGE="",IF(TITLE_DATE_PR="","",TITLE_DATE_PR),TITLE_DATE_PR_CHANGE)</f>
        <v>45280.56123842593</v>
      </c>
      <c r="W30" s="2099"/>
      <c r="X30" s="2099"/>
      <c r="Y30" s="2099"/>
      <c r="Z30" s="2099"/>
      <c r="AA30" s="2099"/>
      <c r="AB30" s="2099"/>
      <c r="AC30" s="322"/>
      <c r="AD30" s="2099" t="str">
        <f>IF(TITLE_DATE_PR_CHANGE="",IF(TITLE_DATE_PR="","",TITLE_DATE_PR),TITLE_DATE_PR_CHANGE)</f>
        <v>45280.56123842593</v>
      </c>
      <c r="AE30" s="2099"/>
      <c r="AF30" s="2099"/>
      <c r="AG30" s="2099"/>
      <c r="AH30" s="2099"/>
      <c r="AI30" s="2099"/>
      <c r="AJ30" s="2099"/>
      <c r="AK30" s="322"/>
      <c r="AL30" s="322"/>
      <c r="AM30" s="268"/>
      <c r="AN30" s="368"/>
      <c r="AO30" s="368"/>
      <c r="AP30" s="368"/>
      <c r="AQ30" s="368"/>
      <c r="AR30" s="368"/>
    </row>
    <row s="3305" customFormat="1" customHeight="1" ht="18.75">
      <c r="A31" s="1398"/>
      <c r="B31" s="1398"/>
      <c r="C31" s="1398"/>
      <c r="D31" s="1398"/>
      <c r="E31" s="1398"/>
      <c r="F31" s="1398"/>
      <c r="G31" s="1398"/>
      <c r="H31" s="1398"/>
      <c r="I31" s="1398"/>
      <c r="J31" s="1398"/>
      <c r="K31" s="1398"/>
      <c r="L31" s="1399"/>
      <c r="M31" s="1398"/>
      <c r="N31" s="1398"/>
      <c r="O31" s="1398"/>
      <c r="S31" s="2098" t="s">
        <v>416</v>
      </c>
      <c r="T31" s="2098"/>
      <c r="U31" s="1402"/>
      <c r="V31" s="2100" t="str">
        <f>IF(TITLE_NUMBER_PR_CHANGE="",IF(TITLE_NUMBER_PR="","",TITLE_NUMBER_PR),TITLE_NUMBER_PR_CHANGE)</f>
        <v>79-477-спр</v>
      </c>
      <c r="W31" s="2100"/>
      <c r="X31" s="2100"/>
      <c r="Y31" s="2100"/>
      <c r="Z31" s="2100"/>
      <c r="AA31" s="2100"/>
      <c r="AB31" s="2100"/>
      <c r="AC31" s="322"/>
      <c r="AD31" s="2100" t="str">
        <f>IF(TITLE_NUMBER_PR_CHANGE="",IF(TITLE_NUMBER_PR="","",TITLE_NUMBER_PR),TITLE_NUMBER_PR_CHANGE)</f>
        <v>79-477-спр</v>
      </c>
      <c r="AE31" s="2100"/>
      <c r="AF31" s="2100"/>
      <c r="AG31" s="2100"/>
      <c r="AH31" s="2100"/>
      <c r="AI31" s="2100"/>
      <c r="AJ31" s="2100"/>
      <c r="AK31" s="322"/>
      <c r="AL31" s="322"/>
      <c r="AM31" s="268"/>
      <c r="AN31" s="368"/>
      <c r="AO31" s="368"/>
      <c r="AP31" s="368"/>
      <c r="AQ31" s="368"/>
      <c r="AR31" s="368"/>
    </row>
    <row s="3305" customFormat="1" customHeight="1" ht="18.75">
      <c r="A32" s="1398"/>
      <c r="B32" s="1398"/>
      <c r="C32" s="1398"/>
      <c r="D32" s="1398"/>
      <c r="E32" s="1398"/>
      <c r="F32" s="1398"/>
      <c r="G32" s="1398"/>
      <c r="H32" s="1398"/>
      <c r="I32" s="1398"/>
      <c r="J32" s="1398"/>
      <c r="K32" s="1398"/>
      <c r="L32" s="1399"/>
      <c r="M32" s="1398"/>
      <c r="N32" s="1398"/>
      <c r="O32" s="1398"/>
      <c r="S32" s="2098" t="s">
        <v>40</v>
      </c>
      <c r="T32" s="2098"/>
      <c r="U32" s="1402"/>
      <c r="V32" s="2100" t="str">
        <f>IF(TITLE_IST_PUB_CHANGE="",IF(TITLE_IST_PUB="","",TITLE_IST_PUB),TITLE_IST_PUB_CHANGE)</f>
        <v>Официальный сайт службы по тарифам Иркутской области http://irkobl.ru</v>
      </c>
      <c r="W32" s="2100"/>
      <c r="X32" s="2100"/>
      <c r="Y32" s="2100"/>
      <c r="Z32" s="2100"/>
      <c r="AA32" s="2100"/>
      <c r="AB32" s="2100"/>
      <c r="AC32" s="322"/>
      <c r="AD32" s="2100" t="str">
        <f>IF(TITLE_IST_PUB_CHANGE="",IF(TITLE_IST_PUB="","",TITLE_IST_PUB),TITLE_IST_PUB_CHANGE)</f>
        <v>Официальный сайт службы по тарифам Иркутской области http://irkobl.ru</v>
      </c>
      <c r="AE32" s="2100"/>
      <c r="AF32" s="2100"/>
      <c r="AG32" s="2100"/>
      <c r="AH32" s="2100"/>
      <c r="AI32" s="2100"/>
      <c r="AJ32" s="2100"/>
      <c r="AK32" s="322"/>
      <c r="AL32" s="322"/>
      <c r="AM32" s="268"/>
      <c r="AN32" s="368"/>
      <c r="AO32" s="368"/>
      <c r="AP32" s="368"/>
      <c r="AQ32" s="368"/>
      <c r="AR32" s="368"/>
    </row>
    <row customHeight="1" ht="14.25" hidden="1">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305" customFormat="1" customHeight="1" ht="18.75" hidden="1">
      <c r="A34" s="1398"/>
      <c r="B34" s="1398"/>
      <c r="C34" s="1398"/>
      <c r="D34" s="1398"/>
      <c r="E34" s="1398"/>
      <c r="F34" s="1398"/>
      <c r="G34" s="1398"/>
      <c r="H34" s="1398"/>
      <c r="I34" s="1398"/>
      <c r="J34" s="1398"/>
      <c r="K34" s="1398"/>
      <c r="L34" s="1399"/>
      <c r="M34" s="1398"/>
      <c r="N34" s="1398"/>
      <c r="O34" s="1398"/>
      <c r="S34" s="2098" t="s">
        <v>417</v>
      </c>
      <c r="T34" s="2098"/>
      <c r="U34" s="1402"/>
      <c r="V34" s="2099" t="str">
        <f>IF(TITLE_DATE_PR_CHANGE="",IF(TITLE_DATE_PR="","",TITLE_DATE_PR),TITLE_DATE_PR_CHANGE)</f>
        <v>45280.56123842593</v>
      </c>
      <c r="W34" s="2099"/>
      <c r="X34" s="2099"/>
      <c r="Y34" s="2099"/>
      <c r="Z34" s="2099"/>
      <c r="AA34" s="2099"/>
      <c r="AB34" s="2099"/>
      <c r="AC34" s="322"/>
      <c r="AD34" s="2099" t="str">
        <f>IF(TITLE_DATE_PR_CHANGE="",IF(TITLE_DATE_PR="","",TITLE_DATE_PR),TITLE_DATE_PR_CHANGE)</f>
        <v>45280.56123842593</v>
      </c>
      <c r="AE34" s="2099"/>
      <c r="AF34" s="2099"/>
      <c r="AG34" s="2099"/>
      <c r="AH34" s="2099"/>
      <c r="AI34" s="2099"/>
      <c r="AJ34" s="2099"/>
      <c r="AK34" s="322"/>
      <c r="AL34" s="322"/>
      <c r="AM34" s="268"/>
      <c r="AN34" s="368"/>
      <c r="AO34" s="368"/>
      <c r="AP34" s="368"/>
      <c r="AQ34" s="368"/>
      <c r="AR34" s="368"/>
    </row>
    <row s="3305" customFormat="1" customHeight="1" ht="18.75" hidden="1">
      <c r="A35" s="1398"/>
      <c r="B35" s="1398"/>
      <c r="C35" s="1398"/>
      <c r="D35" s="1398"/>
      <c r="E35" s="1398"/>
      <c r="F35" s="1398"/>
      <c r="G35" s="1398"/>
      <c r="H35" s="1398"/>
      <c r="I35" s="1398"/>
      <c r="J35" s="1398"/>
      <c r="K35" s="1398"/>
      <c r="L35" s="1399"/>
      <c r="M35" s="1398"/>
      <c r="N35" s="1398"/>
      <c r="O35" s="1398"/>
      <c r="S35" s="2098" t="s">
        <v>418</v>
      </c>
      <c r="T35" s="2098"/>
      <c r="U35" s="1402"/>
      <c r="V35" s="2100" t="str">
        <f>IF(TITLE_NUMBER_PR_CHANGE="",IF(TITLE_NUMBER_PR="","",TITLE_NUMBER_PR),TITLE_NUMBER_PR_CHANGE)</f>
        <v>79-477-спр</v>
      </c>
      <c r="W35" s="2100"/>
      <c r="X35" s="2100"/>
      <c r="Y35" s="2100"/>
      <c r="Z35" s="2100"/>
      <c r="AA35" s="2100"/>
      <c r="AB35" s="2100"/>
      <c r="AC35" s="322"/>
      <c r="AD35" s="2100" t="str">
        <f>IF(TITLE_NUMBER_PR_CHANGE="",IF(TITLE_NUMBER_PR="","",TITLE_NUMBER_PR),TITLE_NUMBER_PR_CHANGE)</f>
        <v>79-477-спр</v>
      </c>
      <c r="AE35" s="2100"/>
      <c r="AF35" s="2100"/>
      <c r="AG35" s="2100"/>
      <c r="AH35" s="2100"/>
      <c r="AI35" s="2100"/>
      <c r="AJ35" s="2100"/>
      <c r="AK35" s="322"/>
      <c r="AL35" s="322"/>
      <c r="AM35" s="268"/>
      <c r="AN35" s="368"/>
      <c r="AO35" s="368"/>
      <c r="AP35" s="368"/>
      <c r="AQ35" s="368"/>
      <c r="AR35" s="368"/>
    </row>
    <row s="3305" customFormat="1" customHeight="1" ht="0">
      <c r="A36" s="1398"/>
      <c r="B36" s="1398"/>
      <c r="C36" s="1398"/>
      <c r="D36" s="1398"/>
      <c r="E36" s="1398"/>
      <c r="F36" s="1398"/>
      <c r="G36" s="1398"/>
      <c r="H36" s="1398"/>
      <c r="I36" s="1398"/>
      <c r="J36" s="1398"/>
      <c r="K36" s="1398"/>
      <c r="L36" s="1399"/>
      <c r="M36" s="1398"/>
      <c r="N36" s="1398"/>
      <c r="O36" s="1398"/>
      <c r="S36" s="318"/>
      <c r="T36" s="318"/>
      <c r="U36" s="1370"/>
      <c r="V36" s="322"/>
      <c r="W36" s="322"/>
      <c r="X36" s="322"/>
      <c r="Y36" s="322"/>
      <c r="Z36" s="322"/>
      <c r="AA36" s="322"/>
      <c r="AB36" s="322"/>
      <c r="AC36" s="266" t="s">
        <v>419</v>
      </c>
      <c r="AD36" s="322"/>
      <c r="AE36" s="322"/>
      <c r="AF36" s="322"/>
      <c r="AG36" s="322"/>
      <c r="AH36" s="322"/>
      <c r="AI36" s="322"/>
      <c r="AJ36" s="322"/>
      <c r="AK36" s="266" t="s">
        <v>419</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293</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294</v>
      </c>
    </row>
    <row customHeight="1" ht="14.25">
      <c r="Q39" s="377"/>
      <c r="R39" s="377"/>
      <c r="S39" s="2125" t="s">
        <v>88</v>
      </c>
      <c r="T39" s="2062" t="s">
        <v>420</v>
      </c>
      <c r="U39" s="289"/>
      <c r="V39" s="2126" t="s">
        <v>421</v>
      </c>
      <c r="W39" s="2127"/>
      <c r="X39" s="2146"/>
      <c r="Y39" s="2146"/>
      <c r="Z39" s="2127"/>
      <c r="AA39" s="2127"/>
      <c r="AB39" s="2128"/>
      <c r="AC39" s="2129" t="s">
        <v>422</v>
      </c>
      <c r="AD39" s="2126" t="s">
        <v>421</v>
      </c>
      <c r="AE39" s="2127"/>
      <c r="AF39" s="2146"/>
      <c r="AG39" s="2146"/>
      <c r="AH39" s="2127"/>
      <c r="AI39" s="2127"/>
      <c r="AJ39" s="2128"/>
      <c r="AK39" s="2129" t="s">
        <v>423</v>
      </c>
      <c r="AL39" s="2132" t="s">
        <v>424</v>
      </c>
      <c r="AM39" s="1971"/>
    </row>
    <row customHeight="1" ht="23.25">
      <c r="Q40" s="377"/>
      <c r="R40" s="377"/>
      <c r="S40" s="2125"/>
      <c r="T40" s="2062"/>
      <c r="U40" s="1038"/>
      <c r="V40" s="2142" t="s">
        <v>425</v>
      </c>
      <c r="W40" s="2144" t="s">
        <v>426</v>
      </c>
      <c r="X40" s="1406" t="s">
        <v>427</v>
      </c>
      <c r="Y40" s="1406"/>
      <c r="Z40" s="2119" t="s">
        <v>428</v>
      </c>
      <c r="AA40" s="2119"/>
      <c r="AB40" s="2120"/>
      <c r="AC40" s="2130"/>
      <c r="AD40" s="2142" t="s">
        <v>425</v>
      </c>
      <c r="AE40" s="2144" t="s">
        <v>426</v>
      </c>
      <c r="AF40" s="1406" t="s">
        <v>427</v>
      </c>
      <c r="AG40" s="1406"/>
      <c r="AH40" s="2119" t="s">
        <v>428</v>
      </c>
      <c r="AI40" s="2119"/>
      <c r="AJ40" s="2120"/>
      <c r="AK40" s="2130"/>
      <c r="AL40" s="2133"/>
      <c r="AM40" s="1971"/>
    </row>
    <row s="3385" customFormat="1" customHeight="1" ht="23.25">
      <c r="A41" s="1400"/>
      <c r="B41" s="1400" t="s">
        <v>136</v>
      </c>
      <c r="C41" s="1400" t="s">
        <v>137</v>
      </c>
      <c r="D41" s="1400" t="s">
        <v>138</v>
      </c>
      <c r="E41" s="1394" t="s">
        <v>429</v>
      </c>
      <c r="F41" s="1394" t="s">
        <v>430</v>
      </c>
      <c r="G41" s="1394" t="s">
        <v>431</v>
      </c>
      <c r="H41" s="1394" t="s">
        <v>432</v>
      </c>
      <c r="I41" s="1394" t="s">
        <v>433</v>
      </c>
      <c r="J41" s="1394" t="s">
        <v>434</v>
      </c>
      <c r="K41" s="1394" t="s">
        <v>435</v>
      </c>
      <c r="L41" s="1394" t="s">
        <v>410</v>
      </c>
      <c r="M41" s="1392"/>
      <c r="N41" s="1392"/>
      <c r="O41" s="1392"/>
      <c r="P41" s="1358"/>
      <c r="Q41" s="377"/>
      <c r="R41" s="377"/>
      <c r="S41" s="2125"/>
      <c r="T41" s="2062"/>
      <c r="U41" s="290"/>
      <c r="V41" s="2143"/>
      <c r="W41" s="2145"/>
      <c r="X41" s="1403" t="s">
        <v>436</v>
      </c>
      <c r="Y41" s="1403" t="s">
        <v>437</v>
      </c>
      <c r="Z41" s="1364" t="s">
        <v>438</v>
      </c>
      <c r="AA41" s="2121" t="s">
        <v>439</v>
      </c>
      <c r="AB41" s="2122"/>
      <c r="AC41" s="2131"/>
      <c r="AD41" s="2143"/>
      <c r="AE41" s="2145"/>
      <c r="AF41" s="1403" t="s">
        <v>436</v>
      </c>
      <c r="AG41" s="1403" t="s">
        <v>437</v>
      </c>
      <c r="AH41" s="1364" t="s">
        <v>438</v>
      </c>
      <c r="AI41" s="2121" t="s">
        <v>439</v>
      </c>
      <c r="AJ41" s="2122"/>
      <c r="AK41" s="2131"/>
      <c r="AL41" s="2134"/>
      <c r="AM41" s="1971"/>
      <c r="AN41" s="517"/>
      <c r="AO41" s="506"/>
      <c r="AP41" s="506"/>
      <c r="AQ41" s="506"/>
      <c r="AR41" s="506"/>
    </row>
    <row s="2610"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110</v>
      </c>
      <c r="T42" s="1281" t="s">
        <v>111</v>
      </c>
      <c r="U42" s="1263" t="str">
        <f>OFFSET(U42,0,-1)</f>
        <v>2</v>
      </c>
      <c r="V42" s="1365">
        <f>OFFSET(V42,0,-1)+1</f>
        <v>3</v>
      </c>
      <c r="W42" s="1365"/>
      <c r="X42" s="1371">
        <f>OFFSET(X42,0,-1)+1</f>
        <v>1</v>
      </c>
      <c r="Y42" s="1371">
        <f>OFFSET(Y42,0,-1)+1</f>
        <v>2</v>
      </c>
      <c r="Z42" s="1365">
        <f>OFFSET(Z42,0,-1)+1</f>
        <v>3</v>
      </c>
      <c r="AA42" s="2123">
        <f>OFFSET(AA42,0,-1)+1</f>
        <v>4</v>
      </c>
      <c r="AB42" s="2123"/>
      <c r="AC42" s="1365">
        <f>OFFSET(AC42,0,-2)+1</f>
        <v>5</v>
      </c>
      <c r="AD42" s="1365">
        <f>OFFSET(AD42,0,-1)+1</f>
        <v>6</v>
      </c>
      <c r="AE42" s="1365"/>
      <c r="AF42" s="1371">
        <f>OFFSET(AF42,0,-1)+1</f>
        <v>1</v>
      </c>
      <c r="AG42" s="1371">
        <f>OFFSET(AG42,0,-1)+1</f>
        <v>2</v>
      </c>
      <c r="AH42" s="1365">
        <f>OFFSET(AH42,0,-1)+1</f>
        <v>3</v>
      </c>
      <c r="AI42" s="2123">
        <f>OFFSET(AI42,0,-1)+1</f>
        <v>4</v>
      </c>
      <c r="AJ42" s="2123"/>
      <c r="AK42" s="1365">
        <f>OFFSET(AK42,0,-2)+1</f>
        <v>5</v>
      </c>
      <c r="AL42" s="1263">
        <f>OFFSET(AL42,0,-1)</f>
        <v>5</v>
      </c>
      <c r="AM42" s="1365">
        <f>OFFSET(AM42,0,-1)+1</f>
        <v>6</v>
      </c>
      <c r="AN42" s="517"/>
      <c r="AO42" s="517"/>
      <c r="AP42" s="517"/>
      <c r="AQ42" s="517"/>
      <c r="AR42" s="517"/>
    </row>
    <row customHeight="1" ht="21">
      <c r="A43" s="1393" t="s">
        <v>199</v>
      </c>
      <c r="B43" s="1393"/>
      <c r="C43" s="1393"/>
      <c r="D43" s="1393"/>
      <c r="E43" s="2107">
        <v>1</v>
      </c>
      <c r="F43" s="1393"/>
      <c r="G43" s="1393"/>
      <c r="H43" s="1393"/>
      <c r="I43" s="1393"/>
      <c r="J43" s="1393"/>
      <c r="K43" s="1393"/>
      <c r="L43" s="1394"/>
      <c r="M43" s="1395"/>
      <c r="N43" s="1395"/>
      <c r="O43" s="1395"/>
      <c r="P43" s="357"/>
      <c r="Q43" s="356"/>
      <c r="R43" s="351"/>
      <c r="S43" s="1366">
        <f>INDEX(PT_DIFFERENTIATION_NUM_NTAR,MATCH(A43,PT_DIFFERENTIATION_NTAR_ID,0))</f>
        <v>0</v>
      </c>
      <c r="T43" s="286" t="s">
        <v>124</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6"/>
      <c r="AP43" s="506" t="str">
        <f>IF(T43="","",T43)</f>
        <v>Наименование тарифа</v>
      </c>
      <c r="AQ43" s="506"/>
      <c r="AR43" s="506"/>
    </row>
    <row customHeight="1" ht="21">
      <c r="A44" s="1393" t="s">
        <v>199</v>
      </c>
      <c r="B44" s="1393" t="s">
        <v>200</v>
      </c>
      <c r="C44" s="1393"/>
      <c r="D44" s="1393"/>
      <c r="E44" s="2108"/>
      <c r="F44" s="2107">
        <v>1</v>
      </c>
      <c r="G44" s="1393"/>
      <c r="H44" s="1393"/>
      <c r="I44" s="1393"/>
      <c r="J44" s="1393"/>
      <c r="K44" s="1393"/>
      <c r="L44" s="1394"/>
      <c r="M44" s="1395"/>
      <c r="N44" s="1395"/>
      <c r="O44" s="1395"/>
      <c r="P44" s="1362"/>
      <c r="Q44" s="348"/>
      <c r="R44" s="349"/>
      <c r="S44" s="1366" t="str">
        <f>INDEX(PT_DIFFERENTIATION_NUM_TER,MATCH(B44,PT_DIFFERENTIATION_TER_ID,0))</f>
        <v>.</v>
      </c>
      <c r="T44" s="298" t="s">
        <v>392</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393</v>
      </c>
      <c r="AO44" s="506"/>
      <c r="AP44" s="506" t="str">
        <f>IF(T44="","",T44)</f>
        <v>Территория действия тарифа</v>
      </c>
      <c r="AQ44" s="506"/>
      <c r="AR44" s="506"/>
    </row>
    <row customHeight="1" ht="23.25">
      <c r="A45" s="1393" t="s">
        <v>199</v>
      </c>
      <c r="B45" s="1393" t="s">
        <v>200</v>
      </c>
      <c r="C45" s="1393" t="s">
        <v>201</v>
      </c>
      <c r="D45" s="1393"/>
      <c r="E45" s="2108"/>
      <c r="F45" s="2108"/>
      <c r="G45" s="2107">
        <v>1</v>
      </c>
      <c r="H45" s="1393"/>
      <c r="I45" s="1393"/>
      <c r="J45" s="1393"/>
      <c r="K45" s="1393"/>
      <c r="L45" s="1394"/>
      <c r="M45" s="1395"/>
      <c r="N45" s="1395"/>
      <c r="O45" s="1395"/>
      <c r="P45" s="350"/>
      <c r="Q45" s="348"/>
      <c r="R45" s="349"/>
      <c r="S45" s="1366" t="str">
        <f>INDEX(PT_DIFFERENTIATION_NUM_CS,MATCH(C45,PT_DIFFERENTIATION_CS_ID,0))</f>
        <v>..</v>
      </c>
      <c r="T45" s="299" t="s">
        <v>394</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395</v>
      </c>
      <c r="AO45" s="506"/>
      <c r="AP45" s="506" t="str">
        <f>IF(T45="","",T45)</f>
        <v>Наименование системы теплоснабжения </v>
      </c>
      <c r="AQ45" s="506"/>
      <c r="AR45" s="506"/>
    </row>
    <row customHeight="1" ht="21">
      <c r="A46" s="1393" t="s">
        <v>199</v>
      </c>
      <c r="B46" s="1393" t="s">
        <v>200</v>
      </c>
      <c r="C46" s="1393" t="s">
        <v>201</v>
      </c>
      <c r="D46" s="1393" t="s">
        <v>202</v>
      </c>
      <c r="E46" s="2108"/>
      <c r="F46" s="2108"/>
      <c r="G46" s="2108"/>
      <c r="H46" s="2107">
        <v>1</v>
      </c>
      <c r="I46" s="1393"/>
      <c r="J46" s="1393"/>
      <c r="K46" s="1393"/>
      <c r="L46" s="1394"/>
      <c r="M46" s="1395"/>
      <c r="N46" s="1395"/>
      <c r="O46" s="1395"/>
      <c r="P46" s="350"/>
      <c r="Q46" s="348"/>
      <c r="R46" s="349"/>
      <c r="S46" s="1366" t="str">
        <f>INDEX(PT_DIFFERENTIATION_NUM_IST_TE,MATCH(D46,PT_DIFFERENTIATION_IST_TE_ID,0))</f>
        <v>...</v>
      </c>
      <c r="T46" s="300" t="s">
        <v>396</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397</v>
      </c>
      <c r="AO46" s="506"/>
      <c r="AP46" s="506" t="str">
        <f>IF(T46="","",T46)</f>
        <v>Источник тепловой энергии  </v>
      </c>
      <c r="AQ46" s="506"/>
      <c r="AR46" s="506"/>
    </row>
    <row customHeight="1" ht="47.25">
      <c r="A47" s="1393" t="s">
        <v>199</v>
      </c>
      <c r="B47" s="1393" t="s">
        <v>200</v>
      </c>
      <c r="C47" s="1393" t="s">
        <v>201</v>
      </c>
      <c r="D47" s="1393" t="s">
        <v>202</v>
      </c>
      <c r="E47" s="2108"/>
      <c r="F47" s="2108"/>
      <c r="G47" s="2108"/>
      <c r="H47" s="2108"/>
      <c r="I47" s="2109" t="str">
        <f>S46&amp;".1"</f>
        <v>....1</v>
      </c>
      <c r="J47" s="1393"/>
      <c r="K47" s="1393"/>
      <c r="L47" s="1394" t="s">
        <v>398</v>
      </c>
      <c r="P47" s="2111">
        <v>1</v>
      </c>
      <c r="Q47" s="1361"/>
      <c r="R47" s="352"/>
      <c r="S47" s="1366" t="str">
        <f>$I47</f>
        <v>....1</v>
      </c>
      <c r="T47" s="273" t="s">
        <v>399</v>
      </c>
      <c r="U47" s="288"/>
      <c r="V47" s="2095"/>
      <c r="W47" s="2096"/>
      <c r="X47" s="2096"/>
      <c r="Y47" s="2096"/>
      <c r="Z47" s="2096"/>
      <c r="AA47" s="2096"/>
      <c r="AB47" s="2096"/>
      <c r="AC47" s="2097"/>
      <c r="AD47" s="2095"/>
      <c r="AE47" s="2096"/>
      <c r="AF47" s="2096"/>
      <c r="AG47" s="2096"/>
      <c r="AH47" s="2096"/>
      <c r="AI47" s="2096"/>
      <c r="AJ47" s="2096"/>
      <c r="AK47" s="2096"/>
      <c r="AL47" s="2097"/>
      <c r="AM47" s="1286" t="s">
        <v>400</v>
      </c>
      <c r="AO47" s="506"/>
      <c r="AP47" s="506" t="str">
        <f>IF(T47="","",T47)</f>
        <v>Схема подключения теплопотребляющей установки к коллектору источника тепловой энергии</v>
      </c>
      <c r="AQ47" s="506"/>
      <c r="AR47" s="506"/>
    </row>
    <row customHeight="1" ht="21">
      <c r="A48" s="1393" t="s">
        <v>199</v>
      </c>
      <c r="B48" s="1393" t="s">
        <v>200</v>
      </c>
      <c r="C48" s="1393" t="s">
        <v>201</v>
      </c>
      <c r="D48" s="1393" t="s">
        <v>202</v>
      </c>
      <c r="E48" s="2108"/>
      <c r="F48" s="2108"/>
      <c r="G48" s="2108"/>
      <c r="H48" s="2108"/>
      <c r="I48" s="2110"/>
      <c r="J48" s="2109" t="str">
        <f>I47&amp;".1"</f>
        <v>....1.1</v>
      </c>
      <c r="K48" s="1393"/>
      <c r="L48" s="1394" t="s">
        <v>401</v>
      </c>
      <c r="P48" s="2111"/>
      <c r="Q48" s="2111">
        <v>1</v>
      </c>
      <c r="R48" s="353"/>
      <c r="S48" s="1366" t="str">
        <f>$J48</f>
        <v>....1.1</v>
      </c>
      <c r="T48" s="274" t="s">
        <v>402</v>
      </c>
      <c r="U48" s="288"/>
      <c r="V48" s="2095"/>
      <c r="W48" s="2096"/>
      <c r="X48" s="2096"/>
      <c r="Y48" s="2096"/>
      <c r="Z48" s="2096"/>
      <c r="AA48" s="2096"/>
      <c r="AB48" s="2096"/>
      <c r="AC48" s="2097"/>
      <c r="AD48" s="2095"/>
      <c r="AE48" s="2096"/>
      <c r="AF48" s="2096"/>
      <c r="AG48" s="2096"/>
      <c r="AH48" s="2096"/>
      <c r="AI48" s="2096"/>
      <c r="AJ48" s="2096"/>
      <c r="AK48" s="2096"/>
      <c r="AL48" s="2097"/>
      <c r="AM48" s="1286" t="s">
        <v>403</v>
      </c>
      <c r="AO48" s="506"/>
      <c r="AP48" s="506" t="str">
        <f>IF(T48="","",T48)</f>
        <v>Группа потребителей</v>
      </c>
      <c r="AQ48" s="506"/>
      <c r="AR48" s="506"/>
    </row>
    <row customHeight="1" ht="21">
      <c r="A49" s="1393" t="s">
        <v>199</v>
      </c>
      <c r="B49" s="1393" t="s">
        <v>200</v>
      </c>
      <c r="C49" s="1393" t="s">
        <v>201</v>
      </c>
      <c r="D49" s="1393" t="s">
        <v>202</v>
      </c>
      <c r="E49" s="2108"/>
      <c r="F49" s="2108"/>
      <c r="G49" s="2108"/>
      <c r="H49" s="2108"/>
      <c r="I49" s="2110"/>
      <c r="J49" s="2110"/>
      <c r="K49" s="2109" t="str">
        <f>J48&amp;".1"</f>
        <v>....1.1.1</v>
      </c>
      <c r="L49" s="1394" t="s">
        <v>404</v>
      </c>
      <c r="P49" s="2111"/>
      <c r="Q49" s="2111"/>
      <c r="R49" s="353">
        <v>1</v>
      </c>
      <c r="S49" s="1366" t="str">
        <f>$K49</f>
        <v>....1.1.1</v>
      </c>
      <c r="T49" s="1377"/>
      <c r="U49" s="288"/>
      <c r="V49" s="320"/>
      <c r="W49" s="757"/>
      <c r="X49" s="320"/>
      <c r="Y49" s="390"/>
      <c r="Z49" s="2112"/>
      <c r="AA49" s="1981" t="s">
        <v>62</v>
      </c>
      <c r="AB49" s="2112"/>
      <c r="AC49" s="1981" t="s">
        <v>62</v>
      </c>
      <c r="AD49" s="320"/>
      <c r="AE49" s="757"/>
      <c r="AF49" s="320"/>
      <c r="AG49" s="390"/>
      <c r="AH49" s="2112"/>
      <c r="AI49" s="1981" t="s">
        <v>62</v>
      </c>
      <c r="AJ49" s="2114"/>
      <c r="AK49" s="1981" t="s">
        <v>62</v>
      </c>
      <c r="AL49" s="1378"/>
      <c r="AM49" s="2137" t="s">
        <v>405</v>
      </c>
      <c r="AN49" s="517">
        <f>STRCHECKDATE(V50:AL50)</f>
      </c>
      <c r="AO49" s="506"/>
      <c r="AP49" s="506" t="str">
        <f>IF(T49="","",T49)</f>
        <v/>
      </c>
      <c r="AQ49" s="506"/>
      <c r="AR49" s="506"/>
    </row>
    <row customHeight="1" ht="0.75">
      <c r="A50" s="1393" t="s">
        <v>199</v>
      </c>
      <c r="B50" s="1393" t="s">
        <v>200</v>
      </c>
      <c r="C50" s="1393" t="s">
        <v>201</v>
      </c>
      <c r="D50" s="1393" t="s">
        <v>202</v>
      </c>
      <c r="E50" s="2108"/>
      <c r="F50" s="2108"/>
      <c r="G50" s="2108"/>
      <c r="H50" s="2108"/>
      <c r="I50" s="2110"/>
      <c r="J50" s="2110"/>
      <c r="K50" s="2109"/>
      <c r="L50" s="1394"/>
      <c r="P50" s="2111"/>
      <c r="Q50" s="2111"/>
      <c r="R50" s="353"/>
      <c r="S50" s="1372"/>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199</v>
      </c>
      <c r="B51" s="1393" t="s">
        <v>200</v>
      </c>
      <c r="C51" s="1393" t="s">
        <v>201</v>
      </c>
      <c r="D51" s="1393" t="s">
        <v>202</v>
      </c>
      <c r="E51" s="2108"/>
      <c r="F51" s="2108"/>
      <c r="G51" s="2108"/>
      <c r="H51" s="2108"/>
      <c r="I51" s="2110"/>
      <c r="J51" s="2109"/>
      <c r="K51" s="1393"/>
      <c r="L51" s="1394"/>
      <c r="P51" s="2111"/>
      <c r="Q51" s="2111"/>
      <c r="R51" s="352"/>
      <c r="S51" s="1308"/>
      <c r="T51" s="276" t="s">
        <v>406</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199</v>
      </c>
      <c r="B52" s="1393" t="s">
        <v>200</v>
      </c>
      <c r="C52" s="1393" t="s">
        <v>201</v>
      </c>
      <c r="D52" s="1393" t="s">
        <v>202</v>
      </c>
      <c r="E52" s="2108"/>
      <c r="F52" s="2108"/>
      <c r="G52" s="2108"/>
      <c r="H52" s="2108"/>
      <c r="I52" s="2109"/>
      <c r="J52" s="1393"/>
      <c r="K52" s="1393"/>
      <c r="L52" s="1394"/>
      <c r="P52" s="2111"/>
      <c r="Q52" s="1361"/>
      <c r="R52" s="352"/>
      <c r="S52" s="1308"/>
      <c r="T52" s="275" t="s">
        <v>407</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14.25">
      <c r="A53" s="1393" t="s">
        <v>199</v>
      </c>
      <c r="B53" s="1393" t="s">
        <v>200</v>
      </c>
      <c r="C53" s="1393" t="s">
        <v>201</v>
      </c>
      <c r="D53" s="1393" t="s">
        <v>202</v>
      </c>
      <c r="E53" s="2108"/>
      <c r="F53" s="2108"/>
      <c r="G53" s="2108"/>
      <c r="H53" s="2107"/>
      <c r="I53" s="1393"/>
      <c r="J53" s="1393"/>
      <c r="K53" s="1393"/>
      <c r="L53" s="1394"/>
      <c r="M53" s="1395"/>
      <c r="N53" s="1395"/>
      <c r="O53" s="543"/>
      <c r="P53" s="356"/>
      <c r="Q53" s="376"/>
      <c r="R53" s="351"/>
      <c r="S53" s="1308"/>
      <c r="T53" s="364" t="s">
        <v>408</v>
      </c>
      <c r="U53" s="367"/>
      <c r="V53" s="367"/>
      <c r="W53" s="367"/>
      <c r="X53" s="367"/>
      <c r="Y53" s="367"/>
      <c r="Z53" s="367"/>
      <c r="AA53" s="367"/>
      <c r="AB53" s="367"/>
      <c r="AC53" s="366"/>
      <c r="AD53" s="367"/>
      <c r="AE53" s="367"/>
      <c r="AF53" s="367"/>
      <c r="AG53" s="367"/>
      <c r="AH53" s="367"/>
      <c r="AI53" s="367"/>
      <c r="AJ53" s="367"/>
      <c r="AK53" s="366"/>
      <c r="AL53" s="367"/>
      <c r="AM53" s="291"/>
      <c r="AO53" s="506"/>
      <c r="AP53" s="506" t="str">
        <f>IF(T53="","",T53)</f>
        <v>Добавить схему подключения</v>
      </c>
      <c r="AQ53" s="506"/>
      <c r="AR53" s="506"/>
    </row>
    <row s="3273" customFormat="1" customHeight="1" ht="0.75">
      <c r="A54" s="1373" t="s">
        <v>199</v>
      </c>
      <c r="B54" s="1373" t="s">
        <v>200</v>
      </c>
      <c r="C54" s="1373" t="s">
        <v>201</v>
      </c>
      <c r="D54" s="1344"/>
      <c r="E54" s="2108"/>
      <c r="F54" s="2108"/>
      <c r="G54" s="2107"/>
      <c r="H54" s="1344"/>
      <c r="I54" s="1344"/>
      <c r="J54" s="1344"/>
      <c r="K54" s="1344"/>
      <c r="L54" s="1369"/>
      <c r="M54" s="1345"/>
      <c r="N54" s="1345"/>
      <c r="P54" s="1346"/>
      <c r="Q54" s="1347"/>
      <c r="R54" s="1346"/>
      <c r="S54" s="1352"/>
      <c r="T54" s="1355" t="s">
        <v>181</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273" customFormat="1" customHeight="1" ht="0.75">
      <c r="A55" s="1373" t="s">
        <v>199</v>
      </c>
      <c r="B55" s="1373" t="s">
        <v>200</v>
      </c>
      <c r="C55" s="1344"/>
      <c r="D55" s="1344"/>
      <c r="E55" s="2108"/>
      <c r="F55" s="2107"/>
      <c r="G55" s="1344"/>
      <c r="H55" s="1344"/>
      <c r="I55" s="1344"/>
      <c r="J55" s="1344"/>
      <c r="K55" s="1344"/>
      <c r="L55" s="1369"/>
      <c r="M55" s="1351"/>
      <c r="N55" s="1351"/>
      <c r="P55" s="1346"/>
      <c r="Q55" s="1347"/>
      <c r="R55" s="1346"/>
      <c r="S55" s="1352"/>
      <c r="T55" s="1355" t="s">
        <v>182</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1" customFormat="1" customHeight="1" ht="0.75">
      <c r="A56" s="1373" t="s">
        <v>199</v>
      </c>
      <c r="B56" s="1373"/>
      <c r="C56" s="1373"/>
      <c r="D56" s="1373"/>
      <c r="E56" s="2107"/>
      <c r="F56" s="1373"/>
      <c r="G56" s="1373"/>
      <c r="H56" s="1373"/>
      <c r="I56" s="1373"/>
      <c r="J56" s="1373"/>
      <c r="K56" s="1373"/>
      <c r="L56" s="1376"/>
      <c r="M56" s="1351"/>
      <c r="N56" s="1351"/>
      <c r="O56" s="524"/>
      <c r="P56" s="385"/>
      <c r="Q56" s="1374"/>
      <c r="R56" s="385"/>
      <c r="S56" s="1352"/>
      <c r="T56" s="1355" t="s">
        <v>183</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273" customFormat="1" customHeight="1" ht="0.75">
      <c r="A57" s="1344"/>
      <c r="B57" s="1344"/>
      <c r="C57" s="1344"/>
      <c r="D57" s="1344"/>
      <c r="E57" s="1373"/>
      <c r="F57" s="1344"/>
      <c r="G57" s="1344"/>
      <c r="H57" s="1344"/>
      <c r="I57" s="1344"/>
      <c r="J57" s="1344"/>
      <c r="K57" s="1344"/>
      <c r="L57" s="1369"/>
      <c r="M57" s="1351"/>
      <c r="N57" s="1351"/>
      <c r="P57" s="1346"/>
      <c r="Q57" s="1347"/>
      <c r="R57" s="1346"/>
      <c r="S57" s="1352"/>
      <c r="T57" s="1355" t="s">
        <v>184</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27">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75">
      <c r="O60" s="54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14.25">
      <c r="O61" s="543"/>
    </row>
    <row customHeight="1" ht="18">
      <c r="O62" s="543"/>
      <c r="S62" s="1273"/>
      <c r="T62" s="2106"/>
      <c r="U62" s="2106"/>
      <c r="V62" s="2106"/>
      <c r="W62" s="2106"/>
      <c r="X62" s="2106"/>
      <c r="Y62" s="2106"/>
      <c r="Z62" s="2106"/>
      <c r="AA62" s="2106"/>
      <c r="AB62" s="2106"/>
      <c r="AC62" s="2106"/>
      <c r="AD62" s="2106"/>
      <c r="AE62" s="2106"/>
      <c r="AF62" s="2106"/>
      <c r="AG62" s="2106"/>
      <c r="AH62" s="2106"/>
      <c r="AI62" s="2106"/>
      <c r="AJ62" s="2106"/>
      <c r="AK62" s="2106"/>
      <c r="AL62" s="2106"/>
      <c r="AM62" s="2106"/>
    </row>
    <row customHeight="1" ht="18">
      <c r="O63" s="543"/>
      <c r="T63" s="2106"/>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38.25">
      <c r="O64" s="543"/>
      <c r="S64" s="1273"/>
      <c r="T64" s="2106"/>
      <c r="U64" s="2106"/>
      <c r="V64" s="2106"/>
      <c r="W64" s="2106"/>
      <c r="X64" s="2106"/>
      <c r="Y64" s="2106"/>
      <c r="Z64" s="2106"/>
      <c r="AA64" s="2106"/>
      <c r="AB64" s="2106"/>
      <c r="AC64" s="2106"/>
      <c r="AD64" s="2106"/>
      <c r="AE64" s="2106"/>
      <c r="AF64" s="2106"/>
      <c r="AG64" s="2106"/>
      <c r="AH64" s="2106"/>
      <c r="AI64" s="2106"/>
      <c r="AJ64" s="2106"/>
      <c r="AK64" s="2106"/>
      <c r="AL64" s="2106"/>
      <c r="AM64" s="2106"/>
    </row>
  </sheetData>
  <sheetProtection formatColumns="0" formatRows="0" autoFilter="0" sort="0" insertRows="0" insertColumns="1" deleteRows="0" deleteColumns="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FFBDA1-D738-F5AC-128D-402A96F3FDCE}"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3292" width="10.57421875" hidden="1"/>
    <col min="2" max="2" style="3292" width="11.00390625" hidden="1" customWidth="1"/>
    <col min="3" max="3" style="3292" width="10.57421875" hidden="1"/>
    <col min="4" max="4" style="3292" width="11.8515625" hidden="1" customWidth="1"/>
    <col min="5" max="5" style="3292" width="10.00390625" hidden="1" customWidth="1"/>
    <col min="6" max="6" style="3292" width="8.7109375" hidden="1" customWidth="1"/>
    <col min="7" max="7" style="3292" width="7.57421875" hidden="1" customWidth="1"/>
    <col min="8" max="8" style="3292" width="11.421875" hidden="1" customWidth="1"/>
    <col min="9" max="9" style="3292" width="12.00390625" hidden="1" customWidth="1"/>
    <col min="10" max="10" style="3292" width="9.8515625" hidden="1" customWidth="1"/>
    <col min="11" max="11" style="3292" width="11.421875" hidden="1" customWidth="1"/>
    <col min="12" max="12" style="3293" width="19.140625" hidden="1" customWidth="1"/>
    <col min="13" max="14" style="3294" width="12.28125" hidden="1" customWidth="1"/>
    <col min="15" max="15" style="3294" width="23.421875" hidden="1" customWidth="1"/>
    <col min="16" max="16" style="3315" width="3.7109375" hidden="1" customWidth="1"/>
    <col min="17" max="18" style="3371" width="3.7109375" customWidth="1"/>
    <col min="19" max="19" style="3372" width="12.7109375" customWidth="1"/>
    <col min="20" max="20" style="2939" width="32.00390625" customWidth="1"/>
    <col min="21" max="21" style="2939" width="0.140625" customWidth="1"/>
    <col min="22" max="22" style="2939" width="24.7109375" hidden="1" customWidth="1"/>
    <col min="23" max="23" style="2939" width="0.140625" hidden="1" customWidth="1"/>
    <col min="24" max="25" style="2939" width="24.7109375" hidden="1" customWidth="1"/>
    <col min="26" max="26" style="2939" width="11.7109375" hidden="1" customWidth="1"/>
    <col min="27" max="27" style="2939" width="3.7109375" hidden="1" customWidth="1"/>
    <col min="28" max="28" style="2939" width="11.7109375" hidden="1" customWidth="1"/>
    <col min="29" max="29" style="2939" width="8.57421875" hidden="1" customWidth="1"/>
    <col min="30" max="30" style="2939" width="24.7109375" customWidth="1"/>
    <col min="31" max="31" style="2939" width="0.140625" customWidth="1"/>
    <col min="32" max="33" style="2939" width="24.7109375" customWidth="1"/>
    <col min="34" max="34" style="2939" width="11.7109375" customWidth="1"/>
    <col min="35" max="35" style="2939" width="3.7109375" customWidth="1"/>
    <col min="36" max="36" style="2939" width="11.7109375" customWidth="1"/>
    <col min="37" max="37" style="2939" width="8.57421875" hidden="1" customWidth="1"/>
    <col min="38" max="38" style="2939" width="4.7109375" customWidth="1"/>
    <col min="39" max="39" style="2939" width="115.7109375" customWidth="1"/>
    <col min="40" max="41" style="2611" width="10.57421875"/>
    <col min="42" max="42" style="2611" width="11.140625" customWidth="1"/>
    <col min="43" max="44" style="2611" width="10.57421875"/>
  </cols>
  <sheetData>
    <row customHeight="1" ht="14.25" hidden="1">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66">
        <f>INDEX(PT_DIFFERENTIATION_NUM_NTAR,MATCH(A2,PT_DIFFERENTIATION_NTAR_ID,0))</f>
      </c>
      <c r="T2" s="286" t="s">
        <v>124</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391</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62"/>
      <c r="Q3" s="348"/>
      <c r="R3" s="349"/>
      <c r="S3" s="1366">
        <f>INDEX(PT_DIFFERENTIATION_NUM_TER,MATCH(B3,PT_DIFFERENTIATION_TER_ID,0))</f>
      </c>
      <c r="T3" s="298" t="s">
        <v>392</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393</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66">
        <f>INDEX(PT_DIFFERENTIATION_NUM_CS,MATCH(C4,PT_DIFFERENTIATION_CS_ID,0))</f>
      </c>
      <c r="T4" s="299" t="s">
        <v>394</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395</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66">
        <f>INDEX(PT_DIFFERENTIATION_NUM_IST_TE,MATCH(D5,PT_DIFFERENTIATION_IST_TE_ID,0))</f>
      </c>
      <c r="T5" s="300" t="s">
        <v>396</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397</v>
      </c>
      <c r="AO5" s="506"/>
      <c r="AP5" s="506" t="str">
        <f>IF(T5="","",T5)</f>
        <v>Источник тепловой энергии  </v>
      </c>
      <c r="AQ5" s="506"/>
      <c r="AR5" s="506"/>
    </row>
    <row customHeight="1" ht="14.25" hidden="1">
      <c r="A6" s="1393"/>
      <c r="B6" s="1393"/>
      <c r="C6" s="1393"/>
      <c r="D6" s="1393"/>
      <c r="E6" s="2108"/>
      <c r="F6" s="2108"/>
      <c r="G6" s="2108"/>
      <c r="H6" s="2108"/>
      <c r="I6" s="2109">
        <f>S5&amp;".1"</f>
      </c>
      <c r="J6" s="1393"/>
      <c r="K6" s="1393"/>
      <c r="L6" s="1394" t="s">
        <v>398</v>
      </c>
      <c r="M6" s="543"/>
      <c r="P6" s="2111">
        <v>1</v>
      </c>
      <c r="Q6" s="1361"/>
      <c r="R6" s="352"/>
      <c r="S6" s="1049"/>
      <c r="T6" s="1413"/>
      <c r="U6" s="1414"/>
      <c r="V6" s="2147"/>
      <c r="W6" s="2148"/>
      <c r="X6" s="2148"/>
      <c r="Y6" s="2148"/>
      <c r="Z6" s="2148"/>
      <c r="AA6" s="2148"/>
      <c r="AB6" s="2148"/>
      <c r="AC6" s="2149"/>
      <c r="AD6" s="2147"/>
      <c r="AE6" s="2148"/>
      <c r="AF6" s="2148"/>
      <c r="AG6" s="2148"/>
      <c r="AH6" s="2148"/>
      <c r="AI6" s="2148"/>
      <c r="AJ6" s="2148"/>
      <c r="AK6" s="2148"/>
      <c r="AL6" s="2149"/>
      <c r="AM6" s="1415"/>
      <c r="AO6" s="506"/>
      <c r="AP6" s="506" t="str">
        <f>IF(T6="","",T6)</f>
        <v/>
      </c>
      <c r="AQ6" s="506"/>
      <c r="AR6" s="506"/>
    </row>
    <row customHeight="1" ht="21" hidden="1">
      <c r="A7" s="1393"/>
      <c r="B7" s="1393"/>
      <c r="C7" s="1393"/>
      <c r="D7" s="1393"/>
      <c r="E7" s="2108"/>
      <c r="F7" s="2108"/>
      <c r="G7" s="2108"/>
      <c r="H7" s="2108"/>
      <c r="I7" s="2110"/>
      <c r="J7" s="2109">
        <f>I6&amp;".1"</f>
      </c>
      <c r="K7" s="1393"/>
      <c r="L7" s="1394" t="s">
        <v>401</v>
      </c>
      <c r="M7" s="543"/>
      <c r="N7" s="1396"/>
      <c r="P7" s="2111"/>
      <c r="Q7" s="2111">
        <v>1</v>
      </c>
      <c r="R7" s="353"/>
      <c r="S7" s="1366">
        <f>$J7</f>
      </c>
      <c r="T7" s="274" t="s">
        <v>402</v>
      </c>
      <c r="U7" s="288"/>
      <c r="V7" s="2095"/>
      <c r="W7" s="2096"/>
      <c r="X7" s="2096"/>
      <c r="Y7" s="2096"/>
      <c r="Z7" s="2096"/>
      <c r="AA7" s="2096"/>
      <c r="AB7" s="2096"/>
      <c r="AC7" s="2097"/>
      <c r="AD7" s="2095"/>
      <c r="AE7" s="2096"/>
      <c r="AF7" s="2096"/>
      <c r="AG7" s="2096"/>
      <c r="AH7" s="2096"/>
      <c r="AI7" s="2096"/>
      <c r="AJ7" s="2096"/>
      <c r="AK7" s="2096"/>
      <c r="AL7" s="2097"/>
      <c r="AM7" s="1286" t="s">
        <v>403</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404</v>
      </c>
      <c r="M8" s="543"/>
      <c r="N8" s="1396"/>
      <c r="O8" s="1396"/>
      <c r="P8" s="2111"/>
      <c r="Q8" s="2111"/>
      <c r="R8" s="353">
        <v>1</v>
      </c>
      <c r="S8" s="1366">
        <f>$K8</f>
      </c>
      <c r="T8" s="1377"/>
      <c r="U8" s="288"/>
      <c r="V8" s="757"/>
      <c r="W8" s="320"/>
      <c r="X8" s="757"/>
      <c r="Y8" s="1285"/>
      <c r="Z8" s="2112"/>
      <c r="AA8" s="1981" t="s">
        <v>62</v>
      </c>
      <c r="AB8" s="2112"/>
      <c r="AC8" s="1981" t="s">
        <v>62</v>
      </c>
      <c r="AD8" s="757"/>
      <c r="AE8" s="320"/>
      <c r="AF8" s="757"/>
      <c r="AG8" s="1285"/>
      <c r="AH8" s="2112"/>
      <c r="AI8" s="1981" t="s">
        <v>62</v>
      </c>
      <c r="AJ8" s="2112"/>
      <c r="AK8" s="1981" t="s">
        <v>62</v>
      </c>
      <c r="AL8" s="320"/>
      <c r="AM8" s="2137" t="s">
        <v>405</v>
      </c>
      <c r="AN8" s="517">
        <f>STRCHECKDATE(V9:AL9)</f>
      </c>
      <c r="AO8" s="506"/>
      <c r="AP8" s="506" t="str">
        <f>IF(T8="","",T8)</f>
        <v/>
      </c>
      <c r="AQ8" s="506"/>
      <c r="AR8" s="506"/>
    </row>
    <row customHeight="1" ht="0.75" hidden="1">
      <c r="A9" s="1393"/>
      <c r="B9" s="1393"/>
      <c r="C9" s="1393"/>
      <c r="D9" s="1393"/>
      <c r="E9" s="2108"/>
      <c r="F9" s="2108"/>
      <c r="G9" s="2108"/>
      <c r="H9" s="2108"/>
      <c r="I9" s="2110"/>
      <c r="J9" s="2110"/>
      <c r="K9" s="2109"/>
      <c r="L9" s="1394"/>
      <c r="M9" s="543"/>
      <c r="N9" s="1396"/>
      <c r="O9" s="1396"/>
      <c r="P9" s="2111"/>
      <c r="Q9" s="2111"/>
      <c r="R9" s="353"/>
      <c r="S9" s="1372"/>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5" t="s">
        <v>406</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5" hidden="1">
      <c r="A11" s="1393"/>
      <c r="B11" s="1393"/>
      <c r="C11" s="1393"/>
      <c r="D11" s="1393"/>
      <c r="E11" s="2108"/>
      <c r="F11" s="2108"/>
      <c r="G11" s="2108"/>
      <c r="H11" s="2108"/>
      <c r="I11" s="2109"/>
      <c r="J11" s="1393"/>
      <c r="K11" s="1393"/>
      <c r="L11" s="1394"/>
      <c r="M11" s="543"/>
      <c r="P11" s="2111"/>
      <c r="Q11" s="1361"/>
      <c r="R11" s="352"/>
      <c r="S11" s="1308"/>
      <c r="T11" s="364" t="s">
        <v>407</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416"/>
      <c r="T12" s="1417"/>
      <c r="U12" s="1418"/>
      <c r="V12" s="1418"/>
      <c r="W12" s="1418"/>
      <c r="X12" s="1418"/>
      <c r="Y12" s="1418"/>
      <c r="Z12" s="1418"/>
      <c r="AA12" s="1418"/>
      <c r="AB12" s="1418"/>
      <c r="AC12" s="1418"/>
      <c r="AD12" s="1418"/>
      <c r="AE12" s="1418"/>
      <c r="AF12" s="1418"/>
      <c r="AG12" s="1418"/>
      <c r="AH12" s="1418"/>
      <c r="AI12" s="1418"/>
      <c r="AJ12" s="1418"/>
      <c r="AK12" s="1418"/>
      <c r="AL12" s="1418"/>
      <c r="AM12" s="1419"/>
      <c r="AO12" s="506"/>
      <c r="AP12" s="506" t="str">
        <f>IF(T12="","",T12)</f>
        <v/>
      </c>
      <c r="AQ12" s="506"/>
      <c r="AR12" s="506"/>
    </row>
    <row s="3273" customFormat="1" customHeight="1" ht="0.75" hidden="1">
      <c r="A13" s="1344"/>
      <c r="B13" s="1344"/>
      <c r="C13" s="1344"/>
      <c r="D13" s="1344"/>
      <c r="E13" s="2108"/>
      <c r="F13" s="2108"/>
      <c r="G13" s="2107"/>
      <c r="H13" s="1344"/>
      <c r="I13" s="1344"/>
      <c r="J13" s="1344"/>
      <c r="K13" s="1344"/>
      <c r="L13" s="1369"/>
      <c r="M13" s="1345"/>
      <c r="N13" s="1345"/>
      <c r="P13" s="1346"/>
      <c r="Q13" s="1347"/>
      <c r="R13" s="1346"/>
      <c r="S13" s="1348"/>
      <c r="T13" s="1349" t="s">
        <v>181</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273" customFormat="1" customHeight="1" ht="0.75" hidden="1">
      <c r="A14" s="1344"/>
      <c r="B14" s="1344"/>
      <c r="C14" s="1344"/>
      <c r="D14" s="1344"/>
      <c r="E14" s="2108"/>
      <c r="F14" s="2107"/>
      <c r="G14" s="1344"/>
      <c r="H14" s="1344"/>
      <c r="I14" s="1344"/>
      <c r="J14" s="1344"/>
      <c r="K14" s="1344"/>
      <c r="L14" s="1369"/>
      <c r="M14" s="1351"/>
      <c r="N14" s="1351"/>
      <c r="P14" s="1346"/>
      <c r="Q14" s="1347"/>
      <c r="R14" s="1346"/>
      <c r="S14" s="1352"/>
      <c r="T14" s="1353" t="s">
        <v>182</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273" customFormat="1" customHeight="1" ht="0.75" hidden="1">
      <c r="A15" s="1344"/>
      <c r="B15" s="1344"/>
      <c r="C15" s="1344"/>
      <c r="D15" s="1344"/>
      <c r="E15" s="2107"/>
      <c r="F15" s="1344"/>
      <c r="G15" s="1344"/>
      <c r="H15" s="1344"/>
      <c r="I15" s="1344"/>
      <c r="J15" s="1344"/>
      <c r="K15" s="1344"/>
      <c r="L15" s="1369"/>
      <c r="M15" s="1351"/>
      <c r="N15" s="1351"/>
      <c r="P15" s="1346"/>
      <c r="Q15" s="1347"/>
      <c r="R15" s="1346"/>
      <c r="S15" s="1352"/>
      <c r="T15" s="1355" t="s">
        <v>183</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AD17" s="1390"/>
      <c r="AE17" s="1390"/>
      <c r="AF17" s="1390"/>
      <c r="AG17" s="1391"/>
      <c r="AH17" s="2105"/>
      <c r="AI17" s="2104" t="s">
        <v>62</v>
      </c>
      <c r="AJ17" s="2105"/>
      <c r="AK17" s="2104" t="s">
        <v>62</v>
      </c>
    </row>
    <row customHeight="1" ht="14.25" hidden="1">
      <c r="AD18" s="1390"/>
      <c r="AE18" s="1390"/>
      <c r="AF18" s="1390"/>
      <c r="AG18" s="324" t="str">
        <f>AH17&amp;"-"&amp;AJ17</f>
        <v>-</v>
      </c>
      <c r="AH18" s="2104"/>
      <c r="AI18" s="2104"/>
      <c r="AJ18" s="2104"/>
      <c r="AK18" s="2104"/>
    </row>
    <row customHeight="1" ht="14.25" hidden="1">
      <c r="AK19" s="323"/>
    </row>
    <row s="3292" customFormat="1" customHeight="1" ht="22.5" hidden="1">
      <c r="L20" s="1359"/>
      <c r="M20" s="1392"/>
      <c r="N20" s="1392"/>
      <c r="O20" s="1397" t="s">
        <v>409</v>
      </c>
      <c r="P20" s="1392"/>
      <c r="Q20" s="1401"/>
      <c r="R20" s="1401"/>
      <c r="S20" s="735"/>
      <c r="Z20" s="1397"/>
      <c r="AB20" s="1397"/>
      <c r="AC20" s="1396"/>
      <c r="AH20" s="1397"/>
      <c r="AJ20" s="1397"/>
      <c r="AK20" s="1396"/>
      <c r="AN20" s="517"/>
      <c r="AO20" s="517"/>
      <c r="AP20" s="517"/>
      <c r="AQ20" s="517"/>
      <c r="AR20" s="517"/>
    </row>
    <row s="3292" customFormat="1" customHeight="1" ht="14.25" hidden="1">
      <c r="L21" s="1359"/>
      <c r="M21" s="1392"/>
      <c r="N21" s="1392"/>
      <c r="O21" s="1392"/>
      <c r="P21" s="1392"/>
      <c r="Q21" s="1401"/>
      <c r="R21" s="1401"/>
      <c r="S21" s="735"/>
      <c r="AC21" s="1396"/>
      <c r="AK21" s="1396"/>
      <c r="AN21" s="517"/>
      <c r="AO21" s="517"/>
      <c r="AP21" s="517"/>
      <c r="AQ21" s="517"/>
      <c r="AR21" s="517"/>
    </row>
    <row s="3292" customFormat="1" customHeight="1" ht="14.25" hidden="1">
      <c r="L22" s="1359"/>
      <c r="M22" s="1392"/>
      <c r="N22" s="1392"/>
      <c r="O22" s="1394" t="s">
        <v>410</v>
      </c>
      <c r="P22" s="1392"/>
      <c r="Q22" s="1401"/>
      <c r="R22" s="1401"/>
      <c r="S22" s="735"/>
      <c r="T22" s="1168" t="s">
        <v>411</v>
      </c>
      <c r="AA22" s="172" t="s">
        <v>412</v>
      </c>
      <c r="AC22" s="172" t="s">
        <v>413</v>
      </c>
      <c r="AD22" s="1168" t="s">
        <v>411</v>
      </c>
      <c r="AI22" s="172" t="s">
        <v>414</v>
      </c>
      <c r="AK22" s="172" t="s">
        <v>413</v>
      </c>
      <c r="AN22" s="517"/>
      <c r="AO22" s="517"/>
      <c r="AP22" s="517"/>
      <c r="AQ22" s="517"/>
      <c r="AR22" s="517"/>
    </row>
    <row customHeight="1" ht="14.25" hidden="1">
      <c r="O23" s="1394"/>
    </row>
    <row customHeight="1" ht="14.25" hidden="1">
      <c r="O24" s="1394"/>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51">
      <c r="Q26" s="377"/>
      <c r="R26" s="377"/>
      <c r="S26" s="2140"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40"/>
      <c r="U26" s="2140"/>
      <c r="V26" s="2140"/>
      <c r="W26" s="2140"/>
      <c r="X26" s="2140"/>
      <c r="Y26" s="2140"/>
      <c r="Z26" s="2140"/>
      <c r="AA26" s="2140"/>
      <c r="AB26" s="2140"/>
      <c r="AC26" s="2140"/>
      <c r="AD26" s="2140"/>
      <c r="AE26" s="2140"/>
      <c r="AF26" s="2140"/>
      <c r="AG26" s="2140"/>
      <c r="AH26" s="2140"/>
      <c r="AI26" s="2140"/>
      <c r="AJ26" s="2140"/>
      <c r="AK26" s="1261"/>
    </row>
    <row customHeight="1" ht="14.25">
      <c r="Q27" s="377"/>
      <c r="R27" s="377"/>
      <c r="S27" s="2141" t="str">
        <f>IF(org=0,"Не определено",org)</f>
        <v>ЗАО "Байкалэнерго"</v>
      </c>
      <c r="T27" s="2141"/>
      <c r="U27" s="2141"/>
      <c r="V27" s="2141"/>
      <c r="W27" s="2141"/>
      <c r="X27" s="2141"/>
      <c r="Y27" s="2141"/>
      <c r="Z27" s="2141"/>
      <c r="AA27" s="2141"/>
      <c r="AB27" s="2141"/>
      <c r="AC27" s="2141"/>
      <c r="AD27" s="2141"/>
      <c r="AE27" s="2141"/>
      <c r="AF27" s="2141"/>
      <c r="AG27" s="2141"/>
      <c r="AH27" s="2141"/>
      <c r="AI27" s="2141"/>
      <c r="AJ27" s="2141"/>
      <c r="AK27" s="1261"/>
    </row>
    <row customHeight="1" ht="14.25">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305" customFormat="1" customHeight="1" ht="25.5">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Служба по тарифам Иркутской области</v>
      </c>
      <c r="W29" s="2100"/>
      <c r="X29" s="2100"/>
      <c r="Y29" s="2100"/>
      <c r="Z29" s="2100"/>
      <c r="AA29" s="2100"/>
      <c r="AB29" s="2100"/>
      <c r="AC29" s="322"/>
      <c r="AD29" s="2100" t="str">
        <f>IF(TITLE_NAME_OR_PR_CHANGE="",IF(TITLE_NAME_OR_PR="","",TITLE_NAME_OR_PR),TITLE_NAME_OR_PR_CHANGE)</f>
        <v>Служба по тарифам Иркутской области</v>
      </c>
      <c r="AE29" s="2100"/>
      <c r="AF29" s="2100"/>
      <c r="AG29" s="2100"/>
      <c r="AH29" s="2100"/>
      <c r="AI29" s="2100"/>
      <c r="AJ29" s="2100"/>
      <c r="AK29" s="322"/>
      <c r="AL29" s="322"/>
      <c r="AM29" s="268"/>
      <c r="AN29" s="368"/>
      <c r="AO29" s="368"/>
      <c r="AP29" s="368"/>
      <c r="AQ29" s="368"/>
      <c r="AR29" s="368"/>
    </row>
    <row s="3305" customFormat="1" customHeight="1" ht="18.75">
      <c r="A30" s="1398"/>
      <c r="B30" s="1398"/>
      <c r="C30" s="1398"/>
      <c r="D30" s="1398"/>
      <c r="E30" s="1398"/>
      <c r="F30" s="1398"/>
      <c r="G30" s="1398"/>
      <c r="H30" s="1398"/>
      <c r="I30" s="1398"/>
      <c r="J30" s="1398"/>
      <c r="K30" s="1398"/>
      <c r="L30" s="1399"/>
      <c r="M30" s="1398"/>
      <c r="N30" s="1398"/>
      <c r="O30" s="1398"/>
      <c r="S30" s="2098" t="s">
        <v>415</v>
      </c>
      <c r="T30" s="2098"/>
      <c r="U30" s="1402"/>
      <c r="V30" s="2099" t="str">
        <f>IF(TITLE_DATE_PR_CHANGE="",IF(TITLE_DATE_PR="","",TITLE_DATE_PR),TITLE_DATE_PR_CHANGE)</f>
        <v>45280.56123842593</v>
      </c>
      <c r="W30" s="2099"/>
      <c r="X30" s="2099"/>
      <c r="Y30" s="2099"/>
      <c r="Z30" s="2099"/>
      <c r="AA30" s="2099"/>
      <c r="AB30" s="2099"/>
      <c r="AC30" s="322"/>
      <c r="AD30" s="2099" t="str">
        <f>IF(TITLE_DATE_PR_CHANGE="",IF(TITLE_DATE_PR="","",TITLE_DATE_PR),TITLE_DATE_PR_CHANGE)</f>
        <v>45280.56123842593</v>
      </c>
      <c r="AE30" s="2099"/>
      <c r="AF30" s="2099"/>
      <c r="AG30" s="2099"/>
      <c r="AH30" s="2099"/>
      <c r="AI30" s="2099"/>
      <c r="AJ30" s="2099"/>
      <c r="AK30" s="322"/>
      <c r="AL30" s="322"/>
      <c r="AM30" s="268"/>
      <c r="AN30" s="368"/>
      <c r="AO30" s="368"/>
      <c r="AP30" s="368"/>
      <c r="AQ30" s="368"/>
      <c r="AR30" s="368"/>
    </row>
    <row s="3305" customFormat="1" customHeight="1" ht="18.75">
      <c r="A31" s="1398"/>
      <c r="B31" s="1398"/>
      <c r="C31" s="1398"/>
      <c r="D31" s="1398"/>
      <c r="E31" s="1398"/>
      <c r="F31" s="1398"/>
      <c r="G31" s="1398"/>
      <c r="H31" s="1398"/>
      <c r="I31" s="1398"/>
      <c r="J31" s="1398"/>
      <c r="K31" s="1398"/>
      <c r="L31" s="1399"/>
      <c r="M31" s="1398"/>
      <c r="N31" s="1398"/>
      <c r="O31" s="1398"/>
      <c r="S31" s="2098" t="s">
        <v>416</v>
      </c>
      <c r="T31" s="2098"/>
      <c r="U31" s="1402"/>
      <c r="V31" s="2100" t="str">
        <f>IF(TITLE_NUMBER_PR_CHANGE="",IF(TITLE_NUMBER_PR="","",TITLE_NUMBER_PR),TITLE_NUMBER_PR_CHANGE)</f>
        <v>79-477-спр</v>
      </c>
      <c r="W31" s="2100"/>
      <c r="X31" s="2100"/>
      <c r="Y31" s="2100"/>
      <c r="Z31" s="2100"/>
      <c r="AA31" s="2100"/>
      <c r="AB31" s="2100"/>
      <c r="AC31" s="322"/>
      <c r="AD31" s="2100" t="str">
        <f>IF(TITLE_NUMBER_PR_CHANGE="",IF(TITLE_NUMBER_PR="","",TITLE_NUMBER_PR),TITLE_NUMBER_PR_CHANGE)</f>
        <v>79-477-спр</v>
      </c>
      <c r="AE31" s="2100"/>
      <c r="AF31" s="2100"/>
      <c r="AG31" s="2100"/>
      <c r="AH31" s="2100"/>
      <c r="AI31" s="2100"/>
      <c r="AJ31" s="2100"/>
      <c r="AK31" s="322"/>
      <c r="AL31" s="322"/>
      <c r="AM31" s="268"/>
      <c r="AN31" s="368"/>
      <c r="AO31" s="368"/>
      <c r="AP31" s="368"/>
      <c r="AQ31" s="368"/>
      <c r="AR31" s="368"/>
    </row>
    <row s="3305" customFormat="1" customHeight="1" ht="18.75">
      <c r="A32" s="1398"/>
      <c r="B32" s="1398"/>
      <c r="C32" s="1398"/>
      <c r="D32" s="1398"/>
      <c r="E32" s="1398"/>
      <c r="F32" s="1398"/>
      <c r="G32" s="1398"/>
      <c r="H32" s="1398"/>
      <c r="I32" s="1398"/>
      <c r="J32" s="1398"/>
      <c r="K32" s="1398"/>
      <c r="L32" s="1399"/>
      <c r="M32" s="1398"/>
      <c r="N32" s="1398"/>
      <c r="O32" s="1398"/>
      <c r="S32" s="2098" t="s">
        <v>40</v>
      </c>
      <c r="T32" s="2098"/>
      <c r="U32" s="1402"/>
      <c r="V32" s="2100" t="str">
        <f>IF(TITLE_IST_PUB_CHANGE="",IF(TITLE_IST_PUB="","",TITLE_IST_PUB),TITLE_IST_PUB_CHANGE)</f>
        <v>Официальный сайт службы по тарифам Иркутской области http://irkobl.ru</v>
      </c>
      <c r="W32" s="2100"/>
      <c r="X32" s="2100"/>
      <c r="Y32" s="2100"/>
      <c r="Z32" s="2100"/>
      <c r="AA32" s="2100"/>
      <c r="AB32" s="2100"/>
      <c r="AC32" s="322"/>
      <c r="AD32" s="2100" t="str">
        <f>IF(TITLE_IST_PUB_CHANGE="",IF(TITLE_IST_PUB="","",TITLE_IST_PUB),TITLE_IST_PUB_CHANGE)</f>
        <v>Официальный сайт службы по тарифам Иркутской области http://irkobl.ru</v>
      </c>
      <c r="AE32" s="2100"/>
      <c r="AF32" s="2100"/>
      <c r="AG32" s="2100"/>
      <c r="AH32" s="2100"/>
      <c r="AI32" s="2100"/>
      <c r="AJ32" s="2100"/>
      <c r="AK32" s="322"/>
      <c r="AL32" s="322"/>
      <c r="AM32" s="268"/>
      <c r="AN32" s="368"/>
      <c r="AO32" s="368"/>
      <c r="AP32" s="368"/>
      <c r="AQ32" s="368"/>
      <c r="AR32" s="368"/>
    </row>
    <row customHeight="1" ht="14.25" hidden="1">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305" customFormat="1" customHeight="1" ht="18.75" hidden="1">
      <c r="A34" s="1398"/>
      <c r="B34" s="1398"/>
      <c r="C34" s="1398"/>
      <c r="D34" s="1398"/>
      <c r="E34" s="1398"/>
      <c r="F34" s="1398"/>
      <c r="G34" s="1398"/>
      <c r="H34" s="1398"/>
      <c r="I34" s="1398"/>
      <c r="J34" s="1398"/>
      <c r="K34" s="1398"/>
      <c r="L34" s="1399"/>
      <c r="M34" s="1398"/>
      <c r="N34" s="1398"/>
      <c r="O34" s="1398"/>
      <c r="S34" s="2098" t="s">
        <v>417</v>
      </c>
      <c r="T34" s="2098"/>
      <c r="U34" s="1402"/>
      <c r="V34" s="2099" t="str">
        <f>IF(TITLE_DATE_PR_CHANGE="",IF(TITLE_DATE_PR="","",TITLE_DATE_PR),TITLE_DATE_PR_CHANGE)</f>
        <v>45280.56123842593</v>
      </c>
      <c r="W34" s="2099"/>
      <c r="X34" s="2099"/>
      <c r="Y34" s="2099"/>
      <c r="Z34" s="2099"/>
      <c r="AA34" s="2099"/>
      <c r="AB34" s="2099"/>
      <c r="AC34" s="322"/>
      <c r="AD34" s="2099" t="str">
        <f>IF(TITLE_DATE_PR_CHANGE="",IF(TITLE_DATE_PR="","",TITLE_DATE_PR),TITLE_DATE_PR_CHANGE)</f>
        <v>45280.56123842593</v>
      </c>
      <c r="AE34" s="2099"/>
      <c r="AF34" s="2099"/>
      <c r="AG34" s="2099"/>
      <c r="AH34" s="2099"/>
      <c r="AI34" s="2099"/>
      <c r="AJ34" s="2099"/>
      <c r="AK34" s="322"/>
      <c r="AL34" s="322"/>
      <c r="AM34" s="268"/>
      <c r="AN34" s="368"/>
      <c r="AO34" s="368"/>
      <c r="AP34" s="368"/>
      <c r="AQ34" s="368"/>
      <c r="AR34" s="368"/>
    </row>
    <row s="3305" customFormat="1" customHeight="1" ht="18.75" hidden="1">
      <c r="A35" s="1398"/>
      <c r="B35" s="1398"/>
      <c r="C35" s="1398"/>
      <c r="D35" s="1398"/>
      <c r="E35" s="1398"/>
      <c r="F35" s="1398"/>
      <c r="G35" s="1398"/>
      <c r="H35" s="1398"/>
      <c r="I35" s="1398"/>
      <c r="J35" s="1398"/>
      <c r="K35" s="1398"/>
      <c r="L35" s="1399"/>
      <c r="M35" s="1398"/>
      <c r="N35" s="1398"/>
      <c r="O35" s="1398"/>
      <c r="S35" s="2098" t="s">
        <v>418</v>
      </c>
      <c r="T35" s="2098"/>
      <c r="U35" s="1402"/>
      <c r="V35" s="2100" t="str">
        <f>IF(TITLE_NUMBER_PR_CHANGE="",IF(TITLE_NUMBER_PR="","",TITLE_NUMBER_PR),TITLE_NUMBER_PR_CHANGE)</f>
        <v>79-477-спр</v>
      </c>
      <c r="W35" s="2100"/>
      <c r="X35" s="2100"/>
      <c r="Y35" s="2100"/>
      <c r="Z35" s="2100"/>
      <c r="AA35" s="2100"/>
      <c r="AB35" s="2100"/>
      <c r="AC35" s="322"/>
      <c r="AD35" s="2100" t="str">
        <f>IF(TITLE_NUMBER_PR_CHANGE="",IF(TITLE_NUMBER_PR="","",TITLE_NUMBER_PR),TITLE_NUMBER_PR_CHANGE)</f>
        <v>79-477-спр</v>
      </c>
      <c r="AE35" s="2100"/>
      <c r="AF35" s="2100"/>
      <c r="AG35" s="2100"/>
      <c r="AH35" s="2100"/>
      <c r="AI35" s="2100"/>
      <c r="AJ35" s="2100"/>
      <c r="AK35" s="322"/>
      <c r="AL35" s="322"/>
      <c r="AM35" s="268"/>
      <c r="AN35" s="368"/>
      <c r="AO35" s="368"/>
      <c r="AP35" s="368"/>
      <c r="AQ35" s="368"/>
      <c r="AR35" s="368"/>
    </row>
    <row s="3305" customFormat="1" customHeight="1" ht="0">
      <c r="A36" s="1398"/>
      <c r="B36" s="1398"/>
      <c r="C36" s="1398"/>
      <c r="D36" s="1398"/>
      <c r="E36" s="1398"/>
      <c r="F36" s="1398"/>
      <c r="G36" s="1398"/>
      <c r="H36" s="1398"/>
      <c r="I36" s="1398"/>
      <c r="J36" s="1398"/>
      <c r="K36" s="1398"/>
      <c r="L36" s="1399"/>
      <c r="M36" s="1398"/>
      <c r="N36" s="1398"/>
      <c r="O36" s="1398"/>
      <c r="S36" s="318"/>
      <c r="T36" s="318"/>
      <c r="U36" s="1370"/>
      <c r="V36" s="322"/>
      <c r="W36" s="322"/>
      <c r="X36" s="322"/>
      <c r="Y36" s="322"/>
      <c r="Z36" s="322"/>
      <c r="AA36" s="322"/>
      <c r="AB36" s="322"/>
      <c r="AC36" s="266" t="s">
        <v>419</v>
      </c>
      <c r="AD36" s="322"/>
      <c r="AE36" s="322"/>
      <c r="AF36" s="322"/>
      <c r="AG36" s="322"/>
      <c r="AH36" s="322"/>
      <c r="AI36" s="322"/>
      <c r="AJ36" s="322"/>
      <c r="AK36" s="266" t="s">
        <v>419</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293</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294</v>
      </c>
    </row>
    <row customHeight="1" ht="14.25">
      <c r="Q39" s="377"/>
      <c r="R39" s="377"/>
      <c r="S39" s="2125" t="s">
        <v>88</v>
      </c>
      <c r="T39" s="2062" t="s">
        <v>420</v>
      </c>
      <c r="U39" s="289"/>
      <c r="V39" s="2126" t="s">
        <v>421</v>
      </c>
      <c r="W39" s="2127"/>
      <c r="X39" s="2127"/>
      <c r="Y39" s="2127"/>
      <c r="Z39" s="2127"/>
      <c r="AA39" s="2127"/>
      <c r="AB39" s="2128"/>
      <c r="AC39" s="2129" t="s">
        <v>422</v>
      </c>
      <c r="AD39" s="2126" t="s">
        <v>421</v>
      </c>
      <c r="AE39" s="2127"/>
      <c r="AF39" s="2127"/>
      <c r="AG39" s="2127"/>
      <c r="AH39" s="2127"/>
      <c r="AI39" s="2127"/>
      <c r="AJ39" s="2128"/>
      <c r="AK39" s="2129" t="s">
        <v>423</v>
      </c>
      <c r="AL39" s="2132" t="s">
        <v>424</v>
      </c>
      <c r="AM39" s="1971"/>
    </row>
    <row customHeight="1" ht="33.75">
      <c r="Q40" s="377"/>
      <c r="R40" s="377"/>
      <c r="S40" s="2125"/>
      <c r="T40" s="2062"/>
      <c r="U40" s="1038"/>
      <c r="V40" s="2135" t="s">
        <v>425</v>
      </c>
      <c r="W40" s="2116"/>
      <c r="X40" s="2118" t="s">
        <v>427</v>
      </c>
      <c r="Y40" s="2120"/>
      <c r="Z40" s="2118" t="s">
        <v>428</v>
      </c>
      <c r="AA40" s="2119"/>
      <c r="AB40" s="2120"/>
      <c r="AC40" s="2130"/>
      <c r="AD40" s="2135" t="s">
        <v>425</v>
      </c>
      <c r="AE40" s="2116"/>
      <c r="AF40" s="2118" t="s">
        <v>427</v>
      </c>
      <c r="AG40" s="2120"/>
      <c r="AH40" s="2118" t="s">
        <v>428</v>
      </c>
      <c r="AI40" s="2119"/>
      <c r="AJ40" s="2120"/>
      <c r="AK40" s="2130"/>
      <c r="AL40" s="2133"/>
      <c r="AM40" s="1971"/>
    </row>
    <row customHeight="1" ht="33.75">
      <c r="A41" s="1400"/>
      <c r="B41" s="1400" t="s">
        <v>136</v>
      </c>
      <c r="C41" s="1400" t="s">
        <v>137</v>
      </c>
      <c r="D41" s="1400" t="s">
        <v>138</v>
      </c>
      <c r="E41" s="1394" t="s">
        <v>429</v>
      </c>
      <c r="F41" s="1394" t="s">
        <v>430</v>
      </c>
      <c r="G41" s="1394" t="s">
        <v>431</v>
      </c>
      <c r="H41" s="1394" t="s">
        <v>432</v>
      </c>
      <c r="I41" s="1394" t="s">
        <v>433</v>
      </c>
      <c r="J41" s="1394" t="s">
        <v>434</v>
      </c>
      <c r="K41" s="1394" t="s">
        <v>435</v>
      </c>
      <c r="L41" s="1394" t="s">
        <v>410</v>
      </c>
      <c r="Q41" s="377"/>
      <c r="R41" s="377"/>
      <c r="S41" s="2125"/>
      <c r="T41" s="2062"/>
      <c r="U41" s="290"/>
      <c r="V41" s="2136"/>
      <c r="W41" s="2117"/>
      <c r="X41" s="1237" t="s">
        <v>436</v>
      </c>
      <c r="Y41" s="1237" t="s">
        <v>437</v>
      </c>
      <c r="Z41" s="1368" t="s">
        <v>438</v>
      </c>
      <c r="AA41" s="2121" t="s">
        <v>439</v>
      </c>
      <c r="AB41" s="2122"/>
      <c r="AC41" s="2131"/>
      <c r="AD41" s="2136"/>
      <c r="AE41" s="2117"/>
      <c r="AF41" s="1237" t="s">
        <v>436</v>
      </c>
      <c r="AG41" s="1237" t="s">
        <v>437</v>
      </c>
      <c r="AH41" s="1368" t="s">
        <v>438</v>
      </c>
      <c r="AI41" s="2121" t="s">
        <v>439</v>
      </c>
      <c r="AJ41" s="2122"/>
      <c r="AK41" s="2131"/>
      <c r="AL41" s="2134"/>
      <c r="AM41" s="1971"/>
    </row>
    <row s="2610"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110</v>
      </c>
      <c r="T42" s="1281" t="s">
        <v>111</v>
      </c>
      <c r="U42" s="1263" t="str">
        <f>OFFSET(U42,0,-1)</f>
        <v>2</v>
      </c>
      <c r="V42" s="1365">
        <f>OFFSET(V42,0,-1)+1</f>
        <v>3</v>
      </c>
      <c r="W42" s="1365"/>
      <c r="X42" s="1365">
        <f>OFFSET(X42,0,-1)+1</f>
        <v>1</v>
      </c>
      <c r="Y42" s="1365">
        <f>OFFSET(Y42,0,-1)+1</f>
        <v>2</v>
      </c>
      <c r="Z42" s="1365">
        <f>OFFSET(Z42,0,-1)+1</f>
        <v>3</v>
      </c>
      <c r="AA42" s="2123">
        <f>OFFSET(AA42,0,-1)+1</f>
        <v>4</v>
      </c>
      <c r="AB42" s="2123"/>
      <c r="AC42" s="1365">
        <f>OFFSET(AC42,0,-2)+1</f>
        <v>5</v>
      </c>
      <c r="AD42" s="1365">
        <f>OFFSET(AD42,0,-1)+1</f>
        <v>6</v>
      </c>
      <c r="AE42" s="1365"/>
      <c r="AF42" s="1365">
        <f>OFFSET(AF42,0,-1)+1</f>
        <v>1</v>
      </c>
      <c r="AG42" s="1365">
        <f>OFFSET(AG42,0,-1)+1</f>
        <v>2</v>
      </c>
      <c r="AH42" s="1365">
        <f>OFFSET(AH42,0,-1)+1</f>
        <v>3</v>
      </c>
      <c r="AI42" s="2123">
        <f>OFFSET(AI42,0,-1)+1</f>
        <v>4</v>
      </c>
      <c r="AJ42" s="2123"/>
      <c r="AK42" s="1365">
        <f>OFFSET(AK42,0,-2)+1</f>
        <v>5</v>
      </c>
      <c r="AL42" s="1263">
        <f>OFFSET(AL42,0,-1)</f>
        <v>5</v>
      </c>
      <c r="AM42" s="1365">
        <f>OFFSET(AM42,0,-1)+1</f>
        <v>6</v>
      </c>
      <c r="AN42" s="517"/>
      <c r="AO42" s="517"/>
      <c r="AP42" s="517"/>
      <c r="AQ42" s="517"/>
      <c r="AR42" s="517"/>
    </row>
    <row customHeight="1" ht="21">
      <c r="A43" s="1393" t="s">
        <v>169</v>
      </c>
      <c r="B43" s="1393"/>
      <c r="C43" s="1393"/>
      <c r="D43" s="1393"/>
      <c r="E43" s="2107">
        <v>1</v>
      </c>
      <c r="F43" s="1393"/>
      <c r="G43" s="1393"/>
      <c r="H43" s="1393"/>
      <c r="I43" s="1393"/>
      <c r="J43" s="1393"/>
      <c r="K43" s="1393"/>
      <c r="L43" s="1394"/>
      <c r="M43" s="1395"/>
      <c r="N43" s="1395"/>
      <c r="O43" s="1395"/>
      <c r="P43" s="357"/>
      <c r="Q43" s="356"/>
      <c r="R43" s="351"/>
      <c r="S43" s="1366">
        <f>INDEX(PT_DIFFERENTIATION_NUM_NTAR,MATCH(A43,PT_DIFFERENTIATION_NTAR_ID,0))</f>
        <v>0</v>
      </c>
      <c r="T43" s="286" t="s">
        <v>124</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6"/>
      <c r="AP43" s="506" t="str">
        <f>IF(T43="","",T43)</f>
        <v>Наименование тарифа</v>
      </c>
      <c r="AQ43" s="506"/>
      <c r="AR43" s="506"/>
    </row>
    <row customHeight="1" ht="21">
      <c r="A44" s="1393" t="s">
        <v>169</v>
      </c>
      <c r="B44" s="1393" t="s">
        <v>170</v>
      </c>
      <c r="C44" s="1393"/>
      <c r="D44" s="1393"/>
      <c r="E44" s="2108"/>
      <c r="F44" s="2107">
        <v>1</v>
      </c>
      <c r="G44" s="1393"/>
      <c r="H44" s="1393"/>
      <c r="I44" s="1393"/>
      <c r="J44" s="1393"/>
      <c r="K44" s="1393"/>
      <c r="L44" s="1394"/>
      <c r="M44" s="1395"/>
      <c r="N44" s="1395"/>
      <c r="O44" s="1395"/>
      <c r="P44" s="1362"/>
      <c r="Q44" s="348"/>
      <c r="R44" s="349"/>
      <c r="S44" s="1366" t="str">
        <f>INDEX(PT_DIFFERENTIATION_NUM_TER,MATCH(B44,PT_DIFFERENTIATION_TER_ID,0))</f>
        <v>.</v>
      </c>
      <c r="T44" s="298" t="s">
        <v>392</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393</v>
      </c>
      <c r="AO44" s="506"/>
      <c r="AP44" s="506" t="str">
        <f>IF(T44="","",T44)</f>
        <v>Территория действия тарифа</v>
      </c>
      <c r="AQ44" s="506"/>
      <c r="AR44" s="506"/>
    </row>
    <row customHeight="1" ht="23.25">
      <c r="A45" s="1393" t="s">
        <v>169</v>
      </c>
      <c r="B45" s="1393" t="s">
        <v>170</v>
      </c>
      <c r="C45" s="1393" t="s">
        <v>171</v>
      </c>
      <c r="D45" s="1393"/>
      <c r="E45" s="2108"/>
      <c r="F45" s="2108"/>
      <c r="G45" s="2107">
        <v>1</v>
      </c>
      <c r="H45" s="1393"/>
      <c r="I45" s="1393"/>
      <c r="J45" s="1393"/>
      <c r="K45" s="1393"/>
      <c r="L45" s="1394"/>
      <c r="M45" s="1395"/>
      <c r="N45" s="1395"/>
      <c r="O45" s="1395"/>
      <c r="P45" s="350"/>
      <c r="Q45" s="348"/>
      <c r="R45" s="349"/>
      <c r="S45" s="1366" t="str">
        <f>INDEX(PT_DIFFERENTIATION_NUM_CS,MATCH(C45,PT_DIFFERENTIATION_CS_ID,0))</f>
        <v>..</v>
      </c>
      <c r="T45" s="299" t="s">
        <v>394</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395</v>
      </c>
      <c r="AO45" s="506"/>
      <c r="AP45" s="506" t="str">
        <f>IF(T45="","",T45)</f>
        <v>Наименование системы теплоснабжения </v>
      </c>
      <c r="AQ45" s="506"/>
      <c r="AR45" s="506"/>
    </row>
    <row customHeight="1" ht="21">
      <c r="A46" s="1393" t="s">
        <v>169</v>
      </c>
      <c r="B46" s="1393" t="s">
        <v>170</v>
      </c>
      <c r="C46" s="1393" t="s">
        <v>171</v>
      </c>
      <c r="D46" s="1393" t="s">
        <v>172</v>
      </c>
      <c r="E46" s="2108"/>
      <c r="F46" s="2108"/>
      <c r="G46" s="2108"/>
      <c r="H46" s="2107">
        <v>1</v>
      </c>
      <c r="I46" s="1393"/>
      <c r="J46" s="1393"/>
      <c r="K46" s="1393"/>
      <c r="L46" s="1394"/>
      <c r="M46" s="1395"/>
      <c r="N46" s="1395"/>
      <c r="O46" s="1395"/>
      <c r="P46" s="350"/>
      <c r="Q46" s="348"/>
      <c r="R46" s="349"/>
      <c r="S46" s="1366" t="str">
        <f>INDEX(PT_DIFFERENTIATION_NUM_IST_TE,MATCH(D46,PT_DIFFERENTIATION_IST_TE_ID,0))</f>
        <v>...</v>
      </c>
      <c r="T46" s="300" t="s">
        <v>396</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397</v>
      </c>
      <c r="AO46" s="506"/>
      <c r="AP46" s="506" t="str">
        <f>IF(T46="","",T46)</f>
        <v>Источник тепловой энергии  </v>
      </c>
      <c r="AQ46" s="506"/>
      <c r="AR46" s="506"/>
    </row>
    <row s="2611" customFormat="1" customHeight="1" ht="0">
      <c r="A47" s="1373" t="s">
        <v>169</v>
      </c>
      <c r="B47" s="1373" t="s">
        <v>170</v>
      </c>
      <c r="C47" s="1373" t="s">
        <v>171</v>
      </c>
      <c r="D47" s="1373" t="s">
        <v>172</v>
      </c>
      <c r="E47" s="2108"/>
      <c r="F47" s="2108"/>
      <c r="G47" s="2108"/>
      <c r="H47" s="2108"/>
      <c r="I47" s="2109" t="str">
        <f>S46&amp;".1"</f>
        <v>....1</v>
      </c>
      <c r="J47" s="1373"/>
      <c r="K47" s="1373"/>
      <c r="L47" s="1376" t="s">
        <v>398</v>
      </c>
      <c r="M47" s="516"/>
      <c r="N47" s="516"/>
      <c r="O47" s="516"/>
      <c r="P47" s="2111">
        <v>1</v>
      </c>
      <c r="Q47" s="1361"/>
      <c r="R47" s="352"/>
      <c r="S47" s="1049"/>
      <c r="T47" s="1413"/>
      <c r="U47" s="1414"/>
      <c r="V47" s="2147"/>
      <c r="W47" s="2148"/>
      <c r="X47" s="2148"/>
      <c r="Y47" s="2148"/>
      <c r="Z47" s="2148"/>
      <c r="AA47" s="2148"/>
      <c r="AB47" s="2148"/>
      <c r="AC47" s="2149"/>
      <c r="AD47" s="2147"/>
      <c r="AE47" s="2148"/>
      <c r="AF47" s="2148"/>
      <c r="AG47" s="2148"/>
      <c r="AH47" s="2148"/>
      <c r="AI47" s="2148"/>
      <c r="AJ47" s="2148"/>
      <c r="AK47" s="2148"/>
      <c r="AL47" s="2149"/>
      <c r="AM47" s="1415"/>
      <c r="AO47" s="506"/>
      <c r="AP47" s="506" t="str">
        <f>IF(T47="","",T47)</f>
        <v/>
      </c>
      <c r="AQ47" s="506"/>
      <c r="AR47" s="506"/>
    </row>
    <row customHeight="1" ht="21">
      <c r="A48" s="1393" t="s">
        <v>169</v>
      </c>
      <c r="B48" s="1393" t="s">
        <v>170</v>
      </c>
      <c r="C48" s="1393" t="s">
        <v>171</v>
      </c>
      <c r="D48" s="1393" t="s">
        <v>172</v>
      </c>
      <c r="E48" s="2108"/>
      <c r="F48" s="2108"/>
      <c r="G48" s="2108"/>
      <c r="H48" s="2108"/>
      <c r="I48" s="2110"/>
      <c r="J48" s="2109" t="str">
        <f>S46&amp;".1"</f>
        <v>....1</v>
      </c>
      <c r="K48" s="1393"/>
      <c r="L48" s="1394" t="s">
        <v>401</v>
      </c>
      <c r="P48" s="2111"/>
      <c r="Q48" s="2111">
        <v>1</v>
      </c>
      <c r="R48" s="353"/>
      <c r="S48" s="1366" t="str">
        <f>$J48</f>
        <v>....1</v>
      </c>
      <c r="T48" s="274" t="s">
        <v>402</v>
      </c>
      <c r="U48" s="288"/>
      <c r="V48" s="2095"/>
      <c r="W48" s="2096"/>
      <c r="X48" s="2096"/>
      <c r="Y48" s="2096"/>
      <c r="Z48" s="2096"/>
      <c r="AA48" s="2096"/>
      <c r="AB48" s="2096"/>
      <c r="AC48" s="2097"/>
      <c r="AD48" s="2095"/>
      <c r="AE48" s="2096"/>
      <c r="AF48" s="2096"/>
      <c r="AG48" s="2096"/>
      <c r="AH48" s="2096"/>
      <c r="AI48" s="2096"/>
      <c r="AJ48" s="2096"/>
      <c r="AK48" s="2096"/>
      <c r="AL48" s="2097"/>
      <c r="AM48" s="1286" t="s">
        <v>403</v>
      </c>
      <c r="AO48" s="506"/>
      <c r="AP48" s="506" t="str">
        <f>IF(T48="","",T48)</f>
        <v>Группа потребителей</v>
      </c>
      <c r="AQ48" s="506"/>
      <c r="AR48" s="506"/>
    </row>
    <row customHeight="1" ht="21">
      <c r="A49" s="1393" t="s">
        <v>169</v>
      </c>
      <c r="B49" s="1393" t="s">
        <v>170</v>
      </c>
      <c r="C49" s="1393" t="s">
        <v>171</v>
      </c>
      <c r="D49" s="1393" t="s">
        <v>172</v>
      </c>
      <c r="E49" s="2108"/>
      <c r="F49" s="2108"/>
      <c r="G49" s="2108"/>
      <c r="H49" s="2108"/>
      <c r="I49" s="2110"/>
      <c r="J49" s="2110"/>
      <c r="K49" s="2109" t="str">
        <f>J48&amp;".1"</f>
        <v>....1.1</v>
      </c>
      <c r="L49" s="1394" t="s">
        <v>404</v>
      </c>
      <c r="P49" s="2111"/>
      <c r="Q49" s="2111"/>
      <c r="R49" s="353">
        <v>1</v>
      </c>
      <c r="S49" s="1366" t="str">
        <f>$K49</f>
        <v>....1.1</v>
      </c>
      <c r="T49" s="1377"/>
      <c r="U49" s="288"/>
      <c r="V49" s="757"/>
      <c r="W49" s="320"/>
      <c r="X49" s="757"/>
      <c r="Y49" s="1285"/>
      <c r="Z49" s="2112"/>
      <c r="AA49" s="1981" t="s">
        <v>62</v>
      </c>
      <c r="AB49" s="2112"/>
      <c r="AC49" s="1981" t="s">
        <v>62</v>
      </c>
      <c r="AD49" s="757"/>
      <c r="AE49" s="320"/>
      <c r="AF49" s="757"/>
      <c r="AG49" s="1285"/>
      <c r="AH49" s="2112"/>
      <c r="AI49" s="1981" t="s">
        <v>62</v>
      </c>
      <c r="AJ49" s="2114"/>
      <c r="AK49" s="1981" t="s">
        <v>62</v>
      </c>
      <c r="AL49" s="1378"/>
      <c r="AM49" s="2137" t="s">
        <v>441</v>
      </c>
      <c r="AN49" s="517">
        <f>STRCHECKDATE(V50:AL50)</f>
      </c>
      <c r="AO49" s="506"/>
      <c r="AP49" s="506" t="str">
        <f>IF(T49="","",T49)</f>
        <v/>
      </c>
      <c r="AQ49" s="506"/>
      <c r="AR49" s="506"/>
    </row>
    <row customHeight="1" ht="0.75">
      <c r="A50" s="1393" t="s">
        <v>169</v>
      </c>
      <c r="B50" s="1393" t="s">
        <v>170</v>
      </c>
      <c r="C50" s="1393" t="s">
        <v>171</v>
      </c>
      <c r="D50" s="1393" t="s">
        <v>172</v>
      </c>
      <c r="E50" s="2108"/>
      <c r="F50" s="2108"/>
      <c r="G50" s="2108"/>
      <c r="H50" s="2108"/>
      <c r="I50" s="2110"/>
      <c r="J50" s="2110"/>
      <c r="K50" s="2109"/>
      <c r="L50" s="1394"/>
      <c r="P50" s="2111"/>
      <c r="Q50" s="2111"/>
      <c r="R50" s="353"/>
      <c r="S50" s="1372"/>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169</v>
      </c>
      <c r="B51" s="1393" t="s">
        <v>170</v>
      </c>
      <c r="C51" s="1393" t="s">
        <v>171</v>
      </c>
      <c r="D51" s="1393" t="s">
        <v>172</v>
      </c>
      <c r="E51" s="2108"/>
      <c r="F51" s="2108"/>
      <c r="G51" s="2108"/>
      <c r="H51" s="2108"/>
      <c r="I51" s="2110"/>
      <c r="J51" s="2109"/>
      <c r="K51" s="1393"/>
      <c r="L51" s="1394"/>
      <c r="P51" s="2111"/>
      <c r="Q51" s="2111"/>
      <c r="R51" s="352"/>
      <c r="S51" s="1308"/>
      <c r="T51" s="275" t="s">
        <v>406</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169</v>
      </c>
      <c r="B52" s="1393" t="s">
        <v>170</v>
      </c>
      <c r="C52" s="1393" t="s">
        <v>171</v>
      </c>
      <c r="D52" s="1393" t="s">
        <v>172</v>
      </c>
      <c r="E52" s="2108"/>
      <c r="F52" s="2108"/>
      <c r="G52" s="2108"/>
      <c r="H52" s="2108"/>
      <c r="I52" s="2109"/>
      <c r="J52" s="1393"/>
      <c r="K52" s="1393"/>
      <c r="L52" s="1394"/>
      <c r="P52" s="2111"/>
      <c r="Q52" s="1361"/>
      <c r="R52" s="352"/>
      <c r="S52" s="1308"/>
      <c r="T52" s="364" t="s">
        <v>407</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0">
      <c r="A53" s="1393" t="s">
        <v>169</v>
      </c>
      <c r="B53" s="1393" t="s">
        <v>170</v>
      </c>
      <c r="C53" s="1393" t="s">
        <v>171</v>
      </c>
      <c r="D53" s="1393" t="s">
        <v>172</v>
      </c>
      <c r="E53" s="2108"/>
      <c r="F53" s="2108"/>
      <c r="G53" s="2108"/>
      <c r="H53" s="2107"/>
      <c r="I53" s="1393"/>
      <c r="J53" s="1393"/>
      <c r="K53" s="1393"/>
      <c r="L53" s="1394"/>
      <c r="M53" s="1395"/>
      <c r="N53" s="1395"/>
      <c r="O53" s="543"/>
      <c r="P53" s="356"/>
      <c r="Q53" s="376"/>
      <c r="R53" s="351"/>
      <c r="S53" s="1416"/>
      <c r="T53" s="1417"/>
      <c r="U53" s="1418"/>
      <c r="V53" s="1418"/>
      <c r="W53" s="1418"/>
      <c r="X53" s="1418"/>
      <c r="Y53" s="1418"/>
      <c r="Z53" s="1418"/>
      <c r="AA53" s="1418"/>
      <c r="AB53" s="1418"/>
      <c r="AC53" s="1418"/>
      <c r="AD53" s="1418"/>
      <c r="AE53" s="1418"/>
      <c r="AF53" s="1418"/>
      <c r="AG53" s="1418"/>
      <c r="AH53" s="1418"/>
      <c r="AI53" s="1418"/>
      <c r="AJ53" s="1418"/>
      <c r="AK53" s="1418"/>
      <c r="AL53" s="1418"/>
      <c r="AM53" s="1419"/>
      <c r="AO53" s="506"/>
      <c r="AP53" s="506" t="str">
        <f>IF(T53="","",T53)</f>
        <v/>
      </c>
      <c r="AQ53" s="506"/>
      <c r="AR53" s="506"/>
    </row>
    <row s="3273" customFormat="1" customHeight="1" ht="0.75">
      <c r="A54" s="1373" t="s">
        <v>169</v>
      </c>
      <c r="B54" s="1373" t="s">
        <v>170</v>
      </c>
      <c r="C54" s="1373" t="s">
        <v>171</v>
      </c>
      <c r="D54" s="1344"/>
      <c r="E54" s="2108"/>
      <c r="F54" s="2108"/>
      <c r="G54" s="2107"/>
      <c r="H54" s="1344"/>
      <c r="I54" s="1344"/>
      <c r="J54" s="1344"/>
      <c r="K54" s="1344"/>
      <c r="L54" s="1369"/>
      <c r="M54" s="1345"/>
      <c r="N54" s="1345"/>
      <c r="P54" s="1346"/>
      <c r="Q54" s="1347"/>
      <c r="R54" s="1346"/>
      <c r="S54" s="1352"/>
      <c r="T54" s="1355" t="s">
        <v>181</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273" customFormat="1" customHeight="1" ht="0.75">
      <c r="A55" s="1373" t="s">
        <v>169</v>
      </c>
      <c r="B55" s="1373" t="s">
        <v>170</v>
      </c>
      <c r="C55" s="1344"/>
      <c r="D55" s="1344"/>
      <c r="E55" s="2108"/>
      <c r="F55" s="2107"/>
      <c r="G55" s="1344"/>
      <c r="H55" s="1344"/>
      <c r="I55" s="1344"/>
      <c r="J55" s="1344"/>
      <c r="K55" s="1344"/>
      <c r="L55" s="1369"/>
      <c r="M55" s="1351"/>
      <c r="N55" s="1351"/>
      <c r="P55" s="1346"/>
      <c r="Q55" s="1347"/>
      <c r="R55" s="1346"/>
      <c r="S55" s="1352"/>
      <c r="T55" s="1355" t="s">
        <v>182</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1" customFormat="1" customHeight="1" ht="0.75">
      <c r="A56" s="1373" t="s">
        <v>169</v>
      </c>
      <c r="B56" s="1373"/>
      <c r="C56" s="1373"/>
      <c r="D56" s="1373"/>
      <c r="E56" s="2107"/>
      <c r="F56" s="1373"/>
      <c r="G56" s="1373"/>
      <c r="H56" s="1373"/>
      <c r="I56" s="1373"/>
      <c r="J56" s="1373"/>
      <c r="K56" s="1373"/>
      <c r="L56" s="1376"/>
      <c r="M56" s="1351"/>
      <c r="N56" s="1351"/>
      <c r="O56" s="524"/>
      <c r="P56" s="385"/>
      <c r="Q56" s="1374"/>
      <c r="R56" s="385"/>
      <c r="S56" s="1352"/>
      <c r="T56" s="1355" t="s">
        <v>183</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273" customFormat="1" customHeight="1" ht="0.75">
      <c r="A57" s="1344"/>
      <c r="B57" s="1344"/>
      <c r="C57" s="1344"/>
      <c r="D57" s="1344"/>
      <c r="E57" s="1373"/>
      <c r="F57" s="1344"/>
      <c r="G57" s="1344"/>
      <c r="H57" s="1344"/>
      <c r="I57" s="1344"/>
      <c r="J57" s="1344"/>
      <c r="K57" s="1344"/>
      <c r="L57" s="1369"/>
      <c r="M57" s="1351"/>
      <c r="N57" s="1351"/>
      <c r="P57" s="1346"/>
      <c r="Q57" s="1347"/>
      <c r="R57" s="1346"/>
      <c r="S57" s="1352"/>
      <c r="T57" s="1355" t="s">
        <v>184</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18.75">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27.75">
      <c r="O60" s="54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39.75">
      <c r="O61" s="543"/>
      <c r="T61" s="2106"/>
      <c r="U61" s="2106"/>
      <c r="V61" s="2106"/>
      <c r="W61" s="2106"/>
      <c r="X61" s="2106"/>
      <c r="Y61" s="2106"/>
      <c r="Z61" s="2106"/>
      <c r="AA61" s="2106"/>
      <c r="AB61" s="2106"/>
      <c r="AC61" s="2106"/>
      <c r="AD61" s="2106"/>
      <c r="AE61" s="2106"/>
      <c r="AF61" s="2106"/>
      <c r="AG61" s="2106"/>
      <c r="AH61" s="2106"/>
      <c r="AI61" s="2106"/>
      <c r="AJ61" s="2106"/>
      <c r="AK61" s="2106"/>
      <c r="AL61" s="2106"/>
      <c r="AM61" s="2106"/>
    </row>
    <row customHeight="1" ht="14.25">
      <c r="O62" s="543"/>
    </row>
    <row customHeight="1" ht="19.5">
      <c r="O63" s="543"/>
      <c r="S63" s="1273"/>
      <c r="T63" s="2150"/>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27.75">
      <c r="O64" s="543"/>
      <c r="T64" s="2106"/>
      <c r="U64" s="2106"/>
      <c r="V64" s="2106"/>
      <c r="W64" s="2106"/>
      <c r="X64" s="2106"/>
      <c r="Y64" s="2106"/>
      <c r="Z64" s="2106"/>
      <c r="AA64" s="2106"/>
      <c r="AB64" s="2106"/>
      <c r="AC64" s="2106"/>
      <c r="AD64" s="2106"/>
      <c r="AE64" s="2106"/>
      <c r="AF64" s="2106"/>
      <c r="AG64" s="2106"/>
      <c r="AH64" s="2106"/>
      <c r="AI64" s="2106"/>
      <c r="AJ64" s="2106"/>
      <c r="AK64" s="2106"/>
      <c r="AL64" s="2106"/>
      <c r="AM64" s="2106"/>
    </row>
    <row customHeight="1" ht="33.75">
      <c r="T65" s="2106"/>
      <c r="U65" s="2106"/>
      <c r="V65" s="2106"/>
      <c r="W65" s="2106"/>
      <c r="X65" s="2106"/>
      <c r="Y65" s="2106"/>
      <c r="Z65" s="2106"/>
      <c r="AA65" s="2106"/>
      <c r="AB65" s="2106"/>
      <c r="AC65" s="2106"/>
      <c r="AD65" s="2106"/>
      <c r="AE65" s="2106"/>
      <c r="AF65" s="2106"/>
      <c r="AG65" s="2106"/>
      <c r="AH65" s="2106"/>
      <c r="AI65" s="2106"/>
      <c r="AJ65" s="2106"/>
      <c r="AK65" s="2106"/>
      <c r="AL65" s="2106"/>
      <c r="AM65" s="2106"/>
    </row>
  </sheetData>
  <sheetProtection formatColumns="0" formatRows="0" autoFilter="0" sort="0" insertRows="0" insertColumns="1" deleteRows="0" deleteColumns="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679307A-B7CF-B4BA-7234-226ADB6434C6}"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3292" width="10.57421875" hidden="1"/>
    <col min="2" max="2" style="3292" width="11.00390625" hidden="1" customWidth="1"/>
    <col min="3" max="3" style="3292" width="10.57421875" hidden="1"/>
    <col min="4" max="4" style="3292" width="11.8515625" hidden="1" customWidth="1"/>
    <col min="5" max="5" style="3292" width="10.00390625" hidden="1" customWidth="1"/>
    <col min="6" max="6" style="3292" width="8.7109375" hidden="1" customWidth="1"/>
    <col min="7" max="7" style="3292" width="7.57421875" hidden="1" customWidth="1"/>
    <col min="8" max="8" style="3292" width="11.421875" hidden="1" customWidth="1"/>
    <col min="9" max="9" style="3292" width="12.00390625" hidden="1" customWidth="1"/>
    <col min="10" max="10" style="3292" width="9.8515625" hidden="1" customWidth="1"/>
    <col min="11" max="11" style="3292" width="11.421875" hidden="1" customWidth="1"/>
    <col min="12" max="12" style="3293" width="19.140625" hidden="1" customWidth="1"/>
    <col min="13" max="14" style="3294" width="12.28125" hidden="1" customWidth="1"/>
    <col min="15" max="15" style="3294" width="23.421875" hidden="1" customWidth="1"/>
    <col min="16" max="16" style="3315" width="3.7109375" hidden="1" customWidth="1"/>
    <col min="17" max="18" style="3371" width="3.7109375" customWidth="1"/>
    <col min="19" max="19" style="3372" width="12.7109375" customWidth="1"/>
    <col min="20" max="20" style="2939" width="32.00390625" customWidth="1"/>
    <col min="21" max="21" style="2939" width="0.140625" customWidth="1"/>
    <col min="22" max="22" style="2939" width="24.7109375" hidden="1" customWidth="1"/>
    <col min="23" max="23" style="2939" width="0.140625" hidden="1" customWidth="1"/>
    <col min="24" max="25" style="2939" width="24.7109375" hidden="1" customWidth="1"/>
    <col min="26" max="26" style="2939" width="11.7109375" hidden="1" customWidth="1"/>
    <col min="27" max="27" style="2939" width="3.7109375" hidden="1" customWidth="1"/>
    <col min="28" max="28" style="2939" width="11.7109375" hidden="1" customWidth="1"/>
    <col min="29" max="29" style="2939" width="8.57421875" hidden="1" customWidth="1"/>
    <col min="30" max="30" style="2939" width="24.7109375" customWidth="1"/>
    <col min="31" max="31" style="2939" width="0.140625" customWidth="1"/>
    <col min="32" max="33" style="2939" width="24.7109375" customWidth="1"/>
    <col min="34" max="34" style="2939" width="11.7109375" customWidth="1"/>
    <col min="35" max="35" style="2939" width="3.7109375" customWidth="1"/>
    <col min="36" max="36" style="2939" width="11.7109375" customWidth="1"/>
    <col min="37" max="37" style="2939" width="8.57421875" hidden="1" customWidth="1"/>
    <col min="38" max="38" style="2939" width="4.7109375" customWidth="1"/>
    <col min="39" max="39" style="2939" width="115.7109375" customWidth="1"/>
    <col min="40" max="41" style="2611" width="10.57421875"/>
    <col min="42" max="42" style="2611" width="11.140625" customWidth="1"/>
    <col min="43" max="44" style="2611" width="10.57421875"/>
  </cols>
  <sheetData>
    <row customHeight="1" ht="14.25" hidden="1">
      <c r="A1" s="1914"/>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66">
        <f>INDEX(PT_DIFFERENTIATION_NUM_NTAR,MATCH(A2,PT_DIFFERENTIATION_NTAR_ID,0))</f>
      </c>
      <c r="T2" s="286" t="s">
        <v>124</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391</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62"/>
      <c r="Q3" s="348"/>
      <c r="R3" s="349"/>
      <c r="S3" s="1366">
        <f>INDEX(PT_DIFFERENTIATION_NUM_TER,MATCH(B3,PT_DIFFERENTIATION_TER_ID,0))</f>
      </c>
      <c r="T3" s="298" t="s">
        <v>392</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393</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66">
        <f>INDEX(PT_DIFFERENTIATION_NUM_CS,MATCH(C4,PT_DIFFERENTIATION_CS_ID,0))</f>
      </c>
      <c r="T4" s="299" t="s">
        <v>394</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395</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66">
        <f>INDEX(PT_DIFFERENTIATION_NUM_IST_TE,MATCH(D5,PT_DIFFERENTIATION_IST_TE_ID,0))</f>
      </c>
      <c r="T5" s="300" t="s">
        <v>396</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397</v>
      </c>
      <c r="AO5" s="506"/>
      <c r="AP5" s="506" t="str">
        <f>IF(T5="","",T5)</f>
        <v>Источник тепловой энергии  </v>
      </c>
      <c r="AQ5" s="506"/>
      <c r="AR5" s="506"/>
    </row>
    <row customHeight="1" ht="14.25" hidden="1">
      <c r="A6" s="1393"/>
      <c r="B6" s="1393"/>
      <c r="C6" s="1393"/>
      <c r="D6" s="1393"/>
      <c r="E6" s="2108"/>
      <c r="F6" s="2108"/>
      <c r="G6" s="2108"/>
      <c r="H6" s="2108"/>
      <c r="I6" s="2109">
        <f>S5&amp;".1"</f>
      </c>
      <c r="J6" s="1393"/>
      <c r="K6" s="1393"/>
      <c r="L6" s="1394" t="s">
        <v>398</v>
      </c>
      <c r="M6" s="543"/>
      <c r="P6" s="2111">
        <v>1</v>
      </c>
      <c r="Q6" s="1361"/>
      <c r="R6" s="352"/>
      <c r="S6" s="1049"/>
      <c r="T6" s="1413"/>
      <c r="U6" s="1414"/>
      <c r="V6" s="2147"/>
      <c r="W6" s="2148"/>
      <c r="X6" s="2148"/>
      <c r="Y6" s="2148"/>
      <c r="Z6" s="2148"/>
      <c r="AA6" s="2148"/>
      <c r="AB6" s="2148"/>
      <c r="AC6" s="2149"/>
      <c r="AD6" s="2147"/>
      <c r="AE6" s="2148"/>
      <c r="AF6" s="2148"/>
      <c r="AG6" s="2148"/>
      <c r="AH6" s="2148"/>
      <c r="AI6" s="2148"/>
      <c r="AJ6" s="2148"/>
      <c r="AK6" s="2148"/>
      <c r="AL6" s="2149"/>
      <c r="AM6" s="1415"/>
      <c r="AO6" s="506"/>
      <c r="AP6" s="506" t="str">
        <f>IF(T6="","",T6)</f>
        <v/>
      </c>
      <c r="AQ6" s="506"/>
      <c r="AR6" s="506"/>
    </row>
    <row customHeight="1" ht="21" hidden="1">
      <c r="A7" s="1393"/>
      <c r="B7" s="1393"/>
      <c r="C7" s="1393"/>
      <c r="D7" s="1393"/>
      <c r="E7" s="2108"/>
      <c r="F7" s="2108"/>
      <c r="G7" s="2108"/>
      <c r="H7" s="2108"/>
      <c r="I7" s="2110"/>
      <c r="J7" s="2109">
        <f>I6&amp;".1"</f>
      </c>
      <c r="K7" s="1393"/>
      <c r="L7" s="1394" t="s">
        <v>401</v>
      </c>
      <c r="M7" s="543"/>
      <c r="N7" s="1396"/>
      <c r="P7" s="2111"/>
      <c r="Q7" s="2111">
        <v>1</v>
      </c>
      <c r="R7" s="353"/>
      <c r="S7" s="1366">
        <f>$J7</f>
      </c>
      <c r="T7" s="274" t="s">
        <v>402</v>
      </c>
      <c r="U7" s="288"/>
      <c r="V7" s="2095"/>
      <c r="W7" s="2096"/>
      <c r="X7" s="2096"/>
      <c r="Y7" s="2096"/>
      <c r="Z7" s="2096"/>
      <c r="AA7" s="2096"/>
      <c r="AB7" s="2096"/>
      <c r="AC7" s="2097"/>
      <c r="AD7" s="2095"/>
      <c r="AE7" s="2096"/>
      <c r="AF7" s="2096"/>
      <c r="AG7" s="2096"/>
      <c r="AH7" s="2096"/>
      <c r="AI7" s="2096"/>
      <c r="AJ7" s="2096"/>
      <c r="AK7" s="2096"/>
      <c r="AL7" s="2097"/>
      <c r="AM7" s="1286" t="s">
        <v>403</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404</v>
      </c>
      <c r="M8" s="543"/>
      <c r="N8" s="1396"/>
      <c r="O8" s="1396"/>
      <c r="P8" s="2111"/>
      <c r="Q8" s="2111"/>
      <c r="R8" s="353">
        <v>1</v>
      </c>
      <c r="S8" s="1366">
        <f>$K8</f>
      </c>
      <c r="T8" s="1377"/>
      <c r="U8" s="288"/>
      <c r="V8" s="757"/>
      <c r="W8" s="320"/>
      <c r="X8" s="757"/>
      <c r="Y8" s="1285"/>
      <c r="Z8" s="2112"/>
      <c r="AA8" s="1981" t="s">
        <v>62</v>
      </c>
      <c r="AB8" s="2112"/>
      <c r="AC8" s="1981" t="s">
        <v>62</v>
      </c>
      <c r="AD8" s="757"/>
      <c r="AE8" s="320"/>
      <c r="AF8" s="757"/>
      <c r="AG8" s="1285"/>
      <c r="AH8" s="2112"/>
      <c r="AI8" s="1981" t="s">
        <v>62</v>
      </c>
      <c r="AJ8" s="2112"/>
      <c r="AK8" s="1981" t="s">
        <v>62</v>
      </c>
      <c r="AL8" s="320"/>
      <c r="AM8" s="2137" t="s">
        <v>405</v>
      </c>
      <c r="AN8" s="517">
        <f>STRCHECKDATE(V9:AL9)</f>
      </c>
      <c r="AO8" s="506"/>
      <c r="AP8" s="506" t="str">
        <f>IF(T8="","",T8)</f>
        <v/>
      </c>
      <c r="AQ8" s="506"/>
      <c r="AR8" s="506"/>
    </row>
    <row customHeight="1" ht="14.25" hidden="1">
      <c r="A9" s="1393"/>
      <c r="B9" s="1393"/>
      <c r="C9" s="1393"/>
      <c r="D9" s="1393"/>
      <c r="E9" s="2108"/>
      <c r="F9" s="2108"/>
      <c r="G9" s="2108"/>
      <c r="H9" s="2108"/>
      <c r="I9" s="2110"/>
      <c r="J9" s="2110"/>
      <c r="K9" s="2109"/>
      <c r="L9" s="1394"/>
      <c r="M9" s="543"/>
      <c r="N9" s="1396"/>
      <c r="O9" s="1396"/>
      <c r="P9" s="2111"/>
      <c r="Q9" s="2111"/>
      <c r="R9" s="353"/>
      <c r="S9" s="1372"/>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5" t="s">
        <v>406</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1.25" hidden="1">
      <c r="A11" s="1393"/>
      <c r="B11" s="1393"/>
      <c r="C11" s="1393"/>
      <c r="D11" s="1393"/>
      <c r="E11" s="2108"/>
      <c r="F11" s="2108"/>
      <c r="G11" s="2108"/>
      <c r="H11" s="2108"/>
      <c r="I11" s="2109"/>
      <c r="J11" s="1393"/>
      <c r="K11" s="1393"/>
      <c r="L11" s="1394"/>
      <c r="M11" s="543"/>
      <c r="P11" s="2111"/>
      <c r="Q11" s="1361"/>
      <c r="R11" s="352"/>
      <c r="S11" s="1308"/>
      <c r="T11" s="364" t="s">
        <v>407</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416"/>
      <c r="T12" s="1417"/>
      <c r="U12" s="1418"/>
      <c r="V12" s="1418"/>
      <c r="W12" s="1418"/>
      <c r="X12" s="1418"/>
      <c r="Y12" s="1418"/>
      <c r="Z12" s="1418"/>
      <c r="AA12" s="1418"/>
      <c r="AB12" s="1418"/>
      <c r="AC12" s="1418"/>
      <c r="AD12" s="1418"/>
      <c r="AE12" s="1418"/>
      <c r="AF12" s="1418"/>
      <c r="AG12" s="1418"/>
      <c r="AH12" s="1418"/>
      <c r="AI12" s="1418"/>
      <c r="AJ12" s="1418"/>
      <c r="AK12" s="1418"/>
      <c r="AL12" s="1418"/>
      <c r="AM12" s="1419"/>
      <c r="AO12" s="506"/>
      <c r="AP12" s="506" t="str">
        <f>IF(T12="","",T12)</f>
        <v/>
      </c>
      <c r="AQ12" s="506"/>
      <c r="AR12" s="506"/>
    </row>
    <row s="3273" customFormat="1" customHeight="1" ht="14.25" hidden="1">
      <c r="A13" s="1344"/>
      <c r="B13" s="1344"/>
      <c r="C13" s="1344"/>
      <c r="D13" s="1344"/>
      <c r="E13" s="2108"/>
      <c r="F13" s="2108"/>
      <c r="G13" s="2107"/>
      <c r="H13" s="1344"/>
      <c r="I13" s="1344"/>
      <c r="J13" s="1344"/>
      <c r="K13" s="1344"/>
      <c r="L13" s="1369"/>
      <c r="M13" s="1345"/>
      <c r="N13" s="1345"/>
      <c r="P13" s="1346"/>
      <c r="Q13" s="1347"/>
      <c r="R13" s="1346"/>
      <c r="S13" s="1348"/>
      <c r="T13" s="1349" t="s">
        <v>181</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273" customFormat="1" customHeight="1" ht="14.25" hidden="1">
      <c r="A14" s="1344"/>
      <c r="B14" s="1344"/>
      <c r="C14" s="1344"/>
      <c r="D14" s="1344"/>
      <c r="E14" s="2108"/>
      <c r="F14" s="2107"/>
      <c r="G14" s="1344"/>
      <c r="H14" s="1344"/>
      <c r="I14" s="1344"/>
      <c r="J14" s="1344"/>
      <c r="K14" s="1344"/>
      <c r="L14" s="1369"/>
      <c r="M14" s="1351"/>
      <c r="N14" s="1351"/>
      <c r="P14" s="1346"/>
      <c r="Q14" s="1347"/>
      <c r="R14" s="1346"/>
      <c r="S14" s="1352"/>
      <c r="T14" s="1353" t="s">
        <v>182</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273" customFormat="1" customHeight="1" ht="14.25" hidden="1">
      <c r="A15" s="1344"/>
      <c r="B15" s="1344"/>
      <c r="C15" s="1344"/>
      <c r="D15" s="1344"/>
      <c r="E15" s="2107"/>
      <c r="F15" s="1344"/>
      <c r="G15" s="1344"/>
      <c r="H15" s="1344"/>
      <c r="I15" s="1344"/>
      <c r="J15" s="1344"/>
      <c r="K15" s="1344"/>
      <c r="L15" s="1369"/>
      <c r="M15" s="1351"/>
      <c r="N15" s="1351"/>
      <c r="P15" s="1346"/>
      <c r="Q15" s="1347"/>
      <c r="R15" s="1346"/>
      <c r="S15" s="1352"/>
      <c r="T15" s="1355" t="s">
        <v>183</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AD17" s="1390"/>
      <c r="AE17" s="1390"/>
      <c r="AF17" s="1390"/>
      <c r="AG17" s="1391"/>
      <c r="AH17" s="2105"/>
      <c r="AI17" s="2104" t="s">
        <v>62</v>
      </c>
      <c r="AJ17" s="2105"/>
      <c r="AK17" s="2104" t="s">
        <v>62</v>
      </c>
    </row>
    <row customHeight="1" ht="14.25" hidden="1">
      <c r="AD18" s="1390"/>
      <c r="AE18" s="1390"/>
      <c r="AF18" s="1390"/>
      <c r="AG18" s="324" t="str">
        <f>AH17&amp;"-"&amp;AJ17</f>
        <v>-</v>
      </c>
      <c r="AH18" s="2104"/>
      <c r="AI18" s="2104"/>
      <c r="AJ18" s="2104"/>
      <c r="AK18" s="2104"/>
    </row>
    <row customHeight="1" ht="14.25" hidden="1">
      <c r="AK19" s="323"/>
    </row>
    <row s="3292" customFormat="1" customHeight="1" ht="22.5" hidden="1">
      <c r="L20" s="1359"/>
      <c r="M20" s="1392"/>
      <c r="N20" s="1392"/>
      <c r="O20" s="1397" t="s">
        <v>409</v>
      </c>
      <c r="P20" s="1392"/>
      <c r="Q20" s="1401"/>
      <c r="R20" s="1401"/>
      <c r="S20" s="735"/>
      <c r="Z20" s="1397"/>
      <c r="AB20" s="1397"/>
      <c r="AC20" s="1396"/>
      <c r="AH20" s="1397"/>
      <c r="AJ20" s="1397"/>
      <c r="AK20" s="1396"/>
      <c r="AN20" s="517"/>
      <c r="AO20" s="517"/>
      <c r="AP20" s="517"/>
      <c r="AQ20" s="517"/>
      <c r="AR20" s="517"/>
    </row>
    <row s="3292" customFormat="1" customHeight="1" ht="14.25" hidden="1">
      <c r="L21" s="1359"/>
      <c r="M21" s="1392"/>
      <c r="N21" s="1392"/>
      <c r="O21" s="1392"/>
      <c r="P21" s="1392"/>
      <c r="Q21" s="1401"/>
      <c r="R21" s="1401"/>
      <c r="S21" s="735"/>
      <c r="AC21" s="1396"/>
      <c r="AK21" s="1396"/>
      <c r="AN21" s="517"/>
      <c r="AO21" s="517"/>
      <c r="AP21" s="517"/>
      <c r="AQ21" s="517"/>
      <c r="AR21" s="517"/>
    </row>
    <row s="3292" customFormat="1" customHeight="1" ht="14.25" hidden="1">
      <c r="L22" s="1359"/>
      <c r="M22" s="1392"/>
      <c r="N22" s="1392"/>
      <c r="O22" s="1394" t="s">
        <v>410</v>
      </c>
      <c r="P22" s="1392"/>
      <c r="Q22" s="1401"/>
      <c r="R22" s="1401"/>
      <c r="S22" s="735"/>
      <c r="T22" s="1168" t="s">
        <v>411</v>
      </c>
      <c r="AA22" s="172" t="s">
        <v>412</v>
      </c>
      <c r="AC22" s="172" t="s">
        <v>413</v>
      </c>
      <c r="AD22" s="1168" t="s">
        <v>411</v>
      </c>
      <c r="AI22" s="172" t="s">
        <v>414</v>
      </c>
      <c r="AK22" s="172" t="s">
        <v>413</v>
      </c>
      <c r="AN22" s="517"/>
      <c r="AO22" s="517"/>
      <c r="AP22" s="517"/>
      <c r="AQ22" s="517"/>
      <c r="AR22" s="517"/>
    </row>
    <row customHeight="1" ht="14.25" hidden="1">
      <c r="O23" s="1394"/>
    </row>
    <row customHeight="1" ht="14.25" hidden="1">
      <c r="O24" s="1394"/>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51.75">
      <c r="Q26" s="377"/>
      <c r="R26" s="377"/>
      <c r="S26" s="2151"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51"/>
      <c r="U26" s="2151"/>
      <c r="V26" s="2151"/>
      <c r="W26" s="2151"/>
      <c r="X26" s="2151"/>
      <c r="Y26" s="2151"/>
      <c r="Z26" s="2151"/>
      <c r="AA26" s="2151"/>
      <c r="AB26" s="2151"/>
      <c r="AC26" s="2151"/>
      <c r="AD26" s="2151"/>
      <c r="AE26" s="2151"/>
      <c r="AF26" s="2151"/>
      <c r="AG26" s="2151"/>
      <c r="AH26" s="2151"/>
      <c r="AI26" s="2151"/>
      <c r="AJ26" s="2151"/>
      <c r="AK26" s="1261"/>
    </row>
    <row customHeight="1" ht="14.25">
      <c r="Q27" s="377"/>
      <c r="R27" s="377"/>
      <c r="S27" s="2141" t="str">
        <f>IF(org=0,"Не определено",org)</f>
        <v>ЗАО "Байкалэнерго"</v>
      </c>
      <c r="T27" s="2141"/>
      <c r="U27" s="2141"/>
      <c r="V27" s="2141"/>
      <c r="W27" s="2141"/>
      <c r="X27" s="2141"/>
      <c r="Y27" s="2141"/>
      <c r="Z27" s="2141"/>
      <c r="AA27" s="2141"/>
      <c r="AB27" s="2141"/>
      <c r="AC27" s="2141"/>
      <c r="AD27" s="2141"/>
      <c r="AE27" s="2141"/>
      <c r="AF27" s="2141"/>
      <c r="AG27" s="2141"/>
      <c r="AH27" s="2141"/>
      <c r="AI27" s="2141"/>
      <c r="AJ27" s="2141"/>
      <c r="AK27" s="1261"/>
    </row>
    <row customHeight="1" ht="14.25">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305" customFormat="1" customHeight="1" ht="25.5">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Служба по тарифам Иркутской области</v>
      </c>
      <c r="W29" s="2100"/>
      <c r="X29" s="2100"/>
      <c r="Y29" s="2100"/>
      <c r="Z29" s="2100"/>
      <c r="AA29" s="2100"/>
      <c r="AB29" s="2100"/>
      <c r="AC29" s="322"/>
      <c r="AD29" s="2100" t="str">
        <f>IF(TITLE_NAME_OR_PR_CHANGE="",IF(TITLE_NAME_OR_PR="","",TITLE_NAME_OR_PR),TITLE_NAME_OR_PR_CHANGE)</f>
        <v>Служба по тарифам Иркутской области</v>
      </c>
      <c r="AE29" s="2100"/>
      <c r="AF29" s="2100"/>
      <c r="AG29" s="2100"/>
      <c r="AH29" s="2100"/>
      <c r="AI29" s="2100"/>
      <c r="AJ29" s="2100"/>
      <c r="AK29" s="322"/>
      <c r="AL29" s="322"/>
      <c r="AM29" s="268"/>
      <c r="AN29" s="368"/>
      <c r="AO29" s="368"/>
      <c r="AP29" s="368"/>
      <c r="AQ29" s="368"/>
      <c r="AR29" s="368"/>
    </row>
    <row s="3305" customFormat="1" customHeight="1" ht="18.75">
      <c r="A30" s="1398"/>
      <c r="B30" s="1398"/>
      <c r="C30" s="1398"/>
      <c r="D30" s="1398"/>
      <c r="E30" s="1398"/>
      <c r="F30" s="1398"/>
      <c r="G30" s="1398"/>
      <c r="H30" s="1398"/>
      <c r="I30" s="1398"/>
      <c r="J30" s="1398"/>
      <c r="K30" s="1398"/>
      <c r="L30" s="1399"/>
      <c r="M30" s="1398"/>
      <c r="N30" s="1398"/>
      <c r="O30" s="1398"/>
      <c r="S30" s="2098" t="s">
        <v>415</v>
      </c>
      <c r="T30" s="2098"/>
      <c r="U30" s="1402"/>
      <c r="V30" s="2099" t="str">
        <f>IF(TITLE_DATE_PR_CHANGE="",IF(TITLE_DATE_PR="","",TITLE_DATE_PR),TITLE_DATE_PR_CHANGE)</f>
        <v>45280.56123842593</v>
      </c>
      <c r="W30" s="2099"/>
      <c r="X30" s="2099"/>
      <c r="Y30" s="2099"/>
      <c r="Z30" s="2099"/>
      <c r="AA30" s="2099"/>
      <c r="AB30" s="2099"/>
      <c r="AC30" s="322"/>
      <c r="AD30" s="2099" t="str">
        <f>IF(TITLE_DATE_PR_CHANGE="",IF(TITLE_DATE_PR="","",TITLE_DATE_PR),TITLE_DATE_PR_CHANGE)</f>
        <v>45280.56123842593</v>
      </c>
      <c r="AE30" s="2099"/>
      <c r="AF30" s="2099"/>
      <c r="AG30" s="2099"/>
      <c r="AH30" s="2099"/>
      <c r="AI30" s="2099"/>
      <c r="AJ30" s="2099"/>
      <c r="AK30" s="322"/>
      <c r="AL30" s="322"/>
      <c r="AM30" s="268"/>
      <c r="AN30" s="368"/>
      <c r="AO30" s="368"/>
      <c r="AP30" s="368"/>
      <c r="AQ30" s="368"/>
      <c r="AR30" s="368"/>
    </row>
    <row s="3305" customFormat="1" customHeight="1" ht="18.75">
      <c r="A31" s="1398"/>
      <c r="B31" s="1398"/>
      <c r="C31" s="1398"/>
      <c r="D31" s="1398"/>
      <c r="E31" s="1398"/>
      <c r="F31" s="1398"/>
      <c r="G31" s="1398"/>
      <c r="H31" s="1398"/>
      <c r="I31" s="1398"/>
      <c r="J31" s="1398"/>
      <c r="K31" s="1398"/>
      <c r="L31" s="1399"/>
      <c r="M31" s="1398"/>
      <c r="N31" s="1398"/>
      <c r="O31" s="1398"/>
      <c r="S31" s="2098" t="s">
        <v>416</v>
      </c>
      <c r="T31" s="2098"/>
      <c r="U31" s="1402"/>
      <c r="V31" s="2100" t="str">
        <f>IF(TITLE_NUMBER_PR_CHANGE="",IF(TITLE_NUMBER_PR="","",TITLE_NUMBER_PR),TITLE_NUMBER_PR_CHANGE)</f>
        <v>79-477-спр</v>
      </c>
      <c r="W31" s="2100"/>
      <c r="X31" s="2100"/>
      <c r="Y31" s="2100"/>
      <c r="Z31" s="2100"/>
      <c r="AA31" s="2100"/>
      <c r="AB31" s="2100"/>
      <c r="AC31" s="322"/>
      <c r="AD31" s="2100" t="str">
        <f>IF(TITLE_NUMBER_PR_CHANGE="",IF(TITLE_NUMBER_PR="","",TITLE_NUMBER_PR),TITLE_NUMBER_PR_CHANGE)</f>
        <v>79-477-спр</v>
      </c>
      <c r="AE31" s="2100"/>
      <c r="AF31" s="2100"/>
      <c r="AG31" s="2100"/>
      <c r="AH31" s="2100"/>
      <c r="AI31" s="2100"/>
      <c r="AJ31" s="2100"/>
      <c r="AK31" s="322"/>
      <c r="AL31" s="322"/>
      <c r="AM31" s="268"/>
      <c r="AN31" s="368"/>
      <c r="AO31" s="368"/>
      <c r="AP31" s="368"/>
      <c r="AQ31" s="368"/>
      <c r="AR31" s="368"/>
    </row>
    <row s="3305" customFormat="1" customHeight="1" ht="18.75">
      <c r="A32" s="1398"/>
      <c r="B32" s="1398"/>
      <c r="C32" s="1398"/>
      <c r="D32" s="1398"/>
      <c r="E32" s="1398"/>
      <c r="F32" s="1398"/>
      <c r="G32" s="1398"/>
      <c r="H32" s="1398"/>
      <c r="I32" s="1398"/>
      <c r="J32" s="1398"/>
      <c r="K32" s="1398"/>
      <c r="L32" s="1399"/>
      <c r="M32" s="1398"/>
      <c r="N32" s="1398"/>
      <c r="O32" s="1398"/>
      <c r="S32" s="2098" t="s">
        <v>40</v>
      </c>
      <c r="T32" s="2098"/>
      <c r="U32" s="1402"/>
      <c r="V32" s="2100" t="str">
        <f>IF(TITLE_IST_PUB_CHANGE="",IF(TITLE_IST_PUB="","",TITLE_IST_PUB),TITLE_IST_PUB_CHANGE)</f>
        <v>Официальный сайт службы по тарифам Иркутской области http://irkobl.ru</v>
      </c>
      <c r="W32" s="2100"/>
      <c r="X32" s="2100"/>
      <c r="Y32" s="2100"/>
      <c r="Z32" s="2100"/>
      <c r="AA32" s="2100"/>
      <c r="AB32" s="2100"/>
      <c r="AC32" s="322"/>
      <c r="AD32" s="2100" t="str">
        <f>IF(TITLE_IST_PUB_CHANGE="",IF(TITLE_IST_PUB="","",TITLE_IST_PUB),TITLE_IST_PUB_CHANGE)</f>
        <v>Официальный сайт службы по тарифам Иркутской области http://irkobl.ru</v>
      </c>
      <c r="AE32" s="2100"/>
      <c r="AF32" s="2100"/>
      <c r="AG32" s="2100"/>
      <c r="AH32" s="2100"/>
      <c r="AI32" s="2100"/>
      <c r="AJ32" s="2100"/>
      <c r="AK32" s="322"/>
      <c r="AL32" s="322"/>
      <c r="AM32" s="268"/>
      <c r="AN32" s="368"/>
      <c r="AO32" s="368"/>
      <c r="AP32" s="368"/>
      <c r="AQ32" s="368"/>
      <c r="AR32" s="368"/>
    </row>
    <row customHeight="1" ht="14.25" hidden="1">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305" customFormat="1" customHeight="1" ht="18.75" hidden="1">
      <c r="A34" s="1398"/>
      <c r="B34" s="1398"/>
      <c r="C34" s="1398"/>
      <c r="D34" s="1398"/>
      <c r="E34" s="1398"/>
      <c r="F34" s="1398"/>
      <c r="G34" s="1398"/>
      <c r="H34" s="1398"/>
      <c r="I34" s="1398"/>
      <c r="J34" s="1398"/>
      <c r="K34" s="1398"/>
      <c r="L34" s="1399"/>
      <c r="M34" s="1398"/>
      <c r="N34" s="1398"/>
      <c r="O34" s="1398"/>
      <c r="S34" s="2098" t="s">
        <v>417</v>
      </c>
      <c r="T34" s="2098"/>
      <c r="U34" s="1402"/>
      <c r="V34" s="2099" t="str">
        <f>IF(TITLE_DATE_PR_CHANGE="",IF(TITLE_DATE_PR="","",TITLE_DATE_PR),TITLE_DATE_PR_CHANGE)</f>
        <v>45280.56123842593</v>
      </c>
      <c r="W34" s="2099"/>
      <c r="X34" s="2099"/>
      <c r="Y34" s="2099"/>
      <c r="Z34" s="2099"/>
      <c r="AA34" s="2099"/>
      <c r="AB34" s="2099"/>
      <c r="AC34" s="322"/>
      <c r="AD34" s="2099" t="str">
        <f>IF(TITLE_DATE_PR_CHANGE="",IF(TITLE_DATE_PR="","",TITLE_DATE_PR),TITLE_DATE_PR_CHANGE)</f>
        <v>45280.56123842593</v>
      </c>
      <c r="AE34" s="2099"/>
      <c r="AF34" s="2099"/>
      <c r="AG34" s="2099"/>
      <c r="AH34" s="2099"/>
      <c r="AI34" s="2099"/>
      <c r="AJ34" s="2099"/>
      <c r="AK34" s="322"/>
      <c r="AL34" s="322"/>
      <c r="AM34" s="268"/>
      <c r="AN34" s="368"/>
      <c r="AO34" s="368"/>
      <c r="AP34" s="368"/>
      <c r="AQ34" s="368"/>
      <c r="AR34" s="368"/>
    </row>
    <row s="3305" customFormat="1" customHeight="1" ht="18.75" hidden="1">
      <c r="A35" s="1398"/>
      <c r="B35" s="1398"/>
      <c r="C35" s="1398"/>
      <c r="D35" s="1398"/>
      <c r="E35" s="1398"/>
      <c r="F35" s="1398"/>
      <c r="G35" s="1398"/>
      <c r="H35" s="1398"/>
      <c r="I35" s="1398"/>
      <c r="J35" s="1398"/>
      <c r="K35" s="1398"/>
      <c r="L35" s="1399"/>
      <c r="M35" s="1398"/>
      <c r="N35" s="1398"/>
      <c r="O35" s="1398"/>
      <c r="S35" s="2098" t="s">
        <v>418</v>
      </c>
      <c r="T35" s="2098"/>
      <c r="U35" s="1402"/>
      <c r="V35" s="2100" t="str">
        <f>IF(TITLE_NUMBER_PR_CHANGE="",IF(TITLE_NUMBER_PR="","",TITLE_NUMBER_PR),TITLE_NUMBER_PR_CHANGE)</f>
        <v>79-477-спр</v>
      </c>
      <c r="W35" s="2100"/>
      <c r="X35" s="2100"/>
      <c r="Y35" s="2100"/>
      <c r="Z35" s="2100"/>
      <c r="AA35" s="2100"/>
      <c r="AB35" s="2100"/>
      <c r="AC35" s="322"/>
      <c r="AD35" s="2100" t="str">
        <f>IF(TITLE_NUMBER_PR_CHANGE="",IF(TITLE_NUMBER_PR="","",TITLE_NUMBER_PR),TITLE_NUMBER_PR_CHANGE)</f>
        <v>79-477-спр</v>
      </c>
      <c r="AE35" s="2100"/>
      <c r="AF35" s="2100"/>
      <c r="AG35" s="2100"/>
      <c r="AH35" s="2100"/>
      <c r="AI35" s="2100"/>
      <c r="AJ35" s="2100"/>
      <c r="AK35" s="322"/>
      <c r="AL35" s="322"/>
      <c r="AM35" s="268"/>
      <c r="AN35" s="368"/>
      <c r="AO35" s="368"/>
      <c r="AP35" s="368"/>
      <c r="AQ35" s="368"/>
      <c r="AR35" s="368"/>
    </row>
    <row s="3305" customFormat="1" customHeight="1" ht="0">
      <c r="A36" s="1398"/>
      <c r="B36" s="1398"/>
      <c r="C36" s="1398"/>
      <c r="D36" s="1398"/>
      <c r="E36" s="1398"/>
      <c r="F36" s="1398"/>
      <c r="G36" s="1398"/>
      <c r="H36" s="1398"/>
      <c r="I36" s="1398"/>
      <c r="J36" s="1398"/>
      <c r="K36" s="1398"/>
      <c r="L36" s="1399"/>
      <c r="M36" s="1398"/>
      <c r="N36" s="1398"/>
      <c r="O36" s="1398"/>
      <c r="S36" s="318"/>
      <c r="T36" s="318"/>
      <c r="U36" s="1370"/>
      <c r="V36" s="322"/>
      <c r="W36" s="322"/>
      <c r="X36" s="322"/>
      <c r="Y36" s="322"/>
      <c r="Z36" s="322"/>
      <c r="AA36" s="322"/>
      <c r="AB36" s="322"/>
      <c r="AC36" s="266" t="s">
        <v>419</v>
      </c>
      <c r="AD36" s="322"/>
      <c r="AE36" s="322"/>
      <c r="AF36" s="322"/>
      <c r="AG36" s="322"/>
      <c r="AH36" s="322"/>
      <c r="AI36" s="322"/>
      <c r="AJ36" s="322"/>
      <c r="AK36" s="266" t="s">
        <v>419</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293</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294</v>
      </c>
    </row>
    <row customHeight="1" ht="14.25">
      <c r="Q39" s="377"/>
      <c r="R39" s="377"/>
      <c r="S39" s="2125" t="s">
        <v>88</v>
      </c>
      <c r="T39" s="2062" t="s">
        <v>420</v>
      </c>
      <c r="U39" s="289"/>
      <c r="V39" s="2126" t="s">
        <v>421</v>
      </c>
      <c r="W39" s="2127"/>
      <c r="X39" s="2127"/>
      <c r="Y39" s="2127"/>
      <c r="Z39" s="2127"/>
      <c r="AA39" s="2127"/>
      <c r="AB39" s="2128"/>
      <c r="AC39" s="2129" t="s">
        <v>422</v>
      </c>
      <c r="AD39" s="2126" t="s">
        <v>421</v>
      </c>
      <c r="AE39" s="2127"/>
      <c r="AF39" s="2127"/>
      <c r="AG39" s="2127"/>
      <c r="AH39" s="2127"/>
      <c r="AI39" s="2127"/>
      <c r="AJ39" s="2128"/>
      <c r="AK39" s="2129" t="s">
        <v>423</v>
      </c>
      <c r="AL39" s="2132" t="s">
        <v>424</v>
      </c>
      <c r="AM39" s="1971"/>
    </row>
    <row customHeight="1" ht="33.75">
      <c r="Q40" s="377"/>
      <c r="R40" s="377"/>
      <c r="S40" s="2125"/>
      <c r="T40" s="2062"/>
      <c r="U40" s="1038"/>
      <c r="V40" s="2135" t="s">
        <v>425</v>
      </c>
      <c r="W40" s="2116"/>
      <c r="X40" s="2118" t="s">
        <v>427</v>
      </c>
      <c r="Y40" s="2120"/>
      <c r="Z40" s="2118" t="s">
        <v>428</v>
      </c>
      <c r="AA40" s="2119"/>
      <c r="AB40" s="2120"/>
      <c r="AC40" s="2130"/>
      <c r="AD40" s="2135" t="s">
        <v>425</v>
      </c>
      <c r="AE40" s="2116"/>
      <c r="AF40" s="2118" t="s">
        <v>427</v>
      </c>
      <c r="AG40" s="2120"/>
      <c r="AH40" s="2118" t="s">
        <v>428</v>
      </c>
      <c r="AI40" s="2119"/>
      <c r="AJ40" s="2120"/>
      <c r="AK40" s="2130"/>
      <c r="AL40" s="2133"/>
      <c r="AM40" s="1971"/>
    </row>
    <row customHeight="1" ht="33.75">
      <c r="A41" s="1400"/>
      <c r="B41" s="1400" t="s">
        <v>136</v>
      </c>
      <c r="C41" s="1400" t="s">
        <v>137</v>
      </c>
      <c r="D41" s="1400" t="s">
        <v>138</v>
      </c>
      <c r="E41" s="1394" t="s">
        <v>429</v>
      </c>
      <c r="F41" s="1394" t="s">
        <v>430</v>
      </c>
      <c r="G41" s="1394" t="s">
        <v>431</v>
      </c>
      <c r="H41" s="1394" t="s">
        <v>432</v>
      </c>
      <c r="I41" s="1394" t="s">
        <v>433</v>
      </c>
      <c r="J41" s="1394" t="s">
        <v>434</v>
      </c>
      <c r="K41" s="1394" t="s">
        <v>435</v>
      </c>
      <c r="L41" s="1394" t="s">
        <v>410</v>
      </c>
      <c r="Q41" s="377"/>
      <c r="R41" s="377"/>
      <c r="S41" s="2125"/>
      <c r="T41" s="2062"/>
      <c r="U41" s="290"/>
      <c r="V41" s="2136"/>
      <c r="W41" s="2117"/>
      <c r="X41" s="1237" t="s">
        <v>436</v>
      </c>
      <c r="Y41" s="1237" t="s">
        <v>437</v>
      </c>
      <c r="Z41" s="1368" t="s">
        <v>438</v>
      </c>
      <c r="AA41" s="2121" t="s">
        <v>439</v>
      </c>
      <c r="AB41" s="2122"/>
      <c r="AC41" s="2131"/>
      <c r="AD41" s="2136"/>
      <c r="AE41" s="2117"/>
      <c r="AF41" s="1237" t="s">
        <v>436</v>
      </c>
      <c r="AG41" s="1237" t="s">
        <v>437</v>
      </c>
      <c r="AH41" s="1368" t="s">
        <v>438</v>
      </c>
      <c r="AI41" s="2121" t="s">
        <v>439</v>
      </c>
      <c r="AJ41" s="2122"/>
      <c r="AK41" s="2131"/>
      <c r="AL41" s="2134"/>
      <c r="AM41" s="1971"/>
    </row>
    <row s="2610"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110</v>
      </c>
      <c r="T42" s="1281" t="s">
        <v>111</v>
      </c>
      <c r="U42" s="1263" t="str">
        <f>OFFSET(U42,0,-1)</f>
        <v>2</v>
      </c>
      <c r="V42" s="1365">
        <f>OFFSET(V42,0,-1)+1</f>
        <v>3</v>
      </c>
      <c r="W42" s="1365"/>
      <c r="X42" s="1365">
        <f>OFFSET(X42,0,-1)+1</f>
        <v>1</v>
      </c>
      <c r="Y42" s="1365">
        <f>OFFSET(Y42,0,-1)+1</f>
        <v>2</v>
      </c>
      <c r="Z42" s="1365">
        <f>OFFSET(Z42,0,-1)+1</f>
        <v>3</v>
      </c>
      <c r="AA42" s="2123">
        <f>OFFSET(AA42,0,-1)+1</f>
        <v>4</v>
      </c>
      <c r="AB42" s="2123"/>
      <c r="AC42" s="1365">
        <f>OFFSET(AC42,0,-2)+1</f>
        <v>5</v>
      </c>
      <c r="AD42" s="1365">
        <f>OFFSET(AD42,0,-1)+1</f>
        <v>6</v>
      </c>
      <c r="AE42" s="1365"/>
      <c r="AF42" s="1365">
        <f>OFFSET(AF42,0,-1)+1</f>
        <v>1</v>
      </c>
      <c r="AG42" s="1365">
        <f>OFFSET(AG42,0,-1)+1</f>
        <v>2</v>
      </c>
      <c r="AH42" s="1365">
        <f>OFFSET(AH42,0,-1)+1</f>
        <v>3</v>
      </c>
      <c r="AI42" s="2123">
        <f>OFFSET(AI42,0,-1)+1</f>
        <v>4</v>
      </c>
      <c r="AJ42" s="2123"/>
      <c r="AK42" s="1365">
        <f>OFFSET(AK42,0,-2)+1</f>
        <v>5</v>
      </c>
      <c r="AL42" s="1263">
        <f>OFFSET(AL42,0,-1)</f>
        <v>5</v>
      </c>
      <c r="AM42" s="1365">
        <f>OFFSET(AM42,0,-1)+1</f>
        <v>6</v>
      </c>
      <c r="AN42" s="517"/>
      <c r="AO42" s="517"/>
      <c r="AP42" s="517"/>
      <c r="AQ42" s="517"/>
      <c r="AR42" s="517"/>
    </row>
    <row customHeight="1" ht="21">
      <c r="A43" s="1393" t="s">
        <v>187</v>
      </c>
      <c r="B43" s="1393"/>
      <c r="C43" s="1393"/>
      <c r="D43" s="1393"/>
      <c r="E43" s="2107">
        <v>1</v>
      </c>
      <c r="F43" s="1393"/>
      <c r="G43" s="1393"/>
      <c r="H43" s="1393"/>
      <c r="I43" s="1393"/>
      <c r="J43" s="1393"/>
      <c r="K43" s="1393"/>
      <c r="L43" s="1394"/>
      <c r="M43" s="1395"/>
      <c r="N43" s="1395"/>
      <c r="O43" s="1395"/>
      <c r="P43" s="357"/>
      <c r="Q43" s="356"/>
      <c r="R43" s="351"/>
      <c r="S43" s="1366">
        <f>INDEX(PT_DIFFERENTIATION_NUM_NTAR,MATCH(A43,PT_DIFFERENTIATION_NTAR_ID,0))</f>
        <v>0</v>
      </c>
      <c r="T43" s="286" t="s">
        <v>124</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6"/>
      <c r="AP43" s="506" t="str">
        <f>IF(T43="","",T43)</f>
        <v>Наименование тарифа</v>
      </c>
      <c r="AQ43" s="506"/>
      <c r="AR43" s="506"/>
    </row>
    <row customHeight="1" ht="21">
      <c r="A44" s="1393" t="s">
        <v>187</v>
      </c>
      <c r="B44" s="1393" t="s">
        <v>188</v>
      </c>
      <c r="C44" s="1393"/>
      <c r="D44" s="1393"/>
      <c r="E44" s="2108"/>
      <c r="F44" s="2107">
        <v>1</v>
      </c>
      <c r="G44" s="1393"/>
      <c r="H44" s="1393"/>
      <c r="I44" s="1393"/>
      <c r="J44" s="1393"/>
      <c r="K44" s="1393"/>
      <c r="L44" s="1394"/>
      <c r="M44" s="1395"/>
      <c r="N44" s="1395"/>
      <c r="O44" s="1395"/>
      <c r="P44" s="1362"/>
      <c r="Q44" s="348"/>
      <c r="R44" s="349"/>
      <c r="S44" s="1366" t="str">
        <f>INDEX(PT_DIFFERENTIATION_NUM_TER,MATCH(B44,PT_DIFFERENTIATION_TER_ID,0))</f>
        <v>.</v>
      </c>
      <c r="T44" s="298" t="s">
        <v>392</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393</v>
      </c>
      <c r="AO44" s="506"/>
      <c r="AP44" s="506" t="str">
        <f>IF(T44="","",T44)</f>
        <v>Территория действия тарифа</v>
      </c>
      <c r="AQ44" s="506"/>
      <c r="AR44" s="506"/>
    </row>
    <row customHeight="1" ht="23.25">
      <c r="A45" s="1393" t="s">
        <v>187</v>
      </c>
      <c r="B45" s="1393" t="s">
        <v>188</v>
      </c>
      <c r="C45" s="1393" t="s">
        <v>189</v>
      </c>
      <c r="D45" s="1393"/>
      <c r="E45" s="2108"/>
      <c r="F45" s="2108"/>
      <c r="G45" s="2107">
        <v>1</v>
      </c>
      <c r="H45" s="1393"/>
      <c r="I45" s="1393"/>
      <c r="J45" s="1393"/>
      <c r="K45" s="1393"/>
      <c r="L45" s="1394"/>
      <c r="M45" s="1395"/>
      <c r="N45" s="1395"/>
      <c r="O45" s="1395"/>
      <c r="P45" s="350"/>
      <c r="Q45" s="348"/>
      <c r="R45" s="349"/>
      <c r="S45" s="1366" t="str">
        <f>INDEX(PT_DIFFERENTIATION_NUM_CS,MATCH(C45,PT_DIFFERENTIATION_CS_ID,0))</f>
        <v>..</v>
      </c>
      <c r="T45" s="299" t="s">
        <v>394</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395</v>
      </c>
      <c r="AO45" s="506"/>
      <c r="AP45" s="506" t="str">
        <f>IF(T45="","",T45)</f>
        <v>Наименование системы теплоснабжения </v>
      </c>
      <c r="AQ45" s="506"/>
      <c r="AR45" s="506"/>
    </row>
    <row customHeight="1" ht="21">
      <c r="A46" s="1393" t="s">
        <v>187</v>
      </c>
      <c r="B46" s="1393" t="s">
        <v>188</v>
      </c>
      <c r="C46" s="1393" t="s">
        <v>189</v>
      </c>
      <c r="D46" s="1393" t="s">
        <v>190</v>
      </c>
      <c r="E46" s="2108"/>
      <c r="F46" s="2108"/>
      <c r="G46" s="2108"/>
      <c r="H46" s="2107">
        <v>1</v>
      </c>
      <c r="I46" s="1393"/>
      <c r="J46" s="1393"/>
      <c r="K46" s="1393"/>
      <c r="L46" s="1394"/>
      <c r="M46" s="1395"/>
      <c r="N46" s="1395"/>
      <c r="O46" s="1395"/>
      <c r="P46" s="350"/>
      <c r="Q46" s="348"/>
      <c r="R46" s="349"/>
      <c r="S46" s="1366" t="str">
        <f>INDEX(PT_DIFFERENTIATION_NUM_IST_TE,MATCH(D46,PT_DIFFERENTIATION_IST_TE_ID,0))</f>
        <v>...</v>
      </c>
      <c r="T46" s="300" t="s">
        <v>396</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397</v>
      </c>
      <c r="AO46" s="506"/>
      <c r="AP46" s="506" t="str">
        <f>IF(T46="","",T46)</f>
        <v>Источник тепловой энергии  </v>
      </c>
      <c r="AQ46" s="506"/>
      <c r="AR46" s="506"/>
    </row>
    <row s="2611" customFormat="1" customHeight="1" ht="0">
      <c r="A47" s="1373" t="s">
        <v>187</v>
      </c>
      <c r="B47" s="1373" t="s">
        <v>188</v>
      </c>
      <c r="C47" s="1373" t="s">
        <v>189</v>
      </c>
      <c r="D47" s="1373" t="s">
        <v>190</v>
      </c>
      <c r="E47" s="2108"/>
      <c r="F47" s="2108"/>
      <c r="G47" s="2108"/>
      <c r="H47" s="2108"/>
      <c r="I47" s="2109" t="str">
        <f>S46&amp;".1"</f>
        <v>....1</v>
      </c>
      <c r="J47" s="1373"/>
      <c r="K47" s="1373"/>
      <c r="L47" s="1376" t="s">
        <v>398</v>
      </c>
      <c r="M47" s="516"/>
      <c r="N47" s="516"/>
      <c r="O47" s="516"/>
      <c r="P47" s="2111">
        <v>1</v>
      </c>
      <c r="Q47" s="1361"/>
      <c r="R47" s="352"/>
      <c r="S47" s="1049"/>
      <c r="T47" s="1413"/>
      <c r="U47" s="1414"/>
      <c r="V47" s="2147"/>
      <c r="W47" s="2148"/>
      <c r="X47" s="2148"/>
      <c r="Y47" s="2148"/>
      <c r="Z47" s="2148"/>
      <c r="AA47" s="2148"/>
      <c r="AB47" s="2148"/>
      <c r="AC47" s="2149"/>
      <c r="AD47" s="2147"/>
      <c r="AE47" s="2148"/>
      <c r="AF47" s="2148"/>
      <c r="AG47" s="2148"/>
      <c r="AH47" s="2148"/>
      <c r="AI47" s="2148"/>
      <c r="AJ47" s="2148"/>
      <c r="AK47" s="2148"/>
      <c r="AL47" s="2149"/>
      <c r="AM47" s="1415"/>
      <c r="AO47" s="506"/>
      <c r="AP47" s="506" t="str">
        <f>IF(T47="","",T47)</f>
        <v/>
      </c>
      <c r="AQ47" s="506"/>
      <c r="AR47" s="506"/>
    </row>
    <row customHeight="1" ht="21">
      <c r="A48" s="1393" t="s">
        <v>187</v>
      </c>
      <c r="B48" s="1393" t="s">
        <v>188</v>
      </c>
      <c r="C48" s="1393" t="s">
        <v>189</v>
      </c>
      <c r="D48" s="1393" t="s">
        <v>190</v>
      </c>
      <c r="E48" s="2108"/>
      <c r="F48" s="2108"/>
      <c r="G48" s="2108"/>
      <c r="H48" s="2108"/>
      <c r="I48" s="2110"/>
      <c r="J48" s="2109" t="str">
        <f>S46&amp;".1"</f>
        <v>....1</v>
      </c>
      <c r="K48" s="1393"/>
      <c r="L48" s="1394" t="s">
        <v>401</v>
      </c>
      <c r="P48" s="2111"/>
      <c r="Q48" s="2111">
        <v>1</v>
      </c>
      <c r="R48" s="353"/>
      <c r="S48" s="1366" t="str">
        <f>$J48</f>
        <v>....1</v>
      </c>
      <c r="T48" s="274" t="s">
        <v>402</v>
      </c>
      <c r="U48" s="288"/>
      <c r="V48" s="2095"/>
      <c r="W48" s="2096"/>
      <c r="X48" s="2096"/>
      <c r="Y48" s="2096"/>
      <c r="Z48" s="2096"/>
      <c r="AA48" s="2096"/>
      <c r="AB48" s="2096"/>
      <c r="AC48" s="2097"/>
      <c r="AD48" s="2095"/>
      <c r="AE48" s="2096"/>
      <c r="AF48" s="2096"/>
      <c r="AG48" s="2096"/>
      <c r="AH48" s="2096"/>
      <c r="AI48" s="2096"/>
      <c r="AJ48" s="2096"/>
      <c r="AK48" s="2096"/>
      <c r="AL48" s="2097"/>
      <c r="AM48" s="1286" t="s">
        <v>403</v>
      </c>
      <c r="AO48" s="506"/>
      <c r="AP48" s="506" t="str">
        <f>IF(T48="","",T48)</f>
        <v>Группа потребителей</v>
      </c>
      <c r="AQ48" s="506"/>
      <c r="AR48" s="506"/>
    </row>
    <row customHeight="1" ht="21">
      <c r="A49" s="1393" t="s">
        <v>187</v>
      </c>
      <c r="B49" s="1393" t="s">
        <v>188</v>
      </c>
      <c r="C49" s="1393" t="s">
        <v>189</v>
      </c>
      <c r="D49" s="1393" t="s">
        <v>190</v>
      </c>
      <c r="E49" s="2108"/>
      <c r="F49" s="2108"/>
      <c r="G49" s="2108"/>
      <c r="H49" s="2108"/>
      <c r="I49" s="2110"/>
      <c r="J49" s="2110"/>
      <c r="K49" s="2109" t="str">
        <f>J48&amp;".1"</f>
        <v>....1.1</v>
      </c>
      <c r="L49" s="1394" t="s">
        <v>404</v>
      </c>
      <c r="P49" s="2111"/>
      <c r="Q49" s="2111"/>
      <c r="R49" s="353">
        <v>1</v>
      </c>
      <c r="S49" s="1366" t="str">
        <f>$K49</f>
        <v>....1.1</v>
      </c>
      <c r="T49" s="1377"/>
      <c r="U49" s="288"/>
      <c r="V49" s="757"/>
      <c r="W49" s="320"/>
      <c r="X49" s="757"/>
      <c r="Y49" s="1285"/>
      <c r="Z49" s="2112"/>
      <c r="AA49" s="1981" t="s">
        <v>62</v>
      </c>
      <c r="AB49" s="2112"/>
      <c r="AC49" s="1981" t="s">
        <v>62</v>
      </c>
      <c r="AD49" s="757"/>
      <c r="AE49" s="320"/>
      <c r="AF49" s="757"/>
      <c r="AG49" s="1285"/>
      <c r="AH49" s="2112"/>
      <c r="AI49" s="1981" t="s">
        <v>62</v>
      </c>
      <c r="AJ49" s="2114"/>
      <c r="AK49" s="1981" t="s">
        <v>62</v>
      </c>
      <c r="AL49" s="1378"/>
      <c r="AM49" s="2137" t="s">
        <v>441</v>
      </c>
      <c r="AN49" s="517">
        <f>STRCHECKDATE(V50:AL50)</f>
      </c>
      <c r="AO49" s="506"/>
      <c r="AP49" s="506" t="str">
        <f>IF(T49="","",T49)</f>
        <v/>
      </c>
      <c r="AQ49" s="506"/>
      <c r="AR49" s="506"/>
    </row>
    <row customHeight="1" ht="0.75">
      <c r="A50" s="1393" t="s">
        <v>187</v>
      </c>
      <c r="B50" s="1393" t="s">
        <v>188</v>
      </c>
      <c r="C50" s="1393" t="s">
        <v>189</v>
      </c>
      <c r="D50" s="1393" t="s">
        <v>190</v>
      </c>
      <c r="E50" s="2108"/>
      <c r="F50" s="2108"/>
      <c r="G50" s="2108"/>
      <c r="H50" s="2108"/>
      <c r="I50" s="2110"/>
      <c r="J50" s="2110"/>
      <c r="K50" s="2109"/>
      <c r="L50" s="1394"/>
      <c r="P50" s="2111"/>
      <c r="Q50" s="2111"/>
      <c r="R50" s="353"/>
      <c r="S50" s="1372"/>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187</v>
      </c>
      <c r="B51" s="1393" t="s">
        <v>188</v>
      </c>
      <c r="C51" s="1393" t="s">
        <v>189</v>
      </c>
      <c r="D51" s="1393" t="s">
        <v>190</v>
      </c>
      <c r="E51" s="2108"/>
      <c r="F51" s="2108"/>
      <c r="G51" s="2108"/>
      <c r="H51" s="2108"/>
      <c r="I51" s="2110"/>
      <c r="J51" s="2109"/>
      <c r="K51" s="1393"/>
      <c r="L51" s="1394"/>
      <c r="P51" s="2111"/>
      <c r="Q51" s="2111"/>
      <c r="R51" s="352"/>
      <c r="S51" s="1308"/>
      <c r="T51" s="275" t="s">
        <v>406</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187</v>
      </c>
      <c r="B52" s="1393" t="s">
        <v>188</v>
      </c>
      <c r="C52" s="1393" t="s">
        <v>189</v>
      </c>
      <c r="D52" s="1393" t="s">
        <v>190</v>
      </c>
      <c r="E52" s="2108"/>
      <c r="F52" s="2108"/>
      <c r="G52" s="2108"/>
      <c r="H52" s="2108"/>
      <c r="I52" s="2109"/>
      <c r="J52" s="1393"/>
      <c r="K52" s="1393"/>
      <c r="L52" s="1394"/>
      <c r="P52" s="2111"/>
      <c r="Q52" s="1361"/>
      <c r="R52" s="352"/>
      <c r="S52" s="1308"/>
      <c r="T52" s="364" t="s">
        <v>407</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0">
      <c r="A53" s="1393" t="s">
        <v>187</v>
      </c>
      <c r="B53" s="1393" t="s">
        <v>188</v>
      </c>
      <c r="C53" s="1393" t="s">
        <v>189</v>
      </c>
      <c r="D53" s="1393" t="s">
        <v>190</v>
      </c>
      <c r="E53" s="2108"/>
      <c r="F53" s="2108"/>
      <c r="G53" s="2108"/>
      <c r="H53" s="2107"/>
      <c r="I53" s="1393"/>
      <c r="J53" s="1393"/>
      <c r="K53" s="1393"/>
      <c r="L53" s="1394"/>
      <c r="M53" s="1395"/>
      <c r="N53" s="1395"/>
      <c r="O53" s="543"/>
      <c r="P53" s="356"/>
      <c r="Q53" s="376"/>
      <c r="R53" s="351"/>
      <c r="S53" s="1416"/>
      <c r="T53" s="1417"/>
      <c r="U53" s="1418"/>
      <c r="V53" s="1418"/>
      <c r="W53" s="1418"/>
      <c r="X53" s="1418"/>
      <c r="Y53" s="1418"/>
      <c r="Z53" s="1418"/>
      <c r="AA53" s="1418"/>
      <c r="AB53" s="1418"/>
      <c r="AC53" s="1418"/>
      <c r="AD53" s="1418"/>
      <c r="AE53" s="1418"/>
      <c r="AF53" s="1418"/>
      <c r="AG53" s="1418"/>
      <c r="AH53" s="1418"/>
      <c r="AI53" s="1418"/>
      <c r="AJ53" s="1418"/>
      <c r="AK53" s="1418"/>
      <c r="AL53" s="1418"/>
      <c r="AM53" s="1419"/>
      <c r="AO53" s="506"/>
      <c r="AP53" s="506" t="str">
        <f>IF(T53="","",T53)</f>
        <v/>
      </c>
      <c r="AQ53" s="506"/>
      <c r="AR53" s="506"/>
    </row>
    <row s="3273" customFormat="1" customHeight="1" ht="0.75">
      <c r="A54" s="1373" t="s">
        <v>187</v>
      </c>
      <c r="B54" s="1373" t="s">
        <v>188</v>
      </c>
      <c r="C54" s="1373" t="s">
        <v>189</v>
      </c>
      <c r="D54" s="1344"/>
      <c r="E54" s="2108"/>
      <c r="F54" s="2108"/>
      <c r="G54" s="2107"/>
      <c r="H54" s="1344"/>
      <c r="I54" s="1344"/>
      <c r="J54" s="1344"/>
      <c r="K54" s="1344"/>
      <c r="L54" s="1369"/>
      <c r="M54" s="1345"/>
      <c r="N54" s="1345"/>
      <c r="P54" s="1346"/>
      <c r="Q54" s="1347"/>
      <c r="R54" s="1346"/>
      <c r="S54" s="1352"/>
      <c r="T54" s="1355" t="s">
        <v>181</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273" customFormat="1" customHeight="1" ht="0.75">
      <c r="A55" s="1373" t="s">
        <v>187</v>
      </c>
      <c r="B55" s="1373" t="s">
        <v>188</v>
      </c>
      <c r="C55" s="1344"/>
      <c r="D55" s="1344"/>
      <c r="E55" s="2108"/>
      <c r="F55" s="2107"/>
      <c r="G55" s="1344"/>
      <c r="H55" s="1344"/>
      <c r="I55" s="1344"/>
      <c r="J55" s="1344"/>
      <c r="K55" s="1344"/>
      <c r="L55" s="1369"/>
      <c r="M55" s="1351"/>
      <c r="N55" s="1351"/>
      <c r="P55" s="1346"/>
      <c r="Q55" s="1347"/>
      <c r="R55" s="1346"/>
      <c r="S55" s="1352"/>
      <c r="T55" s="1355" t="s">
        <v>182</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1" customFormat="1" customHeight="1" ht="0.75">
      <c r="A56" s="1373" t="s">
        <v>187</v>
      </c>
      <c r="B56" s="1373"/>
      <c r="C56" s="1373"/>
      <c r="D56" s="1373"/>
      <c r="E56" s="2107"/>
      <c r="F56" s="1373"/>
      <c r="G56" s="1373"/>
      <c r="H56" s="1373"/>
      <c r="I56" s="1373"/>
      <c r="J56" s="1373"/>
      <c r="K56" s="1373"/>
      <c r="L56" s="1376"/>
      <c r="M56" s="1351"/>
      <c r="N56" s="1351"/>
      <c r="O56" s="524"/>
      <c r="P56" s="385"/>
      <c r="Q56" s="1374"/>
      <c r="R56" s="385"/>
      <c r="S56" s="1352"/>
      <c r="T56" s="1355" t="s">
        <v>183</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273" customFormat="1" customHeight="1" ht="0.75">
      <c r="A57" s="1344"/>
      <c r="B57" s="1344"/>
      <c r="C57" s="1344"/>
      <c r="D57" s="1344"/>
      <c r="E57" s="1373"/>
      <c r="F57" s="1344"/>
      <c r="G57" s="1344"/>
      <c r="H57" s="1344"/>
      <c r="I57" s="1344"/>
      <c r="J57" s="1344"/>
      <c r="K57" s="1344"/>
      <c r="L57" s="1369"/>
      <c r="M57" s="1351"/>
      <c r="N57" s="1351"/>
      <c r="P57" s="1346"/>
      <c r="Q57" s="1347"/>
      <c r="R57" s="1346"/>
      <c r="S57" s="1352"/>
      <c r="T57" s="1355" t="s">
        <v>184</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21.75">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29.25">
      <c r="O60" s="54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39.75">
      <c r="O61" s="543"/>
      <c r="T61" s="2106"/>
      <c r="U61" s="2106"/>
      <c r="V61" s="2106"/>
      <c r="W61" s="2106"/>
      <c r="X61" s="2106"/>
      <c r="Y61" s="2106"/>
      <c r="Z61" s="2106"/>
      <c r="AA61" s="2106"/>
      <c r="AB61" s="2106"/>
      <c r="AC61" s="2106"/>
      <c r="AD61" s="2106"/>
      <c r="AE61" s="2106"/>
      <c r="AF61" s="2106"/>
      <c r="AG61" s="2106"/>
      <c r="AH61" s="2106"/>
      <c r="AI61" s="2106"/>
      <c r="AJ61" s="2106"/>
      <c r="AK61" s="2106"/>
      <c r="AL61" s="2106"/>
      <c r="AM61" s="2106"/>
    </row>
    <row customHeight="1" ht="14.25">
      <c r="O62" s="543"/>
    </row>
    <row customHeight="1" ht="19.5">
      <c r="O63" s="543"/>
      <c r="S63" s="1273"/>
      <c r="T63" s="2150"/>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27.75">
      <c r="O64" s="543"/>
      <c r="T64" s="2106"/>
      <c r="U64" s="2106"/>
      <c r="V64" s="2106"/>
      <c r="W64" s="2106"/>
      <c r="X64" s="2106"/>
      <c r="Y64" s="2106"/>
      <c r="Z64" s="2106"/>
      <c r="AA64" s="2106"/>
      <c r="AB64" s="2106"/>
      <c r="AC64" s="2106"/>
      <c r="AD64" s="2106"/>
      <c r="AE64" s="2106"/>
      <c r="AF64" s="2106"/>
      <c r="AG64" s="2106"/>
      <c r="AH64" s="2106"/>
      <c r="AI64" s="2106"/>
      <c r="AJ64" s="2106"/>
      <c r="AK64" s="2106"/>
      <c r="AL64" s="2106"/>
      <c r="AM64" s="2106"/>
    </row>
    <row customHeight="1" ht="33.75">
      <c r="T65" s="2106"/>
      <c r="U65" s="2106"/>
      <c r="V65" s="2106"/>
      <c r="W65" s="2106"/>
      <c r="X65" s="2106"/>
      <c r="Y65" s="2106"/>
      <c r="Z65" s="2106"/>
      <c r="AA65" s="2106"/>
      <c r="AB65" s="2106"/>
      <c r="AC65" s="2106"/>
      <c r="AD65" s="2106"/>
      <c r="AE65" s="2106"/>
      <c r="AF65" s="2106"/>
      <c r="AG65" s="2106"/>
      <c r="AH65" s="2106"/>
      <c r="AI65" s="2106"/>
      <c r="AJ65" s="2106"/>
      <c r="AK65" s="2106"/>
      <c r="AL65" s="2106"/>
      <c r="AM65" s="2106"/>
    </row>
  </sheetData>
  <sheetProtection formatColumns="0" formatRows="0" autoFilter="0" sort="0" insertRows="0" insertColumns="1" deleteRows="0" deleteColumns="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17D5187-667C-C985-7846-3DC4F43F2E0E}"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3292" width="10.57421875" hidden="1"/>
    <col min="2" max="2" style="3292" width="11.00390625" hidden="1" customWidth="1"/>
    <col min="3" max="3" style="3292" width="10.57421875" hidden="1"/>
    <col min="4" max="4" style="3292" width="11.8515625" hidden="1" customWidth="1"/>
    <col min="5" max="5" style="3292" width="10.00390625" hidden="1" customWidth="1"/>
    <col min="6" max="6" style="3292" width="8.7109375" hidden="1" customWidth="1"/>
    <col min="7" max="7" style="3292" width="7.57421875" hidden="1" customWidth="1"/>
    <col min="8" max="8" style="3292" width="11.421875" hidden="1" customWidth="1"/>
    <col min="9" max="9" style="3292" width="12.00390625" hidden="1" customWidth="1"/>
    <col min="10" max="10" style="3292" width="9.8515625" hidden="1" customWidth="1"/>
    <col min="11" max="11" style="3292" width="11.421875" hidden="1" customWidth="1"/>
    <col min="12" max="12" style="3293" width="19.140625" hidden="1" customWidth="1"/>
    <col min="13" max="14" style="3294" width="12.28125" hidden="1" customWidth="1"/>
    <col min="15" max="15" style="3294" width="23.421875" hidden="1" customWidth="1"/>
    <col min="16" max="16" style="3315" width="3.7109375" hidden="1" customWidth="1"/>
    <col min="17" max="18" style="3371" width="3.7109375" customWidth="1"/>
    <col min="19" max="19" style="3372" width="12.7109375" customWidth="1"/>
    <col min="20" max="20" style="2939" width="32.00390625" customWidth="1"/>
    <col min="21" max="21" style="2939" width="0.140625" customWidth="1"/>
    <col min="22" max="22" style="2939" width="24.7109375" hidden="1" customWidth="1"/>
    <col min="23" max="23" style="2939" width="0.140625" hidden="1" customWidth="1"/>
    <col min="24" max="25" style="2939" width="24.7109375" hidden="1" customWidth="1"/>
    <col min="26" max="26" style="2939" width="11.7109375" hidden="1" customWidth="1"/>
    <col min="27" max="27" style="2939" width="3.7109375" hidden="1" customWidth="1"/>
    <col min="28" max="28" style="2939" width="11.7109375" hidden="1" customWidth="1"/>
    <col min="29" max="29" style="2939" width="8.57421875" hidden="1" customWidth="1"/>
    <col min="30" max="30" style="2939" width="24.7109375" customWidth="1"/>
    <col min="31" max="31" style="2939" width="0.140625" customWidth="1"/>
    <col min="32" max="33" style="2939" width="24.7109375" customWidth="1"/>
    <col min="34" max="34" style="2939" width="11.7109375" customWidth="1"/>
    <col min="35" max="35" style="2939" width="3.7109375" customWidth="1"/>
    <col min="36" max="36" style="2939" width="11.7109375" customWidth="1"/>
    <col min="37" max="37" style="2939" width="8.57421875" hidden="1" customWidth="1"/>
    <col min="38" max="38" style="2939" width="4.7109375" customWidth="1"/>
    <col min="39" max="39" style="2939" width="115.7109375" customWidth="1"/>
    <col min="40" max="41" style="2611" width="10.57421875"/>
    <col min="42" max="42" style="2611" width="11.140625" customWidth="1"/>
    <col min="43" max="44" style="2611" width="10.57421875"/>
  </cols>
  <sheetData>
    <row customHeight="1" ht="14.25" hidden="1">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66">
        <f>INDEX(PT_DIFFERENTIATION_NUM_NTAR,MATCH(A2,PT_DIFFERENTIATION_NTAR_ID,0))</f>
      </c>
      <c r="T2" s="286" t="s">
        <v>124</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391</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62"/>
      <c r="Q3" s="348"/>
      <c r="R3" s="349"/>
      <c r="S3" s="1366">
        <f>INDEX(PT_DIFFERENTIATION_NUM_TER,MATCH(B3,PT_DIFFERENTIATION_TER_ID,0))</f>
      </c>
      <c r="T3" s="298" t="s">
        <v>392</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393</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66">
        <f>INDEX(PT_DIFFERENTIATION_NUM_CS,MATCH(C4,PT_DIFFERENTIATION_CS_ID,0))</f>
      </c>
      <c r="T4" s="299" t="s">
        <v>394</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395</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66">
        <f>INDEX(PT_DIFFERENTIATION_NUM_IST_TE,MATCH(D5,PT_DIFFERENTIATION_IST_TE_ID,0))</f>
      </c>
      <c r="T5" s="300" t="s">
        <v>396</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397</v>
      </c>
      <c r="AO5" s="506"/>
      <c r="AP5" s="506" t="str">
        <f>IF(T5="","",T5)</f>
        <v>Источник тепловой энергии  </v>
      </c>
      <c r="AQ5" s="506"/>
      <c r="AR5" s="506"/>
    </row>
    <row customHeight="1" ht="14.25" hidden="1">
      <c r="A6" s="1393"/>
      <c r="B6" s="1393"/>
      <c r="C6" s="1393"/>
      <c r="D6" s="1393"/>
      <c r="E6" s="2108"/>
      <c r="F6" s="2108"/>
      <c r="G6" s="2108"/>
      <c r="H6" s="2108"/>
      <c r="I6" s="2109">
        <f>S5&amp;".1"</f>
      </c>
      <c r="J6" s="1393"/>
      <c r="K6" s="1393"/>
      <c r="L6" s="1394" t="s">
        <v>398</v>
      </c>
      <c r="M6" s="543"/>
      <c r="P6" s="2111">
        <v>1</v>
      </c>
      <c r="Q6" s="1361"/>
      <c r="R6" s="352"/>
      <c r="S6" s="1049"/>
      <c r="T6" s="1413"/>
      <c r="U6" s="1414"/>
      <c r="V6" s="2147"/>
      <c r="W6" s="2148"/>
      <c r="X6" s="2148"/>
      <c r="Y6" s="2148"/>
      <c r="Z6" s="2148"/>
      <c r="AA6" s="2148"/>
      <c r="AB6" s="2148"/>
      <c r="AC6" s="2149"/>
      <c r="AD6" s="2147"/>
      <c r="AE6" s="2148"/>
      <c r="AF6" s="2148"/>
      <c r="AG6" s="2148"/>
      <c r="AH6" s="2148"/>
      <c r="AI6" s="2148"/>
      <c r="AJ6" s="2148"/>
      <c r="AK6" s="2148"/>
      <c r="AL6" s="2149"/>
      <c r="AM6" s="1415"/>
      <c r="AO6" s="506"/>
      <c r="AP6" s="506" t="str">
        <f>IF(T6="","",T6)</f>
        <v/>
      </c>
      <c r="AQ6" s="506"/>
      <c r="AR6" s="506"/>
    </row>
    <row customHeight="1" ht="21" hidden="1">
      <c r="A7" s="1393"/>
      <c r="B7" s="1393"/>
      <c r="C7" s="1393"/>
      <c r="D7" s="1393"/>
      <c r="E7" s="2108"/>
      <c r="F7" s="2108"/>
      <c r="G7" s="2108"/>
      <c r="H7" s="2108"/>
      <c r="I7" s="2110"/>
      <c r="J7" s="2109">
        <f>I6&amp;".1"</f>
      </c>
      <c r="K7" s="1393"/>
      <c r="L7" s="1394" t="s">
        <v>401</v>
      </c>
      <c r="M7" s="543"/>
      <c r="N7" s="1396"/>
      <c r="P7" s="2111"/>
      <c r="Q7" s="2111">
        <v>1</v>
      </c>
      <c r="R7" s="353"/>
      <c r="S7" s="1366">
        <f>$J7</f>
      </c>
      <c r="T7" s="274" t="s">
        <v>402</v>
      </c>
      <c r="U7" s="288"/>
      <c r="V7" s="2095"/>
      <c r="W7" s="2096"/>
      <c r="X7" s="2096"/>
      <c r="Y7" s="2096"/>
      <c r="Z7" s="2096"/>
      <c r="AA7" s="2096"/>
      <c r="AB7" s="2096"/>
      <c r="AC7" s="2097"/>
      <c r="AD7" s="2095"/>
      <c r="AE7" s="2096"/>
      <c r="AF7" s="2096"/>
      <c r="AG7" s="2096"/>
      <c r="AH7" s="2096"/>
      <c r="AI7" s="2096"/>
      <c r="AJ7" s="2096"/>
      <c r="AK7" s="2096"/>
      <c r="AL7" s="2097"/>
      <c r="AM7" s="1286" t="s">
        <v>403</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404</v>
      </c>
      <c r="M8" s="543"/>
      <c r="N8" s="1396"/>
      <c r="O8" s="1396"/>
      <c r="P8" s="2111"/>
      <c r="Q8" s="2111"/>
      <c r="R8" s="353">
        <v>1</v>
      </c>
      <c r="S8" s="1366">
        <f>$K8</f>
      </c>
      <c r="T8" s="1377"/>
      <c r="U8" s="288"/>
      <c r="V8" s="757"/>
      <c r="W8" s="320"/>
      <c r="X8" s="757"/>
      <c r="Y8" s="1285"/>
      <c r="Z8" s="2112"/>
      <c r="AA8" s="1981" t="s">
        <v>62</v>
      </c>
      <c r="AB8" s="2112"/>
      <c r="AC8" s="1981" t="s">
        <v>62</v>
      </c>
      <c r="AD8" s="757"/>
      <c r="AE8" s="320"/>
      <c r="AF8" s="757"/>
      <c r="AG8" s="1285"/>
      <c r="AH8" s="2112"/>
      <c r="AI8" s="1981" t="s">
        <v>62</v>
      </c>
      <c r="AJ8" s="2112"/>
      <c r="AK8" s="1981" t="s">
        <v>62</v>
      </c>
      <c r="AL8" s="320"/>
      <c r="AM8" s="2137" t="s">
        <v>405</v>
      </c>
      <c r="AN8" s="517">
        <f>STRCHECKDATE(V9:AL9)</f>
      </c>
      <c r="AO8" s="506"/>
      <c r="AP8" s="506" t="str">
        <f>IF(T8="","",T8)</f>
        <v/>
      </c>
      <c r="AQ8" s="506"/>
      <c r="AR8" s="506"/>
    </row>
    <row customHeight="1" ht="14.25" hidden="1">
      <c r="A9" s="1393"/>
      <c r="B9" s="1393"/>
      <c r="C9" s="1393"/>
      <c r="D9" s="1393"/>
      <c r="E9" s="2108"/>
      <c r="F9" s="2108"/>
      <c r="G9" s="2108"/>
      <c r="H9" s="2108"/>
      <c r="I9" s="2110"/>
      <c r="J9" s="2110"/>
      <c r="K9" s="2109"/>
      <c r="L9" s="1394"/>
      <c r="M9" s="543"/>
      <c r="N9" s="1396"/>
      <c r="O9" s="1396"/>
      <c r="P9" s="2111"/>
      <c r="Q9" s="2111"/>
      <c r="R9" s="353"/>
      <c r="S9" s="1372"/>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5" t="s">
        <v>406</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1.25" hidden="1">
      <c r="A11" s="1393"/>
      <c r="B11" s="1393"/>
      <c r="C11" s="1393"/>
      <c r="D11" s="1393"/>
      <c r="E11" s="2108"/>
      <c r="F11" s="2108"/>
      <c r="G11" s="2108"/>
      <c r="H11" s="2108"/>
      <c r="I11" s="2109"/>
      <c r="J11" s="1393"/>
      <c r="K11" s="1393"/>
      <c r="L11" s="1394"/>
      <c r="M11" s="543"/>
      <c r="P11" s="2111"/>
      <c r="Q11" s="1361"/>
      <c r="R11" s="352"/>
      <c r="S11" s="1308"/>
      <c r="T11" s="364" t="s">
        <v>407</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416"/>
      <c r="T12" s="1417"/>
      <c r="U12" s="1418"/>
      <c r="V12" s="1418"/>
      <c r="W12" s="1418"/>
      <c r="X12" s="1418"/>
      <c r="Y12" s="1418"/>
      <c r="Z12" s="1418"/>
      <c r="AA12" s="1418"/>
      <c r="AB12" s="1418"/>
      <c r="AC12" s="1418"/>
      <c r="AD12" s="1418"/>
      <c r="AE12" s="1418"/>
      <c r="AF12" s="1418"/>
      <c r="AG12" s="1418"/>
      <c r="AH12" s="1418"/>
      <c r="AI12" s="1418"/>
      <c r="AJ12" s="1418"/>
      <c r="AK12" s="1418"/>
      <c r="AL12" s="1418"/>
      <c r="AM12" s="1419"/>
      <c r="AO12" s="506"/>
      <c r="AP12" s="506" t="str">
        <f>IF(T12="","",T12)</f>
        <v/>
      </c>
      <c r="AQ12" s="506"/>
      <c r="AR12" s="506"/>
    </row>
    <row s="3273" customFormat="1" customHeight="1" ht="14.25" hidden="1">
      <c r="A13" s="1344"/>
      <c r="B13" s="1344"/>
      <c r="C13" s="1344"/>
      <c r="D13" s="1344"/>
      <c r="E13" s="2108"/>
      <c r="F13" s="2108"/>
      <c r="G13" s="2107"/>
      <c r="H13" s="1344"/>
      <c r="I13" s="1344"/>
      <c r="J13" s="1344"/>
      <c r="K13" s="1344"/>
      <c r="L13" s="1369"/>
      <c r="M13" s="1345"/>
      <c r="N13" s="1345"/>
      <c r="P13" s="1346"/>
      <c r="Q13" s="1347"/>
      <c r="R13" s="1346"/>
      <c r="S13" s="1348"/>
      <c r="T13" s="1349" t="s">
        <v>181</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273" customFormat="1" customHeight="1" ht="14.25" hidden="1">
      <c r="A14" s="1344"/>
      <c r="B14" s="1344"/>
      <c r="C14" s="1344"/>
      <c r="D14" s="1344"/>
      <c r="E14" s="2108"/>
      <c r="F14" s="2107"/>
      <c r="G14" s="1344"/>
      <c r="H14" s="1344"/>
      <c r="I14" s="1344"/>
      <c r="J14" s="1344"/>
      <c r="K14" s="1344"/>
      <c r="L14" s="1369"/>
      <c r="M14" s="1351"/>
      <c r="N14" s="1351"/>
      <c r="P14" s="1346"/>
      <c r="Q14" s="1347"/>
      <c r="R14" s="1346"/>
      <c r="S14" s="1352"/>
      <c r="T14" s="1353" t="s">
        <v>182</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273" customFormat="1" customHeight="1" ht="14.25" hidden="1">
      <c r="A15" s="1344"/>
      <c r="B15" s="1344"/>
      <c r="C15" s="1344"/>
      <c r="D15" s="1344"/>
      <c r="E15" s="2107"/>
      <c r="F15" s="1344"/>
      <c r="G15" s="1344"/>
      <c r="H15" s="1344"/>
      <c r="I15" s="1344"/>
      <c r="J15" s="1344"/>
      <c r="K15" s="1344"/>
      <c r="L15" s="1369"/>
      <c r="M15" s="1351"/>
      <c r="N15" s="1351"/>
      <c r="P15" s="1346"/>
      <c r="Q15" s="1347"/>
      <c r="R15" s="1346"/>
      <c r="S15" s="1352"/>
      <c r="T15" s="1355" t="s">
        <v>183</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AD17" s="1390"/>
      <c r="AE17" s="1390"/>
      <c r="AF17" s="1390"/>
      <c r="AG17" s="1391"/>
      <c r="AH17" s="2105"/>
      <c r="AI17" s="2104" t="s">
        <v>62</v>
      </c>
      <c r="AJ17" s="2105"/>
      <c r="AK17" s="2104" t="s">
        <v>62</v>
      </c>
    </row>
    <row customHeight="1" ht="14.25" hidden="1">
      <c r="AD18" s="1390"/>
      <c r="AE18" s="1390"/>
      <c r="AF18" s="1390"/>
      <c r="AG18" s="324" t="str">
        <f>AH17&amp;"-"&amp;AJ17</f>
        <v>-</v>
      </c>
      <c r="AH18" s="2104"/>
      <c r="AI18" s="2104"/>
      <c r="AJ18" s="2104"/>
      <c r="AK18" s="2104"/>
    </row>
    <row customHeight="1" ht="14.25" hidden="1">
      <c r="AK19" s="323"/>
    </row>
    <row s="3292" customFormat="1" customHeight="1" ht="22.5" hidden="1">
      <c r="L20" s="1359"/>
      <c r="M20" s="1392"/>
      <c r="N20" s="1392"/>
      <c r="O20" s="1397" t="s">
        <v>409</v>
      </c>
      <c r="P20" s="1392"/>
      <c r="Q20" s="1401"/>
      <c r="R20" s="1401"/>
      <c r="S20" s="735"/>
      <c r="Z20" s="1397"/>
      <c r="AB20" s="1397"/>
      <c r="AC20" s="1396"/>
      <c r="AH20" s="1397"/>
      <c r="AJ20" s="1397"/>
      <c r="AK20" s="1396"/>
      <c r="AN20" s="517"/>
      <c r="AO20" s="517"/>
      <c r="AP20" s="517"/>
      <c r="AQ20" s="517"/>
      <c r="AR20" s="517"/>
    </row>
    <row s="3292" customFormat="1" customHeight="1" ht="14.25" hidden="1">
      <c r="L21" s="1359"/>
      <c r="M21" s="1392"/>
      <c r="N21" s="1392"/>
      <c r="O21" s="1392"/>
      <c r="P21" s="1392"/>
      <c r="Q21" s="1401"/>
      <c r="R21" s="1401"/>
      <c r="S21" s="735"/>
      <c r="AC21" s="1396"/>
      <c r="AK21" s="1396"/>
      <c r="AN21" s="517"/>
      <c r="AO21" s="517"/>
      <c r="AP21" s="517"/>
      <c r="AQ21" s="517"/>
      <c r="AR21" s="517"/>
    </row>
    <row s="3292" customFormat="1" customHeight="1" ht="14.25" hidden="1">
      <c r="L22" s="1359"/>
      <c r="M22" s="1392"/>
      <c r="N22" s="1392"/>
      <c r="O22" s="1394" t="s">
        <v>410</v>
      </c>
      <c r="P22" s="1392"/>
      <c r="Q22" s="1401"/>
      <c r="R22" s="1401"/>
      <c r="S22" s="735"/>
      <c r="T22" s="1168" t="s">
        <v>411</v>
      </c>
      <c r="AA22" s="172" t="s">
        <v>412</v>
      </c>
      <c r="AC22" s="172" t="s">
        <v>413</v>
      </c>
      <c r="AD22" s="1168" t="s">
        <v>411</v>
      </c>
      <c r="AI22" s="172" t="s">
        <v>414</v>
      </c>
      <c r="AK22" s="172" t="s">
        <v>413</v>
      </c>
      <c r="AN22" s="517"/>
      <c r="AO22" s="517"/>
      <c r="AP22" s="517"/>
      <c r="AQ22" s="517"/>
      <c r="AR22" s="517"/>
    </row>
    <row customHeight="1" ht="14.25" hidden="1">
      <c r="O23" s="1394"/>
    </row>
    <row customHeight="1" ht="14.25" hidden="1">
      <c r="O24" s="1394"/>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51">
      <c r="Q26" s="377"/>
      <c r="R26" s="377"/>
      <c r="S26" s="2140"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40"/>
      <c r="U26" s="2140"/>
      <c r="V26" s="2140"/>
      <c r="W26" s="2140"/>
      <c r="X26" s="2140"/>
      <c r="Y26" s="2140"/>
      <c r="Z26" s="2140"/>
      <c r="AA26" s="2140"/>
      <c r="AB26" s="2140"/>
      <c r="AC26" s="2140"/>
      <c r="AD26" s="2140"/>
      <c r="AE26" s="2140"/>
      <c r="AF26" s="2140"/>
      <c r="AG26" s="2140"/>
      <c r="AH26" s="2140"/>
      <c r="AI26" s="2140"/>
      <c r="AJ26" s="2140"/>
      <c r="AK26" s="1261"/>
    </row>
    <row customHeight="1" ht="14.25">
      <c r="Q27" s="377"/>
      <c r="R27" s="377"/>
      <c r="S27" s="2141" t="str">
        <f>IF(org=0,"Не определено",org)</f>
        <v>ЗАО "Байкалэнерго"</v>
      </c>
      <c r="T27" s="2141"/>
      <c r="U27" s="2141"/>
      <c r="V27" s="2141"/>
      <c r="W27" s="2141"/>
      <c r="X27" s="2141"/>
      <c r="Y27" s="2141"/>
      <c r="Z27" s="2141"/>
      <c r="AA27" s="2141"/>
      <c r="AB27" s="2141"/>
      <c r="AC27" s="2141"/>
      <c r="AD27" s="2141"/>
      <c r="AE27" s="2141"/>
      <c r="AF27" s="2141"/>
      <c r="AG27" s="2141"/>
      <c r="AH27" s="2141"/>
      <c r="AI27" s="2141"/>
      <c r="AJ27" s="2141"/>
      <c r="AK27" s="1261"/>
    </row>
    <row customHeight="1" ht="14.25">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305" customFormat="1" customHeight="1" ht="25.5">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Служба по тарифам Иркутской области</v>
      </c>
      <c r="W29" s="2100"/>
      <c r="X29" s="2100"/>
      <c r="Y29" s="2100"/>
      <c r="Z29" s="2100"/>
      <c r="AA29" s="2100"/>
      <c r="AB29" s="2100"/>
      <c r="AC29" s="322"/>
      <c r="AD29" s="2100" t="str">
        <f>IF(TITLE_NAME_OR_PR_CHANGE="",IF(TITLE_NAME_OR_PR="","",TITLE_NAME_OR_PR),TITLE_NAME_OR_PR_CHANGE)</f>
        <v>Служба по тарифам Иркутской области</v>
      </c>
      <c r="AE29" s="2100"/>
      <c r="AF29" s="2100"/>
      <c r="AG29" s="2100"/>
      <c r="AH29" s="2100"/>
      <c r="AI29" s="2100"/>
      <c r="AJ29" s="2100"/>
      <c r="AK29" s="322"/>
      <c r="AL29" s="322"/>
      <c r="AM29" s="268"/>
      <c r="AN29" s="368"/>
      <c r="AO29" s="368"/>
      <c r="AP29" s="368"/>
      <c r="AQ29" s="368"/>
      <c r="AR29" s="368"/>
    </row>
    <row s="3305" customFormat="1" customHeight="1" ht="18.75">
      <c r="A30" s="1398"/>
      <c r="B30" s="1398"/>
      <c r="C30" s="1398"/>
      <c r="D30" s="1398"/>
      <c r="E30" s="1398"/>
      <c r="F30" s="1398"/>
      <c r="G30" s="1398"/>
      <c r="H30" s="1398"/>
      <c r="I30" s="1398"/>
      <c r="J30" s="1398"/>
      <c r="K30" s="1398"/>
      <c r="L30" s="1399"/>
      <c r="M30" s="1398"/>
      <c r="N30" s="1398"/>
      <c r="O30" s="1398"/>
      <c r="S30" s="2098" t="s">
        <v>415</v>
      </c>
      <c r="T30" s="2098"/>
      <c r="U30" s="1402"/>
      <c r="V30" s="2099" t="str">
        <f>IF(TITLE_DATE_PR_CHANGE="",IF(TITLE_DATE_PR="","",TITLE_DATE_PR),TITLE_DATE_PR_CHANGE)</f>
        <v>45280.56123842593</v>
      </c>
      <c r="W30" s="2099"/>
      <c r="X30" s="2099"/>
      <c r="Y30" s="2099"/>
      <c r="Z30" s="2099"/>
      <c r="AA30" s="2099"/>
      <c r="AB30" s="2099"/>
      <c r="AC30" s="322"/>
      <c r="AD30" s="2099" t="str">
        <f>IF(TITLE_DATE_PR_CHANGE="",IF(TITLE_DATE_PR="","",TITLE_DATE_PR),TITLE_DATE_PR_CHANGE)</f>
        <v>45280.56123842593</v>
      </c>
      <c r="AE30" s="2099"/>
      <c r="AF30" s="2099"/>
      <c r="AG30" s="2099"/>
      <c r="AH30" s="2099"/>
      <c r="AI30" s="2099"/>
      <c r="AJ30" s="2099"/>
      <c r="AK30" s="322"/>
      <c r="AL30" s="322"/>
      <c r="AM30" s="268"/>
      <c r="AN30" s="368"/>
      <c r="AO30" s="368"/>
      <c r="AP30" s="368"/>
      <c r="AQ30" s="368"/>
      <c r="AR30" s="368"/>
    </row>
    <row s="3305" customFormat="1" customHeight="1" ht="18.75">
      <c r="A31" s="1398"/>
      <c r="B31" s="1398"/>
      <c r="C31" s="1398"/>
      <c r="D31" s="1398"/>
      <c r="E31" s="1398"/>
      <c r="F31" s="1398"/>
      <c r="G31" s="1398"/>
      <c r="H31" s="1398"/>
      <c r="I31" s="1398"/>
      <c r="J31" s="1398"/>
      <c r="K31" s="1398"/>
      <c r="L31" s="1399"/>
      <c r="M31" s="1398"/>
      <c r="N31" s="1398"/>
      <c r="O31" s="1398"/>
      <c r="S31" s="2098" t="s">
        <v>416</v>
      </c>
      <c r="T31" s="2098"/>
      <c r="U31" s="1402"/>
      <c r="V31" s="2100" t="str">
        <f>IF(TITLE_NUMBER_PR_CHANGE="",IF(TITLE_NUMBER_PR="","",TITLE_NUMBER_PR),TITLE_NUMBER_PR_CHANGE)</f>
        <v>79-477-спр</v>
      </c>
      <c r="W31" s="2100"/>
      <c r="X31" s="2100"/>
      <c r="Y31" s="2100"/>
      <c r="Z31" s="2100"/>
      <c r="AA31" s="2100"/>
      <c r="AB31" s="2100"/>
      <c r="AC31" s="322"/>
      <c r="AD31" s="2100" t="str">
        <f>IF(TITLE_NUMBER_PR_CHANGE="",IF(TITLE_NUMBER_PR="","",TITLE_NUMBER_PR),TITLE_NUMBER_PR_CHANGE)</f>
        <v>79-477-спр</v>
      </c>
      <c r="AE31" s="2100"/>
      <c r="AF31" s="2100"/>
      <c r="AG31" s="2100"/>
      <c r="AH31" s="2100"/>
      <c r="AI31" s="2100"/>
      <c r="AJ31" s="2100"/>
      <c r="AK31" s="322"/>
      <c r="AL31" s="322"/>
      <c r="AM31" s="268"/>
      <c r="AN31" s="368"/>
      <c r="AO31" s="368"/>
      <c r="AP31" s="368"/>
      <c r="AQ31" s="368"/>
      <c r="AR31" s="368"/>
    </row>
    <row s="3305" customFormat="1" customHeight="1" ht="18.75">
      <c r="A32" s="1398"/>
      <c r="B32" s="1398"/>
      <c r="C32" s="1398"/>
      <c r="D32" s="1398"/>
      <c r="E32" s="1398"/>
      <c r="F32" s="1398"/>
      <c r="G32" s="1398"/>
      <c r="H32" s="1398"/>
      <c r="I32" s="1398"/>
      <c r="J32" s="1398"/>
      <c r="K32" s="1398"/>
      <c r="L32" s="1399"/>
      <c r="M32" s="1398"/>
      <c r="N32" s="1398"/>
      <c r="O32" s="1398"/>
      <c r="S32" s="2098" t="s">
        <v>40</v>
      </c>
      <c r="T32" s="2098"/>
      <c r="U32" s="1402"/>
      <c r="V32" s="2100" t="str">
        <f>IF(TITLE_IST_PUB_CHANGE="",IF(TITLE_IST_PUB="","",TITLE_IST_PUB),TITLE_IST_PUB_CHANGE)</f>
        <v>Официальный сайт службы по тарифам Иркутской области http://irkobl.ru</v>
      </c>
      <c r="W32" s="2100"/>
      <c r="X32" s="2100"/>
      <c r="Y32" s="2100"/>
      <c r="Z32" s="2100"/>
      <c r="AA32" s="2100"/>
      <c r="AB32" s="2100"/>
      <c r="AC32" s="322"/>
      <c r="AD32" s="2100" t="str">
        <f>IF(TITLE_IST_PUB_CHANGE="",IF(TITLE_IST_PUB="","",TITLE_IST_PUB),TITLE_IST_PUB_CHANGE)</f>
        <v>Официальный сайт службы по тарифам Иркутской области http://irkobl.ru</v>
      </c>
      <c r="AE32" s="2100"/>
      <c r="AF32" s="2100"/>
      <c r="AG32" s="2100"/>
      <c r="AH32" s="2100"/>
      <c r="AI32" s="2100"/>
      <c r="AJ32" s="2100"/>
      <c r="AK32" s="322"/>
      <c r="AL32" s="322"/>
      <c r="AM32" s="268"/>
      <c r="AN32" s="368"/>
      <c r="AO32" s="368"/>
      <c r="AP32" s="368"/>
      <c r="AQ32" s="368"/>
      <c r="AR32" s="368"/>
    </row>
    <row customHeight="1" ht="14.25" hidden="1">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305" customFormat="1" customHeight="1" ht="18.75" hidden="1">
      <c r="A34" s="1398"/>
      <c r="B34" s="1398"/>
      <c r="C34" s="1398"/>
      <c r="D34" s="1398"/>
      <c r="E34" s="1398"/>
      <c r="F34" s="1398"/>
      <c r="G34" s="1398"/>
      <c r="H34" s="1398"/>
      <c r="I34" s="1398"/>
      <c r="J34" s="1398"/>
      <c r="K34" s="1398"/>
      <c r="L34" s="1399"/>
      <c r="M34" s="1398"/>
      <c r="N34" s="1398"/>
      <c r="O34" s="1398"/>
      <c r="S34" s="2098" t="s">
        <v>417</v>
      </c>
      <c r="T34" s="2098"/>
      <c r="U34" s="1402"/>
      <c r="V34" s="2099" t="str">
        <f>IF(TITLE_DATE_PR_CHANGE="",IF(TITLE_DATE_PR="","",TITLE_DATE_PR),TITLE_DATE_PR_CHANGE)</f>
        <v>45280.56123842593</v>
      </c>
      <c r="W34" s="2099"/>
      <c r="X34" s="2099"/>
      <c r="Y34" s="2099"/>
      <c r="Z34" s="2099"/>
      <c r="AA34" s="2099"/>
      <c r="AB34" s="2099"/>
      <c r="AC34" s="322"/>
      <c r="AD34" s="2099" t="str">
        <f>IF(TITLE_DATE_PR_CHANGE="",IF(TITLE_DATE_PR="","",TITLE_DATE_PR),TITLE_DATE_PR_CHANGE)</f>
        <v>45280.56123842593</v>
      </c>
      <c r="AE34" s="2099"/>
      <c r="AF34" s="2099"/>
      <c r="AG34" s="2099"/>
      <c r="AH34" s="2099"/>
      <c r="AI34" s="2099"/>
      <c r="AJ34" s="2099"/>
      <c r="AK34" s="322"/>
      <c r="AL34" s="322"/>
      <c r="AM34" s="268"/>
      <c r="AN34" s="368"/>
      <c r="AO34" s="368"/>
      <c r="AP34" s="368"/>
      <c r="AQ34" s="368"/>
      <c r="AR34" s="368"/>
    </row>
    <row s="3305" customFormat="1" customHeight="1" ht="25.5" hidden="1">
      <c r="A35" s="1398"/>
      <c r="B35" s="1398"/>
      <c r="C35" s="1398"/>
      <c r="D35" s="1398"/>
      <c r="E35" s="1398"/>
      <c r="F35" s="1398"/>
      <c r="G35" s="1398"/>
      <c r="H35" s="1398"/>
      <c r="I35" s="1398"/>
      <c r="J35" s="1398"/>
      <c r="K35" s="1398"/>
      <c r="L35" s="1399"/>
      <c r="M35" s="1398"/>
      <c r="N35" s="1398"/>
      <c r="O35" s="1398"/>
      <c r="S35" s="2098" t="s">
        <v>418</v>
      </c>
      <c r="T35" s="2098"/>
      <c r="U35" s="1402"/>
      <c r="V35" s="2100" t="str">
        <f>IF(TITLE_NUMBER_PR_CHANGE="",IF(TITLE_NUMBER_PR="","",TITLE_NUMBER_PR),TITLE_NUMBER_PR_CHANGE)</f>
        <v>79-477-спр</v>
      </c>
      <c r="W35" s="2100"/>
      <c r="X35" s="2100"/>
      <c r="Y35" s="2100"/>
      <c r="Z35" s="2100"/>
      <c r="AA35" s="2100"/>
      <c r="AB35" s="2100"/>
      <c r="AC35" s="322"/>
      <c r="AD35" s="2100" t="str">
        <f>IF(TITLE_NUMBER_PR_CHANGE="",IF(TITLE_NUMBER_PR="","",TITLE_NUMBER_PR),TITLE_NUMBER_PR_CHANGE)</f>
        <v>79-477-спр</v>
      </c>
      <c r="AE35" s="2100"/>
      <c r="AF35" s="2100"/>
      <c r="AG35" s="2100"/>
      <c r="AH35" s="2100"/>
      <c r="AI35" s="2100"/>
      <c r="AJ35" s="2100"/>
      <c r="AK35" s="322"/>
      <c r="AL35" s="322"/>
      <c r="AM35" s="268"/>
      <c r="AN35" s="368"/>
      <c r="AO35" s="368"/>
      <c r="AP35" s="368"/>
      <c r="AQ35" s="368"/>
      <c r="AR35" s="368"/>
    </row>
    <row s="3305" customFormat="1" customHeight="1" ht="0">
      <c r="A36" s="1398"/>
      <c r="B36" s="1398"/>
      <c r="C36" s="1398"/>
      <c r="D36" s="1398"/>
      <c r="E36" s="1398"/>
      <c r="F36" s="1398"/>
      <c r="G36" s="1398"/>
      <c r="H36" s="1398"/>
      <c r="I36" s="1398"/>
      <c r="J36" s="1398"/>
      <c r="K36" s="1398"/>
      <c r="L36" s="1399"/>
      <c r="M36" s="1398"/>
      <c r="N36" s="1398"/>
      <c r="O36" s="1398"/>
      <c r="S36" s="318"/>
      <c r="T36" s="318"/>
      <c r="U36" s="1370"/>
      <c r="V36" s="322"/>
      <c r="W36" s="322"/>
      <c r="X36" s="322"/>
      <c r="Y36" s="322"/>
      <c r="Z36" s="322"/>
      <c r="AA36" s="322"/>
      <c r="AB36" s="322"/>
      <c r="AC36" s="266" t="s">
        <v>419</v>
      </c>
      <c r="AD36" s="322"/>
      <c r="AE36" s="322"/>
      <c r="AF36" s="322"/>
      <c r="AG36" s="322"/>
      <c r="AH36" s="322"/>
      <c r="AI36" s="322"/>
      <c r="AJ36" s="322"/>
      <c r="AK36" s="266" t="s">
        <v>419</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293</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294</v>
      </c>
    </row>
    <row customHeight="1" ht="14.25">
      <c r="Q39" s="377"/>
      <c r="R39" s="377"/>
      <c r="S39" s="2125" t="s">
        <v>88</v>
      </c>
      <c r="T39" s="2062" t="s">
        <v>420</v>
      </c>
      <c r="U39" s="289"/>
      <c r="V39" s="2126" t="s">
        <v>421</v>
      </c>
      <c r="W39" s="2127"/>
      <c r="X39" s="2127"/>
      <c r="Y39" s="2127"/>
      <c r="Z39" s="2127"/>
      <c r="AA39" s="2127"/>
      <c r="AB39" s="2128"/>
      <c r="AC39" s="2129" t="s">
        <v>422</v>
      </c>
      <c r="AD39" s="2126" t="s">
        <v>421</v>
      </c>
      <c r="AE39" s="2127"/>
      <c r="AF39" s="2127"/>
      <c r="AG39" s="2127"/>
      <c r="AH39" s="2127"/>
      <c r="AI39" s="2127"/>
      <c r="AJ39" s="2128"/>
      <c r="AK39" s="2129" t="s">
        <v>423</v>
      </c>
      <c r="AL39" s="2132" t="s">
        <v>424</v>
      </c>
      <c r="AM39" s="1971"/>
    </row>
    <row customHeight="1" ht="33.75">
      <c r="Q40" s="377"/>
      <c r="R40" s="377"/>
      <c r="S40" s="2125"/>
      <c r="T40" s="2062"/>
      <c r="U40" s="1038"/>
      <c r="V40" s="2135" t="s">
        <v>425</v>
      </c>
      <c r="W40" s="2116"/>
      <c r="X40" s="2118" t="s">
        <v>427</v>
      </c>
      <c r="Y40" s="2120"/>
      <c r="Z40" s="2118" t="s">
        <v>428</v>
      </c>
      <c r="AA40" s="2119"/>
      <c r="AB40" s="2120"/>
      <c r="AC40" s="2130"/>
      <c r="AD40" s="2135" t="s">
        <v>425</v>
      </c>
      <c r="AE40" s="2116"/>
      <c r="AF40" s="2118" t="s">
        <v>427</v>
      </c>
      <c r="AG40" s="2120"/>
      <c r="AH40" s="2118" t="s">
        <v>428</v>
      </c>
      <c r="AI40" s="2119"/>
      <c r="AJ40" s="2120"/>
      <c r="AK40" s="2130"/>
      <c r="AL40" s="2133"/>
      <c r="AM40" s="1971"/>
    </row>
    <row customHeight="1" ht="33.75">
      <c r="A41" s="1400"/>
      <c r="B41" s="1400" t="s">
        <v>136</v>
      </c>
      <c r="C41" s="1400" t="s">
        <v>137</v>
      </c>
      <c r="D41" s="1400" t="s">
        <v>138</v>
      </c>
      <c r="E41" s="1394" t="s">
        <v>429</v>
      </c>
      <c r="F41" s="1394" t="s">
        <v>430</v>
      </c>
      <c r="G41" s="1394" t="s">
        <v>431</v>
      </c>
      <c r="H41" s="1394" t="s">
        <v>432</v>
      </c>
      <c r="I41" s="1394" t="s">
        <v>433</v>
      </c>
      <c r="J41" s="1394" t="s">
        <v>434</v>
      </c>
      <c r="K41" s="1394" t="s">
        <v>435</v>
      </c>
      <c r="L41" s="1394" t="s">
        <v>410</v>
      </c>
      <c r="Q41" s="377"/>
      <c r="R41" s="377"/>
      <c r="S41" s="2125"/>
      <c r="T41" s="2062"/>
      <c r="U41" s="290"/>
      <c r="V41" s="2136"/>
      <c r="W41" s="2117"/>
      <c r="X41" s="1237" t="s">
        <v>436</v>
      </c>
      <c r="Y41" s="1237" t="s">
        <v>437</v>
      </c>
      <c r="Z41" s="1368" t="s">
        <v>438</v>
      </c>
      <c r="AA41" s="2121" t="s">
        <v>439</v>
      </c>
      <c r="AB41" s="2122"/>
      <c r="AC41" s="2131"/>
      <c r="AD41" s="2136"/>
      <c r="AE41" s="2117"/>
      <c r="AF41" s="1237" t="s">
        <v>436</v>
      </c>
      <c r="AG41" s="1237" t="s">
        <v>437</v>
      </c>
      <c r="AH41" s="1368" t="s">
        <v>438</v>
      </c>
      <c r="AI41" s="2121" t="s">
        <v>439</v>
      </c>
      <c r="AJ41" s="2122"/>
      <c r="AK41" s="2131"/>
      <c r="AL41" s="2134"/>
      <c r="AM41" s="1971"/>
    </row>
    <row s="2610"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110</v>
      </c>
      <c r="T42" s="1281" t="s">
        <v>111</v>
      </c>
      <c r="U42" s="1263" t="str">
        <f>OFFSET(U42,0,-1)</f>
        <v>2</v>
      </c>
      <c r="V42" s="1365">
        <f>OFFSET(V42,0,-1)+1</f>
        <v>3</v>
      </c>
      <c r="W42" s="1365"/>
      <c r="X42" s="1365">
        <f>OFFSET(X42,0,-1)+1</f>
        <v>1</v>
      </c>
      <c r="Y42" s="1365">
        <f>OFFSET(Y42,0,-1)+1</f>
        <v>2</v>
      </c>
      <c r="Z42" s="1365">
        <f>OFFSET(Z42,0,-1)+1</f>
        <v>3</v>
      </c>
      <c r="AA42" s="2123">
        <f>OFFSET(AA42,0,-1)+1</f>
        <v>4</v>
      </c>
      <c r="AB42" s="2123"/>
      <c r="AC42" s="1365">
        <f>OFFSET(AC42,0,-2)+1</f>
        <v>5</v>
      </c>
      <c r="AD42" s="1365">
        <f>OFFSET(AD42,0,-1)+1</f>
        <v>6</v>
      </c>
      <c r="AE42" s="1365"/>
      <c r="AF42" s="1365">
        <f>OFFSET(AF42,0,-1)+1</f>
        <v>1</v>
      </c>
      <c r="AG42" s="1365">
        <f>OFFSET(AG42,0,-1)+1</f>
        <v>2</v>
      </c>
      <c r="AH42" s="1365">
        <f>OFFSET(AH42,0,-1)+1</f>
        <v>3</v>
      </c>
      <c r="AI42" s="2123">
        <f>OFFSET(AI42,0,-1)+1</f>
        <v>4</v>
      </c>
      <c r="AJ42" s="2123"/>
      <c r="AK42" s="1365">
        <f>OFFSET(AK42,0,-2)+1</f>
        <v>5</v>
      </c>
      <c r="AL42" s="1263">
        <f>OFFSET(AL42,0,-1)</f>
        <v>5</v>
      </c>
      <c r="AM42" s="1365">
        <f>OFFSET(AM42,0,-1)+1</f>
        <v>6</v>
      </c>
      <c r="AN42" s="517"/>
      <c r="AO42" s="517"/>
      <c r="AP42" s="517"/>
      <c r="AQ42" s="517"/>
      <c r="AR42" s="517"/>
    </row>
    <row customHeight="1" ht="21">
      <c r="A43" s="1393" t="s">
        <v>193</v>
      </c>
      <c r="B43" s="1393"/>
      <c r="C43" s="1393"/>
      <c r="D43" s="1393"/>
      <c r="E43" s="2107">
        <v>1</v>
      </c>
      <c r="F43" s="1393"/>
      <c r="G43" s="1393"/>
      <c r="H43" s="1393"/>
      <c r="I43" s="1393"/>
      <c r="J43" s="1393"/>
      <c r="K43" s="1393"/>
      <c r="L43" s="1394"/>
      <c r="M43" s="1395"/>
      <c r="N43" s="1395"/>
      <c r="O43" s="1395"/>
      <c r="P43" s="357"/>
      <c r="Q43" s="356"/>
      <c r="R43" s="351"/>
      <c r="S43" s="1366">
        <f>INDEX(PT_DIFFERENTIATION_NUM_NTAR,MATCH(A43,PT_DIFFERENTIATION_NTAR_ID,0))</f>
        <v>0</v>
      </c>
      <c r="T43" s="286" t="s">
        <v>124</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6"/>
      <c r="AP43" s="506" t="str">
        <f>IF(T43="","",T43)</f>
        <v>Наименование тарифа</v>
      </c>
      <c r="AQ43" s="506"/>
      <c r="AR43" s="506"/>
    </row>
    <row customHeight="1" ht="21">
      <c r="A44" s="1393" t="s">
        <v>193</v>
      </c>
      <c r="B44" s="1393" t="s">
        <v>194</v>
      </c>
      <c r="C44" s="1393"/>
      <c r="D44" s="1393"/>
      <c r="E44" s="2108"/>
      <c r="F44" s="2107">
        <v>1</v>
      </c>
      <c r="G44" s="1393"/>
      <c r="H44" s="1393"/>
      <c r="I44" s="1393"/>
      <c r="J44" s="1393"/>
      <c r="K44" s="1393"/>
      <c r="L44" s="1394"/>
      <c r="M44" s="1395"/>
      <c r="N44" s="1395"/>
      <c r="O44" s="1395"/>
      <c r="P44" s="1362"/>
      <c r="Q44" s="348"/>
      <c r="R44" s="349"/>
      <c r="S44" s="1366" t="str">
        <f>INDEX(PT_DIFFERENTIATION_NUM_TER,MATCH(B44,PT_DIFFERENTIATION_TER_ID,0))</f>
        <v>.</v>
      </c>
      <c r="T44" s="298" t="s">
        <v>392</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393</v>
      </c>
      <c r="AO44" s="506"/>
      <c r="AP44" s="506" t="str">
        <f>IF(T44="","",T44)</f>
        <v>Территория действия тарифа</v>
      </c>
      <c r="AQ44" s="506"/>
      <c r="AR44" s="506"/>
    </row>
    <row customHeight="1" ht="23.25">
      <c r="A45" s="1393" t="s">
        <v>193</v>
      </c>
      <c r="B45" s="1393" t="s">
        <v>194</v>
      </c>
      <c r="C45" s="1393" t="s">
        <v>195</v>
      </c>
      <c r="D45" s="1393"/>
      <c r="E45" s="2108"/>
      <c r="F45" s="2108"/>
      <c r="G45" s="2107">
        <v>1</v>
      </c>
      <c r="H45" s="1393"/>
      <c r="I45" s="1393"/>
      <c r="J45" s="1393"/>
      <c r="K45" s="1393"/>
      <c r="L45" s="1394"/>
      <c r="M45" s="1395"/>
      <c r="N45" s="1395"/>
      <c r="O45" s="1395"/>
      <c r="P45" s="350"/>
      <c r="Q45" s="348"/>
      <c r="R45" s="349"/>
      <c r="S45" s="1366" t="str">
        <f>INDEX(PT_DIFFERENTIATION_NUM_CS,MATCH(C45,PT_DIFFERENTIATION_CS_ID,0))</f>
        <v>..</v>
      </c>
      <c r="T45" s="299" t="s">
        <v>394</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395</v>
      </c>
      <c r="AO45" s="506"/>
      <c r="AP45" s="506" t="str">
        <f>IF(T45="","",T45)</f>
        <v>Наименование системы теплоснабжения </v>
      </c>
      <c r="AQ45" s="506"/>
      <c r="AR45" s="506"/>
    </row>
    <row customHeight="1" ht="21">
      <c r="A46" s="1393" t="s">
        <v>193</v>
      </c>
      <c r="B46" s="1393" t="s">
        <v>194</v>
      </c>
      <c r="C46" s="1393" t="s">
        <v>195</v>
      </c>
      <c r="D46" s="1393" t="s">
        <v>196</v>
      </c>
      <c r="E46" s="2108"/>
      <c r="F46" s="2108"/>
      <c r="G46" s="2108"/>
      <c r="H46" s="2107">
        <v>1</v>
      </c>
      <c r="I46" s="1393"/>
      <c r="J46" s="1393"/>
      <c r="K46" s="1393"/>
      <c r="L46" s="1394"/>
      <c r="M46" s="1395"/>
      <c r="N46" s="1395"/>
      <c r="O46" s="1395"/>
      <c r="P46" s="350"/>
      <c r="Q46" s="348"/>
      <c r="R46" s="349"/>
      <c r="S46" s="1366" t="str">
        <f>INDEX(PT_DIFFERENTIATION_NUM_IST_TE,MATCH(D46,PT_DIFFERENTIATION_IST_TE_ID,0))</f>
        <v>...</v>
      </c>
      <c r="T46" s="300" t="s">
        <v>396</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397</v>
      </c>
      <c r="AO46" s="506"/>
      <c r="AP46" s="506" t="str">
        <f>IF(T46="","",T46)</f>
        <v>Источник тепловой энергии  </v>
      </c>
      <c r="AQ46" s="506"/>
      <c r="AR46" s="506"/>
    </row>
    <row s="2611" customFormat="1" customHeight="1" ht="0">
      <c r="A47" s="1373" t="s">
        <v>193</v>
      </c>
      <c r="B47" s="1373" t="s">
        <v>194</v>
      </c>
      <c r="C47" s="1373" t="s">
        <v>195</v>
      </c>
      <c r="D47" s="1373" t="s">
        <v>196</v>
      </c>
      <c r="E47" s="2108"/>
      <c r="F47" s="2108"/>
      <c r="G47" s="2108"/>
      <c r="H47" s="2108"/>
      <c r="I47" s="2109" t="str">
        <f>S46&amp;".1"</f>
        <v>....1</v>
      </c>
      <c r="J47" s="1373"/>
      <c r="K47" s="1373"/>
      <c r="L47" s="1376" t="s">
        <v>398</v>
      </c>
      <c r="M47" s="516"/>
      <c r="N47" s="516"/>
      <c r="O47" s="516"/>
      <c r="P47" s="2111">
        <v>1</v>
      </c>
      <c r="Q47" s="1361"/>
      <c r="R47" s="352"/>
      <c r="S47" s="1049"/>
      <c r="T47" s="1413"/>
      <c r="U47" s="1414"/>
      <c r="V47" s="2147"/>
      <c r="W47" s="2148"/>
      <c r="X47" s="2148"/>
      <c r="Y47" s="2148"/>
      <c r="Z47" s="2148"/>
      <c r="AA47" s="2148"/>
      <c r="AB47" s="2148"/>
      <c r="AC47" s="2149"/>
      <c r="AD47" s="2147"/>
      <c r="AE47" s="2148"/>
      <c r="AF47" s="2148"/>
      <c r="AG47" s="2148"/>
      <c r="AH47" s="2148"/>
      <c r="AI47" s="2148"/>
      <c r="AJ47" s="2148"/>
      <c r="AK47" s="2148"/>
      <c r="AL47" s="2149"/>
      <c r="AM47" s="1415"/>
      <c r="AO47" s="506"/>
      <c r="AP47" s="506" t="str">
        <f>IF(T47="","",T47)</f>
        <v/>
      </c>
      <c r="AQ47" s="506"/>
      <c r="AR47" s="506"/>
    </row>
    <row customHeight="1" ht="21">
      <c r="A48" s="1393" t="s">
        <v>193</v>
      </c>
      <c r="B48" s="1393" t="s">
        <v>194</v>
      </c>
      <c r="C48" s="1393" t="s">
        <v>195</v>
      </c>
      <c r="D48" s="1393" t="s">
        <v>196</v>
      </c>
      <c r="E48" s="2108"/>
      <c r="F48" s="2108"/>
      <c r="G48" s="2108"/>
      <c r="H48" s="2108"/>
      <c r="I48" s="2110"/>
      <c r="J48" s="2109" t="str">
        <f>S46&amp;".1"</f>
        <v>....1</v>
      </c>
      <c r="K48" s="1393"/>
      <c r="L48" s="1394" t="s">
        <v>401</v>
      </c>
      <c r="P48" s="2111"/>
      <c r="Q48" s="2111">
        <v>1</v>
      </c>
      <c r="R48" s="353"/>
      <c r="S48" s="1366" t="str">
        <f>$J48</f>
        <v>....1</v>
      </c>
      <c r="T48" s="274" t="s">
        <v>402</v>
      </c>
      <c r="U48" s="288"/>
      <c r="V48" s="2095"/>
      <c r="W48" s="2096"/>
      <c r="X48" s="2096"/>
      <c r="Y48" s="2096"/>
      <c r="Z48" s="2096"/>
      <c r="AA48" s="2096"/>
      <c r="AB48" s="2096"/>
      <c r="AC48" s="2097"/>
      <c r="AD48" s="2095"/>
      <c r="AE48" s="2096"/>
      <c r="AF48" s="2096"/>
      <c r="AG48" s="2096"/>
      <c r="AH48" s="2096"/>
      <c r="AI48" s="2096"/>
      <c r="AJ48" s="2096"/>
      <c r="AK48" s="2096"/>
      <c r="AL48" s="2097"/>
      <c r="AM48" s="1286" t="s">
        <v>403</v>
      </c>
      <c r="AO48" s="506"/>
      <c r="AP48" s="506" t="str">
        <f>IF(T48="","",T48)</f>
        <v>Группа потребителей</v>
      </c>
      <c r="AQ48" s="506"/>
      <c r="AR48" s="506"/>
    </row>
    <row customHeight="1" ht="21">
      <c r="A49" s="1393" t="s">
        <v>193</v>
      </c>
      <c r="B49" s="1393" t="s">
        <v>194</v>
      </c>
      <c r="C49" s="1393" t="s">
        <v>195</v>
      </c>
      <c r="D49" s="1393" t="s">
        <v>196</v>
      </c>
      <c r="E49" s="2108"/>
      <c r="F49" s="2108"/>
      <c r="G49" s="2108"/>
      <c r="H49" s="2108"/>
      <c r="I49" s="2110"/>
      <c r="J49" s="2110"/>
      <c r="K49" s="2109" t="str">
        <f>J48&amp;".1"</f>
        <v>....1.1</v>
      </c>
      <c r="L49" s="1394" t="s">
        <v>404</v>
      </c>
      <c r="P49" s="2111"/>
      <c r="Q49" s="2111"/>
      <c r="R49" s="353">
        <v>1</v>
      </c>
      <c r="S49" s="1366" t="str">
        <f>$K49</f>
        <v>....1.1</v>
      </c>
      <c r="T49" s="1377"/>
      <c r="U49" s="288"/>
      <c r="V49" s="757"/>
      <c r="W49" s="320"/>
      <c r="X49" s="757"/>
      <c r="Y49" s="1285"/>
      <c r="Z49" s="2112"/>
      <c r="AA49" s="1981" t="s">
        <v>62</v>
      </c>
      <c r="AB49" s="2112"/>
      <c r="AC49" s="1981" t="s">
        <v>62</v>
      </c>
      <c r="AD49" s="757"/>
      <c r="AE49" s="320"/>
      <c r="AF49" s="757"/>
      <c r="AG49" s="1285"/>
      <c r="AH49" s="2112"/>
      <c r="AI49" s="1981" t="s">
        <v>62</v>
      </c>
      <c r="AJ49" s="2114"/>
      <c r="AK49" s="1981" t="s">
        <v>62</v>
      </c>
      <c r="AL49" s="1378"/>
      <c r="AM49" s="2137" t="s">
        <v>441</v>
      </c>
      <c r="AN49" s="517">
        <f>STRCHECKDATE(V50:AL50)</f>
      </c>
      <c r="AO49" s="506"/>
      <c r="AP49" s="506" t="str">
        <f>IF(T49="","",T49)</f>
        <v/>
      </c>
      <c r="AQ49" s="506"/>
      <c r="AR49" s="506"/>
    </row>
    <row customHeight="1" ht="0">
      <c r="A50" s="1393" t="s">
        <v>193</v>
      </c>
      <c r="B50" s="1393" t="s">
        <v>194</v>
      </c>
      <c r="C50" s="1393" t="s">
        <v>195</v>
      </c>
      <c r="D50" s="1393" t="s">
        <v>196</v>
      </c>
      <c r="E50" s="2108"/>
      <c r="F50" s="2108"/>
      <c r="G50" s="2108"/>
      <c r="H50" s="2108"/>
      <c r="I50" s="2110"/>
      <c r="J50" s="2110"/>
      <c r="K50" s="2109"/>
      <c r="L50" s="1394"/>
      <c r="P50" s="2111"/>
      <c r="Q50" s="2111"/>
      <c r="R50" s="353"/>
      <c r="S50" s="1372"/>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193</v>
      </c>
      <c r="B51" s="1393" t="s">
        <v>194</v>
      </c>
      <c r="C51" s="1393" t="s">
        <v>195</v>
      </c>
      <c r="D51" s="1393" t="s">
        <v>196</v>
      </c>
      <c r="E51" s="2108"/>
      <c r="F51" s="2108"/>
      <c r="G51" s="2108"/>
      <c r="H51" s="2108"/>
      <c r="I51" s="2110"/>
      <c r="J51" s="2109"/>
      <c r="K51" s="1393"/>
      <c r="L51" s="1394"/>
      <c r="P51" s="2111"/>
      <c r="Q51" s="2111"/>
      <c r="R51" s="352"/>
      <c r="S51" s="1308"/>
      <c r="T51" s="275" t="s">
        <v>406</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193</v>
      </c>
      <c r="B52" s="1393" t="s">
        <v>194</v>
      </c>
      <c r="C52" s="1393" t="s">
        <v>195</v>
      </c>
      <c r="D52" s="1393" t="s">
        <v>196</v>
      </c>
      <c r="E52" s="2108"/>
      <c r="F52" s="2108"/>
      <c r="G52" s="2108"/>
      <c r="H52" s="2108"/>
      <c r="I52" s="2109"/>
      <c r="J52" s="1393"/>
      <c r="K52" s="1393"/>
      <c r="L52" s="1394"/>
      <c r="P52" s="2111"/>
      <c r="Q52" s="1361"/>
      <c r="R52" s="352"/>
      <c r="S52" s="1308"/>
      <c r="T52" s="364" t="s">
        <v>407</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0">
      <c r="A53" s="1393" t="s">
        <v>193</v>
      </c>
      <c r="B53" s="1393" t="s">
        <v>194</v>
      </c>
      <c r="C53" s="1393" t="s">
        <v>195</v>
      </c>
      <c r="D53" s="1393" t="s">
        <v>196</v>
      </c>
      <c r="E53" s="2108"/>
      <c r="F53" s="2108"/>
      <c r="G53" s="2108"/>
      <c r="H53" s="2107"/>
      <c r="I53" s="1393"/>
      <c r="J53" s="1393"/>
      <c r="K53" s="1393"/>
      <c r="L53" s="1394"/>
      <c r="M53" s="1395"/>
      <c r="N53" s="1395"/>
      <c r="O53" s="543"/>
      <c r="P53" s="356"/>
      <c r="Q53" s="376"/>
      <c r="R53" s="351"/>
      <c r="S53" s="1416"/>
      <c r="T53" s="1417"/>
      <c r="U53" s="1418"/>
      <c r="V53" s="1418"/>
      <c r="W53" s="1418"/>
      <c r="X53" s="1418"/>
      <c r="Y53" s="1418"/>
      <c r="Z53" s="1418"/>
      <c r="AA53" s="1418"/>
      <c r="AB53" s="1418"/>
      <c r="AC53" s="1418"/>
      <c r="AD53" s="1418"/>
      <c r="AE53" s="1418"/>
      <c r="AF53" s="1418"/>
      <c r="AG53" s="1418"/>
      <c r="AH53" s="1418"/>
      <c r="AI53" s="1418"/>
      <c r="AJ53" s="1418"/>
      <c r="AK53" s="1418"/>
      <c r="AL53" s="1418"/>
      <c r="AM53" s="1419"/>
      <c r="AO53" s="506"/>
      <c r="AP53" s="506" t="str">
        <f>IF(T53="","",T53)</f>
        <v/>
      </c>
      <c r="AQ53" s="506"/>
      <c r="AR53" s="506"/>
    </row>
    <row s="3273" customFormat="1" customHeight="1" ht="0">
      <c r="A54" s="1373" t="s">
        <v>193</v>
      </c>
      <c r="B54" s="1373" t="s">
        <v>194</v>
      </c>
      <c r="C54" s="1373" t="s">
        <v>195</v>
      </c>
      <c r="D54" s="1344"/>
      <c r="E54" s="2108"/>
      <c r="F54" s="2108"/>
      <c r="G54" s="2107"/>
      <c r="H54" s="1344"/>
      <c r="I54" s="1344"/>
      <c r="J54" s="1344"/>
      <c r="K54" s="1344"/>
      <c r="L54" s="1369"/>
      <c r="M54" s="1345"/>
      <c r="N54" s="1345"/>
      <c r="P54" s="1346"/>
      <c r="Q54" s="1347"/>
      <c r="R54" s="1346"/>
      <c r="S54" s="1352"/>
      <c r="T54" s="1355" t="s">
        <v>181</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273" customFormat="1" customHeight="1" ht="0">
      <c r="A55" s="1373" t="s">
        <v>193</v>
      </c>
      <c r="B55" s="1373" t="s">
        <v>194</v>
      </c>
      <c r="C55" s="1344"/>
      <c r="D55" s="1344"/>
      <c r="E55" s="2108"/>
      <c r="F55" s="2107"/>
      <c r="G55" s="1344"/>
      <c r="H55" s="1344"/>
      <c r="I55" s="1344"/>
      <c r="J55" s="1344"/>
      <c r="K55" s="1344"/>
      <c r="L55" s="1369"/>
      <c r="M55" s="1351"/>
      <c r="N55" s="1351"/>
      <c r="P55" s="1346"/>
      <c r="Q55" s="1347"/>
      <c r="R55" s="1346"/>
      <c r="S55" s="1352"/>
      <c r="T55" s="1355" t="s">
        <v>182</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1" customFormat="1" customHeight="1" ht="0">
      <c r="A56" s="1373" t="s">
        <v>193</v>
      </c>
      <c r="B56" s="1373"/>
      <c r="C56" s="1373"/>
      <c r="D56" s="1373"/>
      <c r="E56" s="2107"/>
      <c r="F56" s="1373"/>
      <c r="G56" s="1373"/>
      <c r="H56" s="1373"/>
      <c r="I56" s="1373"/>
      <c r="J56" s="1373"/>
      <c r="K56" s="1373"/>
      <c r="L56" s="1376"/>
      <c r="M56" s="1351"/>
      <c r="N56" s="1351"/>
      <c r="O56" s="524"/>
      <c r="P56" s="385"/>
      <c r="Q56" s="1374"/>
      <c r="R56" s="385"/>
      <c r="S56" s="1352"/>
      <c r="T56" s="1355" t="s">
        <v>183</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273" customFormat="1" customHeight="1" ht="5.25">
      <c r="A57" s="1344"/>
      <c r="B57" s="1344"/>
      <c r="C57" s="1344"/>
      <c r="D57" s="1344"/>
      <c r="E57" s="1373"/>
      <c r="F57" s="1344"/>
      <c r="G57" s="1344"/>
      <c r="H57" s="1344"/>
      <c r="I57" s="1344"/>
      <c r="J57" s="1344"/>
      <c r="K57" s="1344"/>
      <c r="L57" s="1369"/>
      <c r="M57" s="1351"/>
      <c r="N57" s="1351"/>
      <c r="P57" s="1346"/>
      <c r="Q57" s="1347"/>
      <c r="R57" s="1346"/>
      <c r="S57" s="1352"/>
      <c r="T57" s="1355" t="s">
        <v>184</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14.25">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14.25">
      <c r="O60" s="54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14.25">
      <c r="O61" s="543"/>
      <c r="T61" s="2106"/>
      <c r="U61" s="2106"/>
      <c r="V61" s="2106"/>
      <c r="W61" s="2106"/>
      <c r="X61" s="2106"/>
      <c r="Y61" s="2106"/>
      <c r="Z61" s="2106"/>
      <c r="AA61" s="2106"/>
      <c r="AB61" s="2106"/>
      <c r="AC61" s="2106"/>
      <c r="AD61" s="2106"/>
      <c r="AE61" s="2106"/>
      <c r="AF61" s="2106"/>
      <c r="AG61" s="2106"/>
      <c r="AH61" s="2106"/>
      <c r="AI61" s="2106"/>
      <c r="AJ61" s="2106"/>
      <c r="AK61" s="2106"/>
      <c r="AL61" s="2106"/>
      <c r="AM61" s="2106"/>
    </row>
    <row customHeight="1" ht="14.25">
      <c r="O62" s="543"/>
    </row>
    <row customHeight="1" ht="14.25">
      <c r="O63" s="543"/>
      <c r="S63" s="1273"/>
      <c r="T63" s="2150"/>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14.25">
      <c r="O64" s="543"/>
      <c r="T64" s="2106"/>
      <c r="U64" s="2106"/>
      <c r="V64" s="2106"/>
      <c r="W64" s="2106"/>
      <c r="X64" s="2106"/>
      <c r="Y64" s="2106"/>
      <c r="Z64" s="2106"/>
      <c r="AA64" s="2106"/>
      <c r="AB64" s="2106"/>
      <c r="AC64" s="2106"/>
      <c r="AD64" s="2106"/>
      <c r="AE64" s="2106"/>
      <c r="AF64" s="2106"/>
      <c r="AG64" s="2106"/>
      <c r="AH64" s="2106"/>
      <c r="AI64" s="2106"/>
      <c r="AJ64" s="2106"/>
      <c r="AK64" s="2106"/>
      <c r="AL64" s="2106"/>
      <c r="AM64" s="2106"/>
    </row>
    <row customHeight="1" ht="14.25">
      <c r="T65" s="2106"/>
      <c r="U65" s="2106"/>
      <c r="V65" s="2106"/>
      <c r="W65" s="2106"/>
      <c r="X65" s="2106"/>
      <c r="Y65" s="2106"/>
      <c r="Z65" s="2106"/>
      <c r="AA65" s="2106"/>
      <c r="AB65" s="2106"/>
      <c r="AC65" s="2106"/>
      <c r="AD65" s="2106"/>
      <c r="AE65" s="2106"/>
      <c r="AF65" s="2106"/>
      <c r="AG65" s="2106"/>
      <c r="AH65" s="2106"/>
      <c r="AI65" s="2106"/>
      <c r="AJ65" s="2106"/>
      <c r="AK65" s="2106"/>
      <c r="AL65" s="2106"/>
      <c r="AM65" s="2106"/>
    </row>
  </sheetData>
  <sheetProtection formatColumns="0" formatRows="0" autoFilter="0" sort="0" insertRows="0" insertColumns="1" deleteRows="0" deleteColumns="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C6004F-5029-24A1-3B1F-38CBB1A84FF2}" mc:Ignorable="x14ac xr xr2 xr3">
  <sheetPr>
    <tabColor theme="6" tint="0.4"/>
  </sheetPr>
  <dimension ref="A1:BE83"/>
  <sheetViews>
    <sheetView topLeftCell="A1" showGridLines="0" zoomScale="90" workbookViewId="0">
      <selection activeCell="AG66" sqref="AG66:AY66"/>
    </sheetView>
  </sheetViews>
  <sheetFormatPr defaultColWidth="10.57421875" customHeight="1" defaultRowHeight="14.25"/>
  <cols>
    <col min="1" max="1" style="2939" width="10.57421875" hidden="1"/>
    <col min="2" max="2" style="2939" width="11.00390625" hidden="1" customWidth="1"/>
    <col min="3" max="3" style="2939" width="10.57421875" hidden="1"/>
    <col min="4" max="4" style="2939" width="11.8515625" hidden="1" customWidth="1"/>
    <col min="5" max="5" style="2939" width="10.00390625" hidden="1" customWidth="1"/>
    <col min="6" max="6" style="2939" width="8.7109375" hidden="1" customWidth="1"/>
    <col min="7" max="7" style="2939" width="7.57421875" hidden="1" customWidth="1"/>
    <col min="8" max="8" style="2939" width="11.421875" hidden="1" customWidth="1"/>
    <col min="9" max="9" style="2939" width="12.00390625" hidden="1" customWidth="1"/>
    <col min="10" max="10" style="2939" width="9.8515625" hidden="1" customWidth="1"/>
    <col min="11" max="12" style="2939" width="11.421875" hidden="1" customWidth="1"/>
    <col min="13" max="13" style="3472" width="19.140625" hidden="1" customWidth="1"/>
    <col min="14" max="15" style="3315" width="12.28125" hidden="1" customWidth="1"/>
    <col min="16" max="16" style="3315" width="23.421875" hidden="1" customWidth="1"/>
    <col min="17" max="17" style="3315" width="3.7109375" hidden="1" customWidth="1"/>
    <col min="18" max="20" style="3371" width="3.7109375" customWidth="1"/>
    <col min="21" max="21" style="3372" width="12.7109375" customWidth="1"/>
    <col min="22" max="22" style="2939" width="32.00390625" customWidth="1"/>
    <col min="23" max="23" style="2939" width="0.140625" customWidth="1"/>
    <col min="24" max="28" style="2939" width="21.7109375" hidden="1" customWidth="1"/>
    <col min="29" max="29" style="2939" width="11.7109375" hidden="1" customWidth="1"/>
    <col min="30" max="30" style="2939" width="3.7109375" hidden="1" customWidth="1"/>
    <col min="31" max="31" style="2939" width="11.7109375" hidden="1" customWidth="1"/>
    <col min="32" max="32" style="2939" width="8.57421875" hidden="1" customWidth="1"/>
    <col min="33" max="37" style="2939" width="21.7109375" customWidth="1"/>
    <col min="38" max="38" style="2939" width="11.7109375" customWidth="1"/>
    <col min="39" max="39" style="2939" width="3.7109375" customWidth="1"/>
    <col min="40" max="40" style="2939" width="11.7109375" customWidth="1"/>
    <col min="41" max="41" style="2939" width="8.57421875" customWidth="1"/>
    <col min="50" max="50" width="10.57421875" hidden="1"/>
    <col min="51" max="51" style="2939" width="4.7109375" customWidth="1"/>
    <col min="52" max="52" style="2939" width="115.7109375" customWidth="1"/>
    <col min="53" max="54" style="2611" width="10.57421875"/>
    <col min="55" max="55" style="2611" width="11.140625" customWidth="1"/>
    <col min="56" max="57" style="2611" width="10.57421875"/>
  </cols>
  <sheetData>
    <row customHeight="1" ht="14.25" hidden="1">
      <c r="AB1" s="323"/>
      <c r="AC1" s="323"/>
      <c r="AK1" s="323"/>
      <c r="AL1" s="323"/>
      <c r="AP1" s="3406"/>
      <c r="AQ1" s="3406"/>
      <c r="AR1" s="3406"/>
      <c r="AS1" s="3406"/>
      <c r="AT1" s="3406"/>
      <c r="AU1" s="3406"/>
      <c r="AV1" s="3406"/>
      <c r="AW1" s="3406"/>
      <c r="AX1" s="3406"/>
    </row>
    <row customHeight="1" ht="21" hidden="1">
      <c r="A2" s="1296"/>
      <c r="B2" s="1296"/>
      <c r="C2" s="1296"/>
      <c r="D2" s="1296"/>
      <c r="E2" s="2167">
        <v>1</v>
      </c>
      <c r="F2" s="1296"/>
      <c r="G2" s="1296"/>
      <c r="H2" s="1296"/>
      <c r="I2" s="1296"/>
      <c r="J2" s="1296"/>
      <c r="K2" s="1296"/>
      <c r="L2" s="1296"/>
      <c r="M2" s="1340"/>
      <c r="N2" s="694"/>
      <c r="O2" s="694"/>
      <c r="P2" s="694"/>
      <c r="Q2" s="357"/>
      <c r="R2" s="356"/>
      <c r="S2" s="356"/>
      <c r="T2" s="351"/>
      <c r="U2" s="1366">
        <f>INDEX(PT_DIFFERENTIATION_NUM_NTAR,MATCH(A2,PT_DIFFERENTIATION_NTAR_ID,0))</f>
      </c>
      <c r="V2" s="286" t="s">
        <v>124</v>
      </c>
      <c r="W2" s="288"/>
      <c r="X2" s="2101"/>
      <c r="Y2" s="2102"/>
      <c r="Z2" s="2102"/>
      <c r="AA2" s="2102"/>
      <c r="AB2" s="2102"/>
      <c r="AC2" s="2102"/>
      <c r="AD2" s="2102"/>
      <c r="AE2" s="2102"/>
      <c r="AF2" s="2103"/>
      <c r="AG2" s="2101">
        <f>INDEX(PT_DIFFERENTIATION_NTAR,MATCH(A2,PT_DIFFERENTIATION_NTAR_ID,0))</f>
      </c>
      <c r="AH2" s="2102"/>
      <c r="AI2" s="2102"/>
      <c r="AJ2" s="2102"/>
      <c r="AK2" s="2102"/>
      <c r="AL2" s="2102"/>
      <c r="AM2" s="2102"/>
      <c r="AN2" s="2102"/>
      <c r="AO2" s="2102"/>
      <c r="AP2" s="3410"/>
      <c r="AQ2" s="3411"/>
      <c r="AR2" s="3411"/>
      <c r="AS2" s="3411"/>
      <c r="AT2" s="3411"/>
      <c r="AU2" s="3411"/>
      <c r="AV2" s="3411"/>
      <c r="AW2" s="3411"/>
      <c r="AX2" s="3412"/>
      <c r="AY2" s="2103"/>
      <c r="AZ2" s="1286" t="s">
        <v>391</v>
      </c>
      <c r="BB2" s="506"/>
      <c r="BC2" s="506" t="str">
        <f>IF(V2="","",V2)</f>
        <v>Наименование тарифа</v>
      </c>
      <c r="BD2" s="506"/>
      <c r="BE2" s="506"/>
    </row>
    <row customHeight="1" ht="21" hidden="1">
      <c r="A3" s="1296"/>
      <c r="B3" s="1296"/>
      <c r="C3" s="1296"/>
      <c r="D3" s="1296"/>
      <c r="E3" s="2168"/>
      <c r="F3" s="2167">
        <v>1</v>
      </c>
      <c r="G3" s="1296"/>
      <c r="H3" s="1296"/>
      <c r="I3" s="1296"/>
      <c r="J3" s="1296"/>
      <c r="K3" s="1296"/>
      <c r="L3" s="1296"/>
      <c r="M3" s="1340"/>
      <c r="N3" s="694"/>
      <c r="O3" s="694"/>
      <c r="P3" s="694"/>
      <c r="Q3" s="1362"/>
      <c r="R3" s="348"/>
      <c r="S3" s="515"/>
      <c r="T3" s="349"/>
      <c r="U3" s="1366">
        <f>INDEX(PT_DIFFERENTIATION_NUM_TER,MATCH(B3,PT_DIFFERENTIATION_TER_ID,0))</f>
      </c>
      <c r="V3" s="298" t="s">
        <v>392</v>
      </c>
      <c r="W3" s="288"/>
      <c r="X3" s="2101"/>
      <c r="Y3" s="2102"/>
      <c r="Z3" s="2102"/>
      <c r="AA3" s="2102"/>
      <c r="AB3" s="2102"/>
      <c r="AC3" s="2102"/>
      <c r="AD3" s="2102"/>
      <c r="AE3" s="2102"/>
      <c r="AF3" s="2103"/>
      <c r="AG3" s="2101">
        <f>INDEX(PT_DIFFERENTIATION_TER,MATCH(B3,PT_DIFFERENTIATION_TER_ID,0))</f>
      </c>
      <c r="AH3" s="2102"/>
      <c r="AI3" s="2102"/>
      <c r="AJ3" s="2102"/>
      <c r="AK3" s="2102"/>
      <c r="AL3" s="2102"/>
      <c r="AM3" s="2102"/>
      <c r="AN3" s="2102"/>
      <c r="AO3" s="2102"/>
      <c r="AP3" s="3410"/>
      <c r="AQ3" s="3411"/>
      <c r="AR3" s="3411"/>
      <c r="AS3" s="3411"/>
      <c r="AT3" s="3411"/>
      <c r="AU3" s="3411"/>
      <c r="AV3" s="3411"/>
      <c r="AW3" s="3411"/>
      <c r="AX3" s="3412"/>
      <c r="AY3" s="2103"/>
      <c r="AZ3" s="1286" t="s">
        <v>393</v>
      </c>
      <c r="BB3" s="506"/>
      <c r="BC3" s="506" t="str">
        <f>IF(V3="","",V3)</f>
        <v>Территория действия тарифа</v>
      </c>
      <c r="BD3" s="506"/>
      <c r="BE3" s="506"/>
    </row>
    <row customHeight="1" ht="22.5" hidden="1">
      <c r="A4" s="1296"/>
      <c r="B4" s="1296"/>
      <c r="C4" s="1296"/>
      <c r="D4" s="1296"/>
      <c r="E4" s="2168"/>
      <c r="F4" s="2168"/>
      <c r="G4" s="2167">
        <v>1</v>
      </c>
      <c r="H4" s="1296"/>
      <c r="I4" s="1296"/>
      <c r="J4" s="1296"/>
      <c r="K4" s="1296"/>
      <c r="L4" s="1296"/>
      <c r="M4" s="1340"/>
      <c r="N4" s="694"/>
      <c r="O4" s="694"/>
      <c r="P4" s="694"/>
      <c r="Q4" s="350"/>
      <c r="R4" s="348"/>
      <c r="S4" s="515"/>
      <c r="T4" s="349"/>
      <c r="U4" s="1366">
        <f>INDEX(PT_DIFFERENTIATION_NUM_CS,MATCH(C4,PT_DIFFERENTIATION_CS_ID,0))</f>
      </c>
      <c r="V4" s="299" t="s">
        <v>394</v>
      </c>
      <c r="W4" s="288"/>
      <c r="X4" s="2101"/>
      <c r="Y4" s="2102"/>
      <c r="Z4" s="2102"/>
      <c r="AA4" s="2102"/>
      <c r="AB4" s="2102"/>
      <c r="AC4" s="2102"/>
      <c r="AD4" s="2102"/>
      <c r="AE4" s="2102"/>
      <c r="AF4" s="2103"/>
      <c r="AG4" s="2101">
        <f>INDEX(PT_DIFFERENTIATION_CS,MATCH(C4,PT_DIFFERENTIATION_CS_ID,0))</f>
      </c>
      <c r="AH4" s="2102"/>
      <c r="AI4" s="2102"/>
      <c r="AJ4" s="2102"/>
      <c r="AK4" s="2102"/>
      <c r="AL4" s="2102"/>
      <c r="AM4" s="2102"/>
      <c r="AN4" s="2102"/>
      <c r="AO4" s="2102"/>
      <c r="AP4" s="3410"/>
      <c r="AQ4" s="3411"/>
      <c r="AR4" s="3411"/>
      <c r="AS4" s="3411"/>
      <c r="AT4" s="3411"/>
      <c r="AU4" s="3411"/>
      <c r="AV4" s="3411"/>
      <c r="AW4" s="3411"/>
      <c r="AX4" s="3412"/>
      <c r="AY4" s="2103"/>
      <c r="AZ4" s="1286" t="s">
        <v>395</v>
      </c>
      <c r="BB4" s="506"/>
      <c r="BC4" s="506" t="str">
        <f>IF(V4="","",V4)</f>
        <v>Наименование системы теплоснабжения </v>
      </c>
      <c r="BD4" s="506"/>
      <c r="BE4" s="506"/>
    </row>
    <row customHeight="1" ht="21" hidden="1">
      <c r="A5" s="1296"/>
      <c r="B5" s="1296"/>
      <c r="C5" s="1296"/>
      <c r="D5" s="1296"/>
      <c r="E5" s="2168"/>
      <c r="F5" s="2168"/>
      <c r="G5" s="2168"/>
      <c r="H5" s="2167">
        <v>1</v>
      </c>
      <c r="I5" s="1296"/>
      <c r="J5" s="1296"/>
      <c r="K5" s="1296"/>
      <c r="L5" s="1296"/>
      <c r="M5" s="1340"/>
      <c r="N5" s="694"/>
      <c r="O5" s="694"/>
      <c r="P5" s="694"/>
      <c r="Q5" s="350"/>
      <c r="R5" s="348"/>
      <c r="S5" s="515"/>
      <c r="T5" s="349"/>
      <c r="U5" s="1366">
        <f>INDEX(PT_DIFFERENTIATION_NUM_IST_TE,MATCH(D5,PT_DIFFERENTIATION_IST_TE_ID,0))</f>
      </c>
      <c r="V5" s="300" t="s">
        <v>396</v>
      </c>
      <c r="W5" s="288"/>
      <c r="X5" s="2101"/>
      <c r="Y5" s="2102"/>
      <c r="Z5" s="2102"/>
      <c r="AA5" s="2102"/>
      <c r="AB5" s="2102"/>
      <c r="AC5" s="2102"/>
      <c r="AD5" s="2102"/>
      <c r="AE5" s="2102"/>
      <c r="AF5" s="2103"/>
      <c r="AG5" s="2101">
        <f>INDEX(PT_DIFFERENTIATION_IST_TE,MATCH(D5,PT_DIFFERENTIATION_IST_TE_ID,0))</f>
      </c>
      <c r="AH5" s="2102"/>
      <c r="AI5" s="2102"/>
      <c r="AJ5" s="2102"/>
      <c r="AK5" s="2102"/>
      <c r="AL5" s="2102"/>
      <c r="AM5" s="2102"/>
      <c r="AN5" s="2102"/>
      <c r="AO5" s="2102"/>
      <c r="AP5" s="3410"/>
      <c r="AQ5" s="3411"/>
      <c r="AR5" s="3411"/>
      <c r="AS5" s="3411"/>
      <c r="AT5" s="3411"/>
      <c r="AU5" s="3411"/>
      <c r="AV5" s="3411"/>
      <c r="AW5" s="3411"/>
      <c r="AX5" s="3412"/>
      <c r="AY5" s="2103"/>
      <c r="AZ5" s="1286" t="s">
        <v>397</v>
      </c>
      <c r="BB5" s="506"/>
      <c r="BC5" s="506" t="str">
        <f>IF(V5="","",V5)</f>
        <v>Источник тепловой энергии  </v>
      </c>
      <c r="BD5" s="506"/>
      <c r="BE5" s="506"/>
    </row>
    <row customHeight="1" ht="14.25" hidden="1">
      <c r="A6" s="1296"/>
      <c r="B6" s="1296"/>
      <c r="C6" s="1296"/>
      <c r="D6" s="1296"/>
      <c r="E6" s="2168"/>
      <c r="F6" s="2168"/>
      <c r="G6" s="2168"/>
      <c r="H6" s="2168"/>
      <c r="I6" s="1971">
        <f>U5&amp;".1"</f>
      </c>
      <c r="J6" s="1296"/>
      <c r="K6" s="1296"/>
      <c r="L6" s="1296"/>
      <c r="M6" s="1340" t="s">
        <v>398</v>
      </c>
      <c r="N6" s="515"/>
      <c r="Q6" s="2111">
        <v>1</v>
      </c>
      <c r="R6" s="1361"/>
      <c r="S6" s="1361"/>
      <c r="T6" s="352"/>
      <c r="U6" s="1049"/>
      <c r="V6" s="1413"/>
      <c r="W6" s="1414"/>
      <c r="X6" s="2147"/>
      <c r="Y6" s="2148"/>
      <c r="Z6" s="2148"/>
      <c r="AA6" s="2148"/>
      <c r="AB6" s="2148"/>
      <c r="AC6" s="2148"/>
      <c r="AD6" s="2148"/>
      <c r="AE6" s="2148"/>
      <c r="AF6" s="2149"/>
      <c r="AG6" s="2147"/>
      <c r="AH6" s="2148"/>
      <c r="AI6" s="2148"/>
      <c r="AJ6" s="2148"/>
      <c r="AK6" s="2148"/>
      <c r="AL6" s="2148"/>
      <c r="AM6" s="2148"/>
      <c r="AN6" s="2148"/>
      <c r="AO6" s="2148"/>
      <c r="AP6" s="3414"/>
      <c r="AQ6" s="3415"/>
      <c r="AR6" s="3415"/>
      <c r="AS6" s="3415"/>
      <c r="AT6" s="3415"/>
      <c r="AU6" s="3415"/>
      <c r="AV6" s="3415"/>
      <c r="AW6" s="3415"/>
      <c r="AX6" s="3416"/>
      <c r="AY6" s="2149"/>
      <c r="AZ6" s="1415"/>
      <c r="BB6" s="506"/>
      <c r="BC6" s="506" t="str">
        <f>IF(V6="","",V6)</f>
        <v/>
      </c>
      <c r="BD6" s="506"/>
      <c r="BE6" s="506"/>
    </row>
    <row customHeight="1" ht="21" hidden="1">
      <c r="A7" s="1296"/>
      <c r="B7" s="1296"/>
      <c r="C7" s="1296"/>
      <c r="D7" s="1296"/>
      <c r="E7" s="2168"/>
      <c r="F7" s="2168"/>
      <c r="G7" s="2168"/>
      <c r="H7" s="2168"/>
      <c r="I7" s="1955"/>
      <c r="J7" s="1971">
        <f>I6&amp;".1"</f>
      </c>
      <c r="K7" s="1296"/>
      <c r="L7" s="1296"/>
      <c r="M7" s="1340" t="s">
        <v>401</v>
      </c>
      <c r="N7" s="515"/>
      <c r="O7" s="323"/>
      <c r="Q7" s="2111"/>
      <c r="R7" s="2111">
        <v>1</v>
      </c>
      <c r="S7" s="524"/>
      <c r="T7" s="353"/>
      <c r="U7" s="1366">
        <f>$J7</f>
      </c>
      <c r="V7" s="274" t="s">
        <v>402</v>
      </c>
      <c r="W7" s="288"/>
      <c r="X7" s="2095"/>
      <c r="Y7" s="2096"/>
      <c r="Z7" s="2096"/>
      <c r="AA7" s="2096"/>
      <c r="AB7" s="2096"/>
      <c r="AC7" s="2088"/>
      <c r="AD7" s="2088"/>
      <c r="AE7" s="2088"/>
      <c r="AF7" s="2171"/>
      <c r="AG7" s="2095"/>
      <c r="AH7" s="2096"/>
      <c r="AI7" s="2096"/>
      <c r="AJ7" s="2096"/>
      <c r="AK7" s="2096"/>
      <c r="AL7" s="2096"/>
      <c r="AM7" s="2096"/>
      <c r="AN7" s="2096"/>
      <c r="AO7" s="2096"/>
      <c r="AP7" s="3418"/>
      <c r="AQ7" s="3419"/>
      <c r="AR7" s="3419"/>
      <c r="AS7" s="3419"/>
      <c r="AT7" s="3419"/>
      <c r="AU7" s="3420"/>
      <c r="AV7" s="3420"/>
      <c r="AW7" s="3420"/>
      <c r="AX7" s="3421"/>
      <c r="AY7" s="2097"/>
      <c r="AZ7" s="1286" t="s">
        <v>403</v>
      </c>
      <c r="BB7" s="506"/>
      <c r="BC7" s="506" t="str">
        <f>IF(V7="","",V7)</f>
        <v>Группа потребителей</v>
      </c>
      <c r="BD7" s="506"/>
      <c r="BE7" s="506"/>
    </row>
    <row customHeight="1" ht="21" hidden="1">
      <c r="A8" s="1296"/>
      <c r="B8" s="1296"/>
      <c r="C8" s="1296"/>
      <c r="D8" s="1296"/>
      <c r="E8" s="2168"/>
      <c r="F8" s="2168"/>
      <c r="G8" s="2168"/>
      <c r="H8" s="2168"/>
      <c r="I8" s="1955"/>
      <c r="J8" s="1955"/>
      <c r="K8" s="1971">
        <f>J7&amp;".1"</f>
      </c>
      <c r="L8" s="125"/>
      <c r="M8" s="1340" t="s">
        <v>404</v>
      </c>
      <c r="N8" s="515"/>
      <c r="O8" s="323"/>
      <c r="P8" s="323"/>
      <c r="Q8" s="2111"/>
      <c r="R8" s="2111"/>
      <c r="S8" s="2111">
        <v>1</v>
      </c>
      <c r="T8" s="353"/>
      <c r="U8" s="1366">
        <f>$K8</f>
      </c>
      <c r="V8" s="1377"/>
      <c r="W8" s="288"/>
      <c r="X8" s="757"/>
      <c r="Y8" s="757"/>
      <c r="Z8" s="757"/>
      <c r="AA8" s="757"/>
      <c r="AB8" s="1435"/>
      <c r="AC8" s="2112"/>
      <c r="AD8" s="1981" t="s">
        <v>62</v>
      </c>
      <c r="AE8" s="2112"/>
      <c r="AF8" s="1981" t="s">
        <v>62</v>
      </c>
      <c r="AG8" s="1437"/>
      <c r="AH8" s="757"/>
      <c r="AI8" s="757"/>
      <c r="AJ8" s="757"/>
      <c r="AK8" s="1285"/>
      <c r="AL8" s="2112"/>
      <c r="AM8" s="1981" t="s">
        <v>62</v>
      </c>
      <c r="AN8" s="2112"/>
      <c r="AO8" s="1981" t="s">
        <v>62</v>
      </c>
      <c r="AP8" s="3425"/>
      <c r="AQ8" s="3425"/>
      <c r="AR8" s="3425"/>
      <c r="AS8" s="3425"/>
      <c r="AT8" s="3426"/>
      <c r="AU8" s="3427"/>
      <c r="AV8" s="2861" t="s">
        <v>62</v>
      </c>
      <c r="AW8" s="3427"/>
      <c r="AX8" s="2861" t="s">
        <v>62</v>
      </c>
      <c r="AY8" s="320"/>
      <c r="AZ8" s="1337" t="s">
        <v>442</v>
      </c>
      <c r="BA8" s="517">
        <f>STRCHECKDATE(X10:AY10)</f>
      </c>
      <c r="BB8" s="506"/>
      <c r="BC8" s="506" t="str">
        <f>IF(V8="","",V8)</f>
        <v/>
      </c>
      <c r="BD8" s="506"/>
      <c r="BE8" s="506"/>
    </row>
    <row customHeight="1" ht="21" hidden="1">
      <c r="A9" s="1296"/>
      <c r="B9" s="1296"/>
      <c r="C9" s="1296"/>
      <c r="D9" s="1296"/>
      <c r="E9" s="2168"/>
      <c r="F9" s="2168"/>
      <c r="G9" s="2168"/>
      <c r="H9" s="2168"/>
      <c r="I9" s="1955"/>
      <c r="J9" s="1955"/>
      <c r="K9" s="1955"/>
      <c r="L9" s="1971">
        <f>K8&amp;".1"</f>
      </c>
      <c r="M9" s="1340"/>
      <c r="N9" s="515"/>
      <c r="O9" s="323"/>
      <c r="P9" s="323"/>
      <c r="Q9" s="2111"/>
      <c r="R9" s="2111"/>
      <c r="S9" s="2111"/>
      <c r="T9" s="353"/>
      <c r="U9" s="1366">
        <f>$L9</f>
      </c>
      <c r="V9" s="1421"/>
      <c r="W9" s="288"/>
      <c r="X9" s="320"/>
      <c r="Y9" s="757"/>
      <c r="Z9" s="757"/>
      <c r="AA9" s="757"/>
      <c r="AB9" s="1435"/>
      <c r="AC9" s="2152"/>
      <c r="AD9" s="1981"/>
      <c r="AE9" s="2152"/>
      <c r="AF9" s="1981"/>
      <c r="AG9" s="1437"/>
      <c r="AH9" s="757"/>
      <c r="AI9" s="757"/>
      <c r="AJ9" s="757"/>
      <c r="AK9" s="1285"/>
      <c r="AL9" s="2152"/>
      <c r="AM9" s="1981"/>
      <c r="AN9" s="2152"/>
      <c r="AO9" s="1981"/>
      <c r="AP9" s="3431"/>
      <c r="AQ9" s="3425"/>
      <c r="AR9" s="3425"/>
      <c r="AS9" s="3425"/>
      <c r="AT9" s="3426"/>
      <c r="AU9" s="3432"/>
      <c r="AV9" s="2861"/>
      <c r="AW9" s="3432"/>
      <c r="AX9" s="2861"/>
      <c r="AY9" s="320"/>
      <c r="AZ9" s="2137" t="s">
        <v>443</v>
      </c>
      <c r="BB9" s="506"/>
      <c r="BC9" s="506"/>
      <c r="BD9" s="506"/>
      <c r="BE9" s="506"/>
    </row>
    <row customHeight="1" ht="14.25" hidden="1">
      <c r="A10" s="1296"/>
      <c r="B10" s="1296"/>
      <c r="C10" s="1296"/>
      <c r="D10" s="1296"/>
      <c r="E10" s="2168"/>
      <c r="F10" s="2168"/>
      <c r="G10" s="2168"/>
      <c r="H10" s="2168"/>
      <c r="I10" s="1955"/>
      <c r="J10" s="1955"/>
      <c r="K10" s="1955"/>
      <c r="L10" s="1971"/>
      <c r="M10" s="1340"/>
      <c r="N10" s="515"/>
      <c r="O10" s="323"/>
      <c r="P10" s="323"/>
      <c r="Q10" s="2111"/>
      <c r="R10" s="2111"/>
      <c r="S10" s="2111"/>
      <c r="T10" s="353"/>
      <c r="U10" s="1372"/>
      <c r="V10" s="288"/>
      <c r="W10" s="288"/>
      <c r="X10" s="320"/>
      <c r="Y10" s="320"/>
      <c r="Z10" s="320"/>
      <c r="AA10" s="320"/>
      <c r="AB10" s="1436" t="str">
        <f>AC8&amp;"-"&amp;AE8</f>
        <v>-</v>
      </c>
      <c r="AC10" s="2152"/>
      <c r="AD10" s="1981"/>
      <c r="AE10" s="2152"/>
      <c r="AF10" s="1981"/>
      <c r="AG10" s="1412"/>
      <c r="AH10" s="320"/>
      <c r="AI10" s="320"/>
      <c r="AJ10" s="320"/>
      <c r="AK10" s="324" t="str">
        <f>AL8&amp;"-"&amp;AN8</f>
        <v>-</v>
      </c>
      <c r="AL10" s="2152"/>
      <c r="AM10" s="1981"/>
      <c r="AN10" s="2152"/>
      <c r="AO10" s="1981"/>
      <c r="AP10" s="3431"/>
      <c r="AQ10" s="3431"/>
      <c r="AR10" s="3431"/>
      <c r="AS10" s="3431"/>
      <c r="AT10" s="3435" t="str">
        <f>AU8&amp;"-"&amp;AW8</f>
        <v>-</v>
      </c>
      <c r="AU10" s="3432"/>
      <c r="AV10" s="2861"/>
      <c r="AW10" s="3432"/>
      <c r="AX10" s="2861"/>
      <c r="AY10" s="320"/>
      <c r="AZ10" s="2138"/>
      <c r="BB10" s="506"/>
      <c r="BC10" s="506" t="str">
        <f>IF(V10="","",V10)</f>
        <v/>
      </c>
      <c r="BD10" s="506"/>
      <c r="BE10" s="506"/>
    </row>
    <row customHeight="1" ht="11.25" hidden="1">
      <c r="A11" s="1296"/>
      <c r="B11" s="1296"/>
      <c r="C11" s="1296"/>
      <c r="D11" s="1296"/>
      <c r="E11" s="2168"/>
      <c r="F11" s="2168"/>
      <c r="G11" s="2168"/>
      <c r="H11" s="2168"/>
      <c r="I11" s="1955"/>
      <c r="J11" s="1955"/>
      <c r="K11" s="1971"/>
      <c r="L11" s="1296"/>
      <c r="M11" s="1340"/>
      <c r="N11" s="515"/>
      <c r="O11" s="323"/>
      <c r="P11" s="323"/>
      <c r="Q11" s="2111"/>
      <c r="R11" s="2111"/>
      <c r="S11" s="2111"/>
      <c r="T11" s="353"/>
      <c r="U11" s="1308"/>
      <c r="V11" s="276" t="s">
        <v>444</v>
      </c>
      <c r="W11" s="1422"/>
      <c r="X11" s="1423"/>
      <c r="Y11" s="1423"/>
      <c r="Z11" s="1423"/>
      <c r="AA11" s="1423"/>
      <c r="AB11" s="1424"/>
      <c r="AC11" s="2152"/>
      <c r="AD11" s="1981"/>
      <c r="AE11" s="2152"/>
      <c r="AF11" s="1981"/>
      <c r="AG11" s="1423"/>
      <c r="AH11" s="1423"/>
      <c r="AI11" s="1423"/>
      <c r="AJ11" s="1423"/>
      <c r="AK11" s="1424"/>
      <c r="AL11" s="2152"/>
      <c r="AM11" s="1981"/>
      <c r="AN11" s="2152"/>
      <c r="AO11" s="1981"/>
      <c r="AP11" s="3439"/>
      <c r="AQ11" s="3440"/>
      <c r="AR11" s="3441"/>
      <c r="AS11" s="3442"/>
      <c r="AT11" s="3443"/>
      <c r="AU11" s="3432"/>
      <c r="AV11" s="2861"/>
      <c r="AW11" s="3432"/>
      <c r="AX11" s="2861"/>
      <c r="AY11" s="1425"/>
      <c r="AZ11" s="2138"/>
      <c r="BB11" s="506"/>
      <c r="BC11" s="506"/>
      <c r="BD11" s="506"/>
      <c r="BE11" s="506"/>
    </row>
    <row customHeight="1" ht="15" hidden="1">
      <c r="A12" s="1296"/>
      <c r="B12" s="1296"/>
      <c r="C12" s="1296"/>
      <c r="D12" s="1296"/>
      <c r="E12" s="2168"/>
      <c r="F12" s="2168"/>
      <c r="G12" s="2168"/>
      <c r="H12" s="2168"/>
      <c r="I12" s="1955"/>
      <c r="J12" s="1971"/>
      <c r="K12" s="1296"/>
      <c r="L12" s="1296"/>
      <c r="M12" s="1340"/>
      <c r="N12" s="515"/>
      <c r="O12" s="323"/>
      <c r="Q12" s="2111"/>
      <c r="R12" s="2111"/>
      <c r="S12" s="1361"/>
      <c r="T12" s="352"/>
      <c r="U12" s="1308"/>
      <c r="V12" s="275" t="s">
        <v>406</v>
      </c>
      <c r="W12" s="367"/>
      <c r="X12" s="367"/>
      <c r="Y12" s="367"/>
      <c r="Z12" s="367"/>
      <c r="AA12" s="367"/>
      <c r="AB12" s="367"/>
      <c r="AC12" s="1438"/>
      <c r="AD12" s="1438"/>
      <c r="AE12" s="1438"/>
      <c r="AF12" s="1438"/>
      <c r="AG12" s="367"/>
      <c r="AH12" s="367"/>
      <c r="AI12" s="367"/>
      <c r="AJ12" s="367"/>
      <c r="AK12" s="367"/>
      <c r="AL12" s="367"/>
      <c r="AM12" s="367"/>
      <c r="AN12" s="367"/>
      <c r="AO12" s="367"/>
      <c r="AP12" s="3446"/>
      <c r="AQ12" s="3447"/>
      <c r="AR12" s="3448"/>
      <c r="AS12" s="3449"/>
      <c r="AT12" s="3450"/>
      <c r="AU12" s="3451"/>
      <c r="AV12" s="3452"/>
      <c r="AW12" s="3453"/>
      <c r="AX12" s="3454"/>
      <c r="AY12" s="319"/>
      <c r="AZ12" s="2139"/>
      <c r="BB12" s="506"/>
      <c r="BC12" s="506" t="str">
        <f>IF(V12="","",V12)</f>
        <v>Добавить вид теплоносителя (параметры теплоносителя)</v>
      </c>
      <c r="BD12" s="506"/>
      <c r="BE12" s="506"/>
    </row>
    <row customHeight="1" ht="11.25" hidden="1">
      <c r="A13" s="1296"/>
      <c r="B13" s="1296"/>
      <c r="C13" s="1296"/>
      <c r="D13" s="1296"/>
      <c r="E13" s="2168"/>
      <c r="F13" s="2168"/>
      <c r="G13" s="2168"/>
      <c r="H13" s="2168"/>
      <c r="I13" s="1971"/>
      <c r="J13" s="1296"/>
      <c r="K13" s="1296"/>
      <c r="L13" s="1296"/>
      <c r="M13" s="1340"/>
      <c r="N13" s="515"/>
      <c r="Q13" s="2111"/>
      <c r="R13" s="1361"/>
      <c r="S13" s="1361"/>
      <c r="T13" s="352"/>
      <c r="U13" s="1308"/>
      <c r="V13" s="364" t="s">
        <v>407</v>
      </c>
      <c r="W13" s="367"/>
      <c r="X13" s="367"/>
      <c r="Y13" s="367"/>
      <c r="Z13" s="367"/>
      <c r="AA13" s="367"/>
      <c r="AB13" s="367"/>
      <c r="AC13" s="367"/>
      <c r="AD13" s="367"/>
      <c r="AE13" s="367"/>
      <c r="AF13" s="366"/>
      <c r="AG13" s="367"/>
      <c r="AH13" s="367"/>
      <c r="AI13" s="367"/>
      <c r="AJ13" s="367"/>
      <c r="AK13" s="367"/>
      <c r="AL13" s="367"/>
      <c r="AM13" s="367"/>
      <c r="AN13" s="367"/>
      <c r="AO13" s="366"/>
      <c r="AP13" s="3455"/>
      <c r="AQ13" s="3456"/>
      <c r="AR13" s="3457"/>
      <c r="AS13" s="3458"/>
      <c r="AT13" s="3459"/>
      <c r="AU13" s="3460"/>
      <c r="AV13" s="3461"/>
      <c r="AW13" s="3462"/>
      <c r="AX13" s="3463"/>
      <c r="AY13" s="367"/>
      <c r="AZ13" s="291"/>
      <c r="BB13" s="506"/>
      <c r="BC13" s="506" t="str">
        <f>IF(V13="","",V13)</f>
        <v>Добавить группу потребителей</v>
      </c>
      <c r="BD13" s="506"/>
      <c r="BE13" s="506"/>
    </row>
    <row customHeight="1" ht="14.25" hidden="1">
      <c r="A14" s="1296"/>
      <c r="B14" s="1296"/>
      <c r="C14" s="1296"/>
      <c r="D14" s="1296"/>
      <c r="E14" s="2168"/>
      <c r="F14" s="2168"/>
      <c r="G14" s="2168"/>
      <c r="H14" s="2167"/>
      <c r="I14" s="1296"/>
      <c r="J14" s="1296"/>
      <c r="K14" s="1296"/>
      <c r="L14" s="1296"/>
      <c r="M14" s="1340"/>
      <c r="N14" s="694"/>
      <c r="O14" s="694"/>
      <c r="P14" s="515"/>
      <c r="Q14" s="356"/>
      <c r="R14" s="376"/>
      <c r="S14" s="351"/>
      <c r="T14" s="356"/>
      <c r="U14" s="1416"/>
      <c r="V14" s="1417"/>
      <c r="W14" s="1418"/>
      <c r="X14" s="1418"/>
      <c r="Y14" s="1418"/>
      <c r="Z14" s="1418"/>
      <c r="AA14" s="1418"/>
      <c r="AB14" s="1418"/>
      <c r="AC14" s="1418"/>
      <c r="AD14" s="1418"/>
      <c r="AE14" s="1418"/>
      <c r="AF14" s="1418"/>
      <c r="AG14" s="1418"/>
      <c r="AH14" s="1418"/>
      <c r="AI14" s="1418"/>
      <c r="AJ14" s="1418"/>
      <c r="AK14" s="1418"/>
      <c r="AL14" s="1418"/>
      <c r="AM14" s="1418"/>
      <c r="AN14" s="1418"/>
      <c r="AO14" s="1418"/>
      <c r="AP14" s="3464"/>
      <c r="AQ14" s="3464"/>
      <c r="AR14" s="3464"/>
      <c r="AS14" s="3464"/>
      <c r="AT14" s="3464"/>
      <c r="AU14" s="3464"/>
      <c r="AV14" s="3464"/>
      <c r="AW14" s="3464"/>
      <c r="AX14" s="3464"/>
      <c r="AY14" s="1418"/>
      <c r="AZ14" s="1419"/>
      <c r="BB14" s="506"/>
      <c r="BC14" s="506" t="str">
        <f>IF(V14="","",V14)</f>
        <v/>
      </c>
      <c r="BD14" s="506"/>
      <c r="BE14" s="506"/>
    </row>
    <row s="3273" customFormat="1" customHeight="1" ht="14.25" hidden="1">
      <c r="A15" s="1404"/>
      <c r="B15" s="1404"/>
      <c r="C15" s="1404"/>
      <c r="D15" s="1404"/>
      <c r="E15" s="2168"/>
      <c r="F15" s="2168"/>
      <c r="G15" s="2167"/>
      <c r="H15" s="1404"/>
      <c r="I15" s="1404"/>
      <c r="J15" s="1404"/>
      <c r="K15" s="1404"/>
      <c r="L15" s="1404"/>
      <c r="M15" s="1407"/>
      <c r="N15" s="1408"/>
      <c r="O15" s="1408"/>
      <c r="P15" s="347"/>
      <c r="Q15" s="1346"/>
      <c r="R15" s="1347"/>
      <c r="S15" s="1346"/>
      <c r="T15" s="1346"/>
      <c r="U15" s="1348"/>
      <c r="V15" s="1349" t="s">
        <v>181</v>
      </c>
      <c r="W15" s="1350"/>
      <c r="X15" s="1350"/>
      <c r="Y15" s="1350"/>
      <c r="Z15" s="1350"/>
      <c r="AA15" s="1350"/>
      <c r="AB15" s="1350"/>
      <c r="AC15" s="1350"/>
      <c r="AD15" s="1350"/>
      <c r="AE15" s="1350"/>
      <c r="AF15" s="1350"/>
      <c r="AG15" s="1350"/>
      <c r="AH15" s="1350"/>
      <c r="AI15" s="1350"/>
      <c r="AJ15" s="1350"/>
      <c r="AK15" s="1350"/>
      <c r="AL15" s="1350"/>
      <c r="AM15" s="1350"/>
      <c r="AN15" s="1350"/>
      <c r="AO15" s="1350"/>
      <c r="AP15" s="3469"/>
      <c r="AQ15" s="3469"/>
      <c r="AR15" s="3469"/>
      <c r="AS15" s="3469"/>
      <c r="AT15" s="3469"/>
      <c r="AU15" s="3469"/>
      <c r="AV15" s="3469"/>
      <c r="AW15" s="3469"/>
      <c r="AX15" s="3469"/>
      <c r="AY15" s="1350"/>
      <c r="AZ15" s="1350"/>
      <c r="BB15" s="795"/>
      <c r="BC15" s="795" t="str">
        <f>IF(V15="","",V15)</f>
        <v>Добавить источник для дифференциации</v>
      </c>
      <c r="BD15" s="795"/>
      <c r="BE15" s="795"/>
    </row>
    <row s="3273" customFormat="1" customHeight="1" ht="14.25" hidden="1">
      <c r="A16" s="1404"/>
      <c r="B16" s="1404"/>
      <c r="C16" s="1404"/>
      <c r="D16" s="1404"/>
      <c r="E16" s="2168"/>
      <c r="F16" s="2167"/>
      <c r="G16" s="1404"/>
      <c r="H16" s="1404"/>
      <c r="I16" s="1404"/>
      <c r="J16" s="1404"/>
      <c r="K16" s="1404"/>
      <c r="L16" s="1404"/>
      <c r="M16" s="1407"/>
      <c r="N16" s="1409"/>
      <c r="O16" s="1409"/>
      <c r="P16" s="347"/>
      <c r="Q16" s="1346"/>
      <c r="R16" s="1347"/>
      <c r="S16" s="1346"/>
      <c r="T16" s="1346"/>
      <c r="U16" s="1352"/>
      <c r="V16" s="1353" t="s">
        <v>182</v>
      </c>
      <c r="W16" s="1354"/>
      <c r="X16" s="1354"/>
      <c r="Y16" s="1354"/>
      <c r="Z16" s="1354"/>
      <c r="AA16" s="1354"/>
      <c r="AB16" s="1354"/>
      <c r="AC16" s="1354"/>
      <c r="AD16" s="1354"/>
      <c r="AE16" s="1354"/>
      <c r="AF16" s="1354"/>
      <c r="AG16" s="1354"/>
      <c r="AH16" s="1354"/>
      <c r="AI16" s="1354"/>
      <c r="AJ16" s="1354"/>
      <c r="AK16" s="1354"/>
      <c r="AL16" s="1354"/>
      <c r="AM16" s="1354"/>
      <c r="AN16" s="1354"/>
      <c r="AO16" s="1354"/>
      <c r="AP16" s="3471"/>
      <c r="AQ16" s="3471"/>
      <c r="AR16" s="3471"/>
      <c r="AS16" s="3471"/>
      <c r="AT16" s="3471"/>
      <c r="AU16" s="3471"/>
      <c r="AV16" s="3471"/>
      <c r="AW16" s="3471"/>
      <c r="AX16" s="3471"/>
      <c r="AY16" s="1354"/>
      <c r="AZ16" s="1354"/>
      <c r="BB16" s="795"/>
      <c r="BC16" s="795" t="str">
        <f>IF(V16="","",V16)</f>
        <v>Добавить централизованную систему для дифференциации</v>
      </c>
      <c r="BD16" s="795"/>
      <c r="BE16" s="795"/>
    </row>
    <row s="3273" customFormat="1" customHeight="1" ht="14.25" hidden="1">
      <c r="A17" s="1404"/>
      <c r="B17" s="1404"/>
      <c r="C17" s="1404"/>
      <c r="D17" s="1404"/>
      <c r="E17" s="2167"/>
      <c r="F17" s="1404"/>
      <c r="G17" s="1404"/>
      <c r="H17" s="1404"/>
      <c r="I17" s="1404"/>
      <c r="J17" s="1404"/>
      <c r="K17" s="1404"/>
      <c r="L17" s="1404"/>
      <c r="M17" s="1407"/>
      <c r="N17" s="1409"/>
      <c r="O17" s="1409"/>
      <c r="P17" s="347"/>
      <c r="Q17" s="1346"/>
      <c r="R17" s="1347"/>
      <c r="S17" s="1346"/>
      <c r="T17" s="1346"/>
      <c r="U17" s="1352"/>
      <c r="V17" s="1355" t="s">
        <v>183</v>
      </c>
      <c r="W17" s="1354"/>
      <c r="X17" s="1354"/>
      <c r="Y17" s="1354"/>
      <c r="Z17" s="1354"/>
      <c r="AA17" s="1354"/>
      <c r="AB17" s="1354"/>
      <c r="AC17" s="1354"/>
      <c r="AD17" s="1354"/>
      <c r="AE17" s="1354"/>
      <c r="AF17" s="1354"/>
      <c r="AG17" s="1354"/>
      <c r="AH17" s="1354"/>
      <c r="AI17" s="1354"/>
      <c r="AJ17" s="1354"/>
      <c r="AK17" s="1354"/>
      <c r="AL17" s="1354"/>
      <c r="AM17" s="1354"/>
      <c r="AN17" s="1354"/>
      <c r="AO17" s="1354"/>
      <c r="AP17" s="3471"/>
      <c r="AQ17" s="3471"/>
      <c r="AR17" s="3471"/>
      <c r="AS17" s="3471"/>
      <c r="AT17" s="3471"/>
      <c r="AU17" s="3471"/>
      <c r="AV17" s="3471"/>
      <c r="AW17" s="3471"/>
      <c r="AX17" s="3471"/>
      <c r="AY17" s="1354"/>
      <c r="AZ17" s="1354"/>
      <c r="BB17" s="795"/>
      <c r="BC17" s="795" t="str">
        <f>IF(V17="","",V17)</f>
        <v>Добавить территорию для дифференциации</v>
      </c>
      <c r="BD17" s="795"/>
      <c r="BE17" s="795"/>
    </row>
    <row customHeight="1" ht="14.25" hidden="1">
      <c r="AF18" s="323"/>
      <c r="AO18" s="323"/>
      <c r="AP18" s="3406"/>
      <c r="AQ18" s="3406"/>
      <c r="AR18" s="3406"/>
      <c r="AS18" s="3406"/>
      <c r="AT18" s="3406"/>
      <c r="AU18" s="3406"/>
      <c r="AV18" s="3406"/>
      <c r="AW18" s="3406"/>
      <c r="AX18" s="3406"/>
    </row>
    <row customHeight="1" ht="14.25" hidden="1">
      <c r="AG19" s="1390"/>
      <c r="AH19" s="1390"/>
      <c r="AI19" s="1390"/>
      <c r="AJ19" s="1390"/>
      <c r="AK19" s="1391"/>
      <c r="AL19" s="2105"/>
      <c r="AM19" s="2104" t="s">
        <v>62</v>
      </c>
      <c r="AN19" s="2105"/>
      <c r="AO19" s="2104" t="s">
        <v>62</v>
      </c>
      <c r="AP19" s="3406"/>
      <c r="AQ19" s="3406"/>
      <c r="AR19" s="3406"/>
      <c r="AS19" s="3406"/>
      <c r="AT19" s="3406"/>
      <c r="AU19" s="3406"/>
      <c r="AV19" s="3406"/>
      <c r="AW19" s="3406"/>
      <c r="AX19" s="3406"/>
    </row>
    <row customHeight="1" ht="14.25" hidden="1">
      <c r="AG20" s="1390"/>
      <c r="AH20" s="1390"/>
      <c r="AI20" s="1390"/>
      <c r="AJ20" s="1390"/>
      <c r="AK20" s="1391"/>
      <c r="AL20" s="2105"/>
      <c r="AM20" s="2104"/>
      <c r="AN20" s="2105"/>
      <c r="AO20" s="2104"/>
      <c r="AP20" s="3406"/>
      <c r="AQ20" s="3406"/>
      <c r="AR20" s="3406"/>
      <c r="AS20" s="3406"/>
      <c r="AT20" s="3406"/>
      <c r="AU20" s="3406"/>
      <c r="AV20" s="3406"/>
      <c r="AW20" s="3406"/>
      <c r="AX20" s="3406"/>
    </row>
    <row customHeight="1" ht="14.25" hidden="1">
      <c r="AG21" s="1390"/>
      <c r="AH21" s="1390"/>
      <c r="AI21" s="1390"/>
      <c r="AJ21" s="1390"/>
      <c r="AK21" s="1391"/>
      <c r="AL21" s="2105"/>
      <c r="AM21" s="2104"/>
      <c r="AN21" s="2105"/>
      <c r="AO21" s="2104"/>
      <c r="AP21" s="3406"/>
      <c r="AQ21" s="3406"/>
      <c r="AR21" s="3406"/>
      <c r="AS21" s="3406"/>
      <c r="AT21" s="3406"/>
      <c r="AU21" s="3406"/>
      <c r="AV21" s="3406"/>
      <c r="AW21" s="3406"/>
      <c r="AX21" s="3406"/>
    </row>
    <row customHeight="1" ht="14.25" hidden="1">
      <c r="AG22" s="1390"/>
      <c r="AH22" s="1390"/>
      <c r="AI22" s="1390"/>
      <c r="AJ22" s="1390"/>
      <c r="AK22" s="324" t="str">
        <f>AL19&amp;"-"&amp;AN19</f>
        <v>-</v>
      </c>
      <c r="AL22" s="2104"/>
      <c r="AM22" s="2104"/>
      <c r="AN22" s="2104"/>
      <c r="AO22" s="2104"/>
      <c r="AP22" s="3406"/>
      <c r="AQ22" s="3406"/>
      <c r="AR22" s="3406"/>
      <c r="AS22" s="3406"/>
      <c r="AT22" s="3406"/>
      <c r="AU22" s="3406"/>
      <c r="AV22" s="3406"/>
      <c r="AW22" s="3406"/>
      <c r="AX22" s="3406"/>
    </row>
    <row customHeight="1" ht="14.25" hidden="1">
      <c r="AO23" s="323"/>
      <c r="AP23" s="3406"/>
      <c r="AQ23" s="3406"/>
      <c r="AR23" s="3406"/>
      <c r="AS23" s="3406"/>
      <c r="AT23" s="3406"/>
      <c r="AU23" s="3406"/>
      <c r="AV23" s="3406"/>
      <c r="AW23" s="3406"/>
      <c r="AX23" s="3406"/>
    </row>
    <row s="3292" customFormat="1" customHeight="1" ht="22.5" hidden="1">
      <c r="A24" s="1163"/>
      <c r="B24" s="1163"/>
      <c r="C24" s="1163"/>
      <c r="D24" s="1163"/>
      <c r="E24" s="1163"/>
      <c r="F24" s="1163"/>
      <c r="G24" s="1163"/>
      <c r="H24" s="1163"/>
      <c r="I24" s="1163"/>
      <c r="J24" s="1163"/>
      <c r="K24" s="1163"/>
      <c r="L24" s="1163"/>
      <c r="M24" s="1357"/>
      <c r="N24" s="1358"/>
      <c r="O24" s="1358"/>
      <c r="P24" s="1375" t="s">
        <v>409</v>
      </c>
      <c r="Q24" s="1392"/>
      <c r="R24" s="1401"/>
      <c r="S24" s="1401"/>
      <c r="T24" s="1401"/>
      <c r="U24" s="735"/>
      <c r="AC24" s="1397"/>
      <c r="AE24" s="1397"/>
      <c r="AF24" s="1396"/>
      <c r="AL24" s="1397"/>
      <c r="AN24" s="1397"/>
      <c r="AO24" s="1396"/>
      <c r="AP24" s="3474"/>
      <c r="AQ24" s="3474"/>
      <c r="AR24" s="3474"/>
      <c r="AS24" s="3474"/>
      <c r="AT24" s="3474"/>
      <c r="AU24" s="3475"/>
      <c r="AV24" s="3474"/>
      <c r="AW24" s="3475"/>
      <c r="AX24" s="3474"/>
      <c r="BA24" s="517"/>
      <c r="BB24" s="517"/>
      <c r="BC24" s="517"/>
      <c r="BD24" s="517"/>
      <c r="BE24" s="517"/>
    </row>
    <row s="3292" customFormat="1" customHeight="1" ht="14.25" hidden="1">
      <c r="A25" s="1163"/>
      <c r="B25" s="1163"/>
      <c r="C25" s="1163"/>
      <c r="D25" s="1163"/>
      <c r="E25" s="1163"/>
      <c r="F25" s="1163"/>
      <c r="G25" s="1163"/>
      <c r="H25" s="1163"/>
      <c r="I25" s="1163"/>
      <c r="J25" s="1163"/>
      <c r="K25" s="1163"/>
      <c r="L25" s="1163"/>
      <c r="M25" s="1357"/>
      <c r="N25" s="1358"/>
      <c r="O25" s="1358"/>
      <c r="P25" s="1358"/>
      <c r="Q25" s="1392"/>
      <c r="R25" s="1401"/>
      <c r="S25" s="1401"/>
      <c r="T25" s="1401"/>
      <c r="U25" s="735"/>
      <c r="AF25" s="1396"/>
      <c r="AO25" s="1396"/>
      <c r="AP25" s="3474"/>
      <c r="AQ25" s="3474"/>
      <c r="AR25" s="3474"/>
      <c r="AS25" s="3474"/>
      <c r="AT25" s="3474"/>
      <c r="AU25" s="3474"/>
      <c r="AV25" s="3474"/>
      <c r="AW25" s="3474"/>
      <c r="AX25" s="3474"/>
      <c r="BA25" s="517"/>
      <c r="BB25" s="517"/>
      <c r="BC25" s="517"/>
      <c r="BD25" s="517"/>
      <c r="BE25" s="517"/>
    </row>
    <row s="3292" customFormat="1" customHeight="1" ht="14.25" hidden="1">
      <c r="A26" s="1163"/>
      <c r="B26" s="1163"/>
      <c r="C26" s="1163"/>
      <c r="D26" s="1163"/>
      <c r="E26" s="1163"/>
      <c r="F26" s="1163"/>
      <c r="G26" s="1163"/>
      <c r="H26" s="1163"/>
      <c r="I26" s="1163"/>
      <c r="J26" s="1163"/>
      <c r="K26" s="1163"/>
      <c r="L26" s="1163"/>
      <c r="M26" s="1357"/>
      <c r="N26" s="1358"/>
      <c r="O26" s="1358"/>
      <c r="P26" s="1340" t="s">
        <v>410</v>
      </c>
      <c r="Q26" s="1392"/>
      <c r="R26" s="1401"/>
      <c r="S26" s="1401"/>
      <c r="T26" s="1401"/>
      <c r="U26" s="735"/>
      <c r="V26" s="1168" t="s">
        <v>411</v>
      </c>
      <c r="AD26" s="172" t="s">
        <v>412</v>
      </c>
      <c r="AF26" s="172" t="s">
        <v>413</v>
      </c>
      <c r="AG26" s="1168" t="s">
        <v>411</v>
      </c>
      <c r="AM26" s="172" t="s">
        <v>414</v>
      </c>
      <c r="AO26" s="172" t="s">
        <v>413</v>
      </c>
      <c r="AP26" s="3474"/>
      <c r="AQ26" s="3474"/>
      <c r="AR26" s="3474"/>
      <c r="AS26" s="3474"/>
      <c r="AT26" s="3474"/>
      <c r="AU26" s="3474"/>
      <c r="AV26" s="3476" t="s">
        <v>412</v>
      </c>
      <c r="AW26" s="3474"/>
      <c r="AX26" s="3476" t="s">
        <v>413</v>
      </c>
      <c r="BA26" s="517"/>
      <c r="BB26" s="517"/>
      <c r="BC26" s="517"/>
      <c r="BD26" s="517"/>
      <c r="BE26" s="517"/>
    </row>
    <row customHeight="1" ht="14.25" hidden="1">
      <c r="P27" s="1340"/>
      <c r="AP27" s="3406"/>
      <c r="AQ27" s="3406"/>
      <c r="AR27" s="3406"/>
      <c r="AS27" s="3406"/>
      <c r="AT27" s="3406"/>
      <c r="AU27" s="3406"/>
      <c r="AV27" s="3406"/>
      <c r="AW27" s="3406"/>
      <c r="AX27" s="3406"/>
    </row>
    <row customHeight="1" ht="14.25" hidden="1">
      <c r="P28" s="1340"/>
      <c r="AP28" s="3406"/>
      <c r="AQ28" s="3406"/>
      <c r="AR28" s="3406"/>
      <c r="AS28" s="3406"/>
      <c r="AT28" s="3406"/>
      <c r="AU28" s="3406"/>
      <c r="AV28" s="3406"/>
      <c r="AW28" s="3406"/>
      <c r="AX28" s="3406"/>
    </row>
    <row customHeight="1" ht="14.25">
      <c r="R29" s="377"/>
      <c r="S29" s="377"/>
      <c r="T29" s="377"/>
      <c r="U29" s="1305"/>
      <c r="V29" s="361"/>
      <c r="W29" s="361"/>
      <c r="X29" s="515"/>
      <c r="Y29" s="515"/>
      <c r="Z29" s="515"/>
      <c r="AA29" s="515"/>
      <c r="AB29" s="515"/>
      <c r="AC29" s="515"/>
      <c r="AD29" s="515"/>
      <c r="AE29" s="515"/>
      <c r="AF29" s="515"/>
      <c r="AG29" s="515"/>
      <c r="AH29" s="515"/>
      <c r="AI29" s="515"/>
      <c r="AJ29" s="515"/>
      <c r="AK29" s="515"/>
      <c r="AL29" s="515"/>
      <c r="AM29" s="515"/>
      <c r="AN29" s="515"/>
      <c r="AO29" s="515"/>
      <c r="AP29" s="3406"/>
      <c r="AQ29" s="3406"/>
      <c r="AR29" s="3406"/>
      <c r="AS29" s="3406"/>
      <c r="AT29" s="3406"/>
      <c r="AU29" s="3406"/>
      <c r="AV29" s="3406"/>
      <c r="AW29" s="3406"/>
      <c r="AX29" s="3406"/>
    </row>
    <row customHeight="1" ht="54">
      <c r="R30" s="377"/>
      <c r="S30" s="377"/>
      <c r="T30" s="377"/>
      <c r="U30" s="2140" t="str">
        <f>IF(TEMPLATE_GROUP="P",PT_P_FORM_HEAT_6_NAME_FORM,PT_R_FORM_HEAT_23_NAME_FORM)</f>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140"/>
      <c r="W30" s="2140"/>
      <c r="X30" s="2140"/>
      <c r="Y30" s="2140"/>
      <c r="Z30" s="2140"/>
      <c r="AA30" s="2140"/>
      <c r="AB30" s="2140"/>
      <c r="AC30" s="2140"/>
      <c r="AD30" s="2140"/>
      <c r="AE30" s="2140"/>
      <c r="AF30" s="2140"/>
      <c r="AG30" s="2140"/>
      <c r="AH30" s="2140"/>
      <c r="AI30" s="2140"/>
      <c r="AJ30" s="2140"/>
      <c r="AK30" s="2140"/>
      <c r="AL30" s="2140"/>
      <c r="AM30" s="2140"/>
      <c r="AN30" s="2140"/>
      <c r="AO30" s="1261"/>
      <c r="AP30" s="3477"/>
      <c r="AQ30" s="3477"/>
      <c r="AR30" s="3477"/>
      <c r="AS30" s="3477"/>
      <c r="AT30" s="3477"/>
      <c r="AU30" s="3477"/>
      <c r="AV30" s="3477"/>
      <c r="AW30" s="3477"/>
      <c r="AX30" s="3477"/>
    </row>
    <row customHeight="1" ht="14.25">
      <c r="R31" s="377"/>
      <c r="S31" s="377"/>
      <c r="T31" s="377"/>
      <c r="U31" s="2141" t="str">
        <f>IF(org=0,"Не определено",org)</f>
        <v>ЗАО "Байкалэнерго"</v>
      </c>
      <c r="V31" s="2141"/>
      <c r="W31" s="2141"/>
      <c r="X31" s="2141"/>
      <c r="Y31" s="2141"/>
      <c r="Z31" s="2141"/>
      <c r="AA31" s="2141"/>
      <c r="AB31" s="2141"/>
      <c r="AC31" s="2141"/>
      <c r="AD31" s="2141"/>
      <c r="AE31" s="2141"/>
      <c r="AF31" s="2141"/>
      <c r="AG31" s="2141"/>
      <c r="AH31" s="2141"/>
      <c r="AI31" s="2141"/>
      <c r="AJ31" s="2141"/>
      <c r="AK31" s="2141"/>
      <c r="AL31" s="2141"/>
      <c r="AM31" s="2141"/>
      <c r="AN31" s="2141"/>
      <c r="AO31" s="1261"/>
      <c r="AP31" s="3478"/>
      <c r="AQ31" s="3478"/>
      <c r="AR31" s="3478"/>
      <c r="AS31" s="3478"/>
      <c r="AT31" s="3478"/>
      <c r="AU31" s="3478"/>
      <c r="AV31" s="3478"/>
      <c r="AW31" s="3478"/>
      <c r="AX31" s="3478"/>
    </row>
    <row customHeight="1" ht="14.25">
      <c r="R32" s="377"/>
      <c r="S32" s="377"/>
      <c r="T32" s="377"/>
      <c r="U32" s="1305"/>
      <c r="V32" s="361"/>
      <c r="W32" s="361"/>
      <c r="X32" s="316"/>
      <c r="Y32" s="316"/>
      <c r="Z32" s="316"/>
      <c r="AA32" s="316"/>
      <c r="AB32" s="316"/>
      <c r="AC32" s="316"/>
      <c r="AD32" s="316"/>
      <c r="AE32" s="316"/>
      <c r="AF32" s="316"/>
      <c r="AG32" s="316"/>
      <c r="AH32" s="316"/>
      <c r="AI32" s="316"/>
      <c r="AJ32" s="316"/>
      <c r="AK32" s="316"/>
      <c r="AL32" s="316"/>
      <c r="AM32" s="316"/>
      <c r="AN32" s="316"/>
      <c r="AO32" s="316"/>
      <c r="AP32" s="3479"/>
      <c r="AQ32" s="3479"/>
      <c r="AR32" s="3479"/>
      <c r="AS32" s="3479"/>
      <c r="AT32" s="3479"/>
      <c r="AU32" s="3479"/>
      <c r="AV32" s="3479"/>
      <c r="AW32" s="3479"/>
      <c r="AX32" s="3479"/>
      <c r="AY32" s="515"/>
    </row>
    <row s="3305" customFormat="1" customHeight="1" ht="25.5">
      <c r="A33" s="1267"/>
      <c r="B33" s="1267"/>
      <c r="C33" s="1267"/>
      <c r="D33" s="1267"/>
      <c r="E33" s="1267"/>
      <c r="F33" s="1267"/>
      <c r="G33" s="1267"/>
      <c r="H33" s="1267"/>
      <c r="I33" s="1267"/>
      <c r="J33" s="1267"/>
      <c r="K33" s="1267"/>
      <c r="L33" s="1267"/>
      <c r="M33" s="1410"/>
      <c r="N33" s="1267"/>
      <c r="O33" s="1267"/>
      <c r="P33" s="1267"/>
      <c r="U33" s="2098" t="s">
        <v>38</v>
      </c>
      <c r="V33" s="2098"/>
      <c r="W33" s="1402"/>
      <c r="X33" s="2100" t="str">
        <f>IF(TITLE_NAME_OR_PR_CHANGE="",IF(TITLE_NAME_OR_PR="","",TITLE_NAME_OR_PR),TITLE_NAME_OR_PR_CHANGE)</f>
        <v>Служба по тарифам Иркутской области</v>
      </c>
      <c r="Y33" s="2100"/>
      <c r="Z33" s="2100"/>
      <c r="AA33" s="2100"/>
      <c r="AB33" s="2100"/>
      <c r="AC33" s="2100"/>
      <c r="AD33" s="2100"/>
      <c r="AE33" s="2100"/>
      <c r="AF33" s="322"/>
      <c r="AG33" s="2100" t="str">
        <f>IF(TITLE_NAME_OR_PR_CHANGE="",IF(TITLE_NAME_OR_PR="","",TITLE_NAME_OR_PR),TITLE_NAME_OR_PR_CHANGE)</f>
        <v>Служба по тарифам Иркутской области</v>
      </c>
      <c r="AH33" s="2100"/>
      <c r="AI33" s="2100"/>
      <c r="AJ33" s="2100"/>
      <c r="AK33" s="2100"/>
      <c r="AL33" s="2100"/>
      <c r="AM33" s="2100"/>
      <c r="AN33" s="2100"/>
      <c r="AO33" s="322"/>
      <c r="AP33" s="3482" t="str">
        <f>IF(TITLE_NAME_OR_PR_CHANGE="",IF(TITLE_NAME_OR_PR="","",TITLE_NAME_OR_PR),TITLE_NAME_OR_PR_CHANGE)</f>
        <v>Служба по тарифам Иркутской области</v>
      </c>
      <c r="AQ33" s="3482"/>
      <c r="AR33" s="3482"/>
      <c r="AS33" s="3482"/>
      <c r="AT33" s="3482"/>
      <c r="AU33" s="3482"/>
      <c r="AV33" s="3482"/>
      <c r="AW33" s="3482"/>
      <c r="AX33" s="3406"/>
      <c r="AY33" s="322"/>
      <c r="AZ33" s="268"/>
      <c r="BA33" s="368"/>
      <c r="BB33" s="368"/>
      <c r="BC33" s="368"/>
      <c r="BD33" s="368"/>
      <c r="BE33" s="368"/>
    </row>
    <row s="3305" customFormat="1" customHeight="1" ht="18.75">
      <c r="A34" s="1267"/>
      <c r="B34" s="1267"/>
      <c r="C34" s="1267"/>
      <c r="D34" s="1267"/>
      <c r="E34" s="1267"/>
      <c r="F34" s="1267"/>
      <c r="G34" s="1267"/>
      <c r="H34" s="1267"/>
      <c r="I34" s="1267"/>
      <c r="J34" s="1267"/>
      <c r="K34" s="1267"/>
      <c r="L34" s="1267"/>
      <c r="M34" s="1410"/>
      <c r="N34" s="1267"/>
      <c r="O34" s="1267"/>
      <c r="P34" s="1267"/>
      <c r="U34" s="2098" t="s">
        <v>415</v>
      </c>
      <c r="V34" s="2098"/>
      <c r="W34" s="1402"/>
      <c r="X34" s="2099" t="str">
        <f>IF(TITLE_DATE_PR_CHANGE="",IF(TITLE_DATE_PR="","",TITLE_DATE_PR),TITLE_DATE_PR_CHANGE)</f>
        <v>45280.56123842593</v>
      </c>
      <c r="Y34" s="2099"/>
      <c r="Z34" s="2099"/>
      <c r="AA34" s="2099"/>
      <c r="AB34" s="2099"/>
      <c r="AC34" s="2099"/>
      <c r="AD34" s="2099"/>
      <c r="AE34" s="2099"/>
      <c r="AF34" s="322"/>
      <c r="AG34" s="2099" t="str">
        <f>IF(TITLE_DATE_PR_CHANGE="",IF(TITLE_DATE_PR="","",TITLE_DATE_PR),TITLE_DATE_PR_CHANGE)</f>
        <v>45280.56123842593</v>
      </c>
      <c r="AH34" s="2099"/>
      <c r="AI34" s="2099"/>
      <c r="AJ34" s="2099"/>
      <c r="AK34" s="2099"/>
      <c r="AL34" s="2099"/>
      <c r="AM34" s="2099"/>
      <c r="AN34" s="2099"/>
      <c r="AO34" s="322"/>
      <c r="AP34" s="3483" t="str">
        <f>IF(TITLE_DATE_PR_CHANGE="",IF(TITLE_DATE_PR="","",TITLE_DATE_PR),TITLE_DATE_PR_CHANGE)</f>
        <v>45280.56123842593</v>
      </c>
      <c r="AQ34" s="3483"/>
      <c r="AR34" s="3483"/>
      <c r="AS34" s="3483"/>
      <c r="AT34" s="3483"/>
      <c r="AU34" s="3483"/>
      <c r="AV34" s="3483"/>
      <c r="AW34" s="3483"/>
      <c r="AX34" s="3406"/>
      <c r="AY34" s="322"/>
      <c r="AZ34" s="268"/>
      <c r="BA34" s="368"/>
      <c r="BB34" s="368"/>
      <c r="BC34" s="368"/>
      <c r="BD34" s="368"/>
      <c r="BE34" s="368"/>
    </row>
    <row s="3305" customFormat="1" customHeight="1" ht="18.75">
      <c r="A35" s="1267"/>
      <c r="B35" s="1267"/>
      <c r="C35" s="1267"/>
      <c r="D35" s="1267"/>
      <c r="E35" s="1267"/>
      <c r="F35" s="1267"/>
      <c r="G35" s="1267"/>
      <c r="H35" s="1267"/>
      <c r="I35" s="1267"/>
      <c r="J35" s="1267"/>
      <c r="K35" s="1267"/>
      <c r="L35" s="1267"/>
      <c r="M35" s="1410"/>
      <c r="N35" s="1267"/>
      <c r="O35" s="1267"/>
      <c r="P35" s="1267"/>
      <c r="U35" s="2098" t="s">
        <v>416</v>
      </c>
      <c r="V35" s="2098"/>
      <c r="W35" s="1402"/>
      <c r="X35" s="2100" t="str">
        <f>IF(TITLE_NUMBER_PR_CHANGE="",IF(TITLE_NUMBER_PR="","",TITLE_NUMBER_PR),TITLE_NUMBER_PR_CHANGE)</f>
        <v>79-477-спр</v>
      </c>
      <c r="Y35" s="2100"/>
      <c r="Z35" s="2100"/>
      <c r="AA35" s="2100"/>
      <c r="AB35" s="2100"/>
      <c r="AC35" s="2100"/>
      <c r="AD35" s="2100"/>
      <c r="AE35" s="2100"/>
      <c r="AF35" s="322"/>
      <c r="AG35" s="2100" t="str">
        <f>IF(TITLE_NUMBER_PR_CHANGE="",IF(TITLE_NUMBER_PR="","",TITLE_NUMBER_PR),TITLE_NUMBER_PR_CHANGE)</f>
        <v>79-477-спр</v>
      </c>
      <c r="AH35" s="2100"/>
      <c r="AI35" s="2100"/>
      <c r="AJ35" s="2100"/>
      <c r="AK35" s="2100"/>
      <c r="AL35" s="2100"/>
      <c r="AM35" s="2100"/>
      <c r="AN35" s="2100"/>
      <c r="AO35" s="322"/>
      <c r="AP35" s="3482" t="str">
        <f>IF(TITLE_NUMBER_PR_CHANGE="",IF(TITLE_NUMBER_PR="","",TITLE_NUMBER_PR),TITLE_NUMBER_PR_CHANGE)</f>
        <v>79-477-спр</v>
      </c>
      <c r="AQ35" s="3482"/>
      <c r="AR35" s="3482"/>
      <c r="AS35" s="3482"/>
      <c r="AT35" s="3482"/>
      <c r="AU35" s="3482"/>
      <c r="AV35" s="3482"/>
      <c r="AW35" s="3482"/>
      <c r="AX35" s="3406"/>
      <c r="AY35" s="322"/>
      <c r="AZ35" s="268"/>
      <c r="BA35" s="368"/>
      <c r="BB35" s="368"/>
      <c r="BC35" s="368"/>
      <c r="BD35" s="368"/>
      <c r="BE35" s="368"/>
    </row>
    <row s="3305" customFormat="1" customHeight="1" ht="18.75">
      <c r="A36" s="1267"/>
      <c r="B36" s="1267"/>
      <c r="C36" s="1267"/>
      <c r="D36" s="1267"/>
      <c r="E36" s="1267"/>
      <c r="F36" s="1267"/>
      <c r="G36" s="1267"/>
      <c r="H36" s="1267"/>
      <c r="I36" s="1267"/>
      <c r="J36" s="1267"/>
      <c r="K36" s="1267"/>
      <c r="L36" s="1267"/>
      <c r="M36" s="1410"/>
      <c r="N36" s="1267"/>
      <c r="O36" s="1267"/>
      <c r="P36" s="1267"/>
      <c r="U36" s="2098" t="s">
        <v>40</v>
      </c>
      <c r="V36" s="2098"/>
      <c r="W36" s="1402"/>
      <c r="X36" s="2100" t="str">
        <f>IF(TITLE_IST_PUB_CHANGE="",IF(TITLE_IST_PUB="","",TITLE_IST_PUB),TITLE_IST_PUB_CHANGE)</f>
        <v>Официальный сайт службы по тарифам Иркутской области http://irkobl.ru</v>
      </c>
      <c r="Y36" s="2100"/>
      <c r="Z36" s="2100"/>
      <c r="AA36" s="2100"/>
      <c r="AB36" s="2100"/>
      <c r="AC36" s="2100"/>
      <c r="AD36" s="2100"/>
      <c r="AE36" s="2100"/>
      <c r="AF36" s="322"/>
      <c r="AG36" s="2100" t="str">
        <f>IF(TITLE_IST_PUB_CHANGE="",IF(TITLE_IST_PUB="","",TITLE_IST_PUB),TITLE_IST_PUB_CHANGE)</f>
        <v>Официальный сайт службы по тарифам Иркутской области http://irkobl.ru</v>
      </c>
      <c r="AH36" s="2100"/>
      <c r="AI36" s="2100"/>
      <c r="AJ36" s="2100"/>
      <c r="AK36" s="2100"/>
      <c r="AL36" s="2100"/>
      <c r="AM36" s="2100"/>
      <c r="AN36" s="2100"/>
      <c r="AO36" s="322"/>
      <c r="AP36" s="3482" t="str">
        <f>IF(TITLE_IST_PUB_CHANGE="",IF(TITLE_IST_PUB="","",TITLE_IST_PUB),TITLE_IST_PUB_CHANGE)</f>
        <v>Официальный сайт службы по тарифам Иркутской области http://irkobl.ru</v>
      </c>
      <c r="AQ36" s="3482"/>
      <c r="AR36" s="3482"/>
      <c r="AS36" s="3482"/>
      <c r="AT36" s="3482"/>
      <c r="AU36" s="3482"/>
      <c r="AV36" s="3482"/>
      <c r="AW36" s="3482"/>
      <c r="AX36" s="3406"/>
      <c r="AY36" s="322"/>
      <c r="AZ36" s="268"/>
      <c r="BA36" s="368"/>
      <c r="BB36" s="368"/>
      <c r="BC36" s="368"/>
      <c r="BD36" s="368"/>
      <c r="BE36" s="368"/>
    </row>
    <row customHeight="1" ht="14.25" hidden="1">
      <c r="R37" s="377"/>
      <c r="S37" s="377"/>
      <c r="T37" s="377"/>
      <c r="U37" s="1305"/>
      <c r="V37" s="361"/>
      <c r="W37" s="361"/>
      <c r="X37" s="316"/>
      <c r="Y37" s="316"/>
      <c r="Z37" s="316"/>
      <c r="AA37" s="316"/>
      <c r="AB37" s="316"/>
      <c r="AC37" s="316"/>
      <c r="AD37" s="316"/>
      <c r="AE37" s="316"/>
      <c r="AF37" s="316"/>
      <c r="AG37" s="316"/>
      <c r="AH37" s="316"/>
      <c r="AI37" s="316"/>
      <c r="AJ37" s="316"/>
      <c r="AK37" s="316"/>
      <c r="AL37" s="316"/>
      <c r="AM37" s="316"/>
      <c r="AN37" s="316"/>
      <c r="AO37" s="316"/>
      <c r="AP37" s="3479"/>
      <c r="AQ37" s="3479"/>
      <c r="AR37" s="3479"/>
      <c r="AS37" s="3479"/>
      <c r="AT37" s="3479"/>
      <c r="AU37" s="3479"/>
      <c r="AV37" s="3479"/>
      <c r="AW37" s="3479"/>
      <c r="AX37" s="3479"/>
      <c r="AY37" s="515"/>
    </row>
    <row s="3305" customFormat="1" customHeight="1" ht="18.75" hidden="1">
      <c r="A38" s="1267"/>
      <c r="B38" s="1267"/>
      <c r="C38" s="1267"/>
      <c r="D38" s="1267"/>
      <c r="E38" s="1267"/>
      <c r="F38" s="1267"/>
      <c r="G38" s="1267"/>
      <c r="H38" s="1267"/>
      <c r="I38" s="1267"/>
      <c r="J38" s="1267"/>
      <c r="K38" s="1267"/>
      <c r="L38" s="1267"/>
      <c r="M38" s="1410"/>
      <c r="N38" s="1267"/>
      <c r="O38" s="1267"/>
      <c r="P38" s="1267"/>
      <c r="U38" s="2098" t="s">
        <v>417</v>
      </c>
      <c r="V38" s="2098"/>
      <c r="W38" s="1402"/>
      <c r="X38" s="2099" t="str">
        <f>IF(TITLE_DATE_PR_CHANGE="",IF(TITLE_DATE_PR="","",TITLE_DATE_PR),TITLE_DATE_PR_CHANGE)</f>
        <v>45280.56123842593</v>
      </c>
      <c r="Y38" s="2099"/>
      <c r="Z38" s="2099"/>
      <c r="AA38" s="2099"/>
      <c r="AB38" s="2099"/>
      <c r="AC38" s="2099"/>
      <c r="AD38" s="2099"/>
      <c r="AE38" s="2099"/>
      <c r="AF38" s="322"/>
      <c r="AG38" s="2099" t="str">
        <f>IF(TITLE_DATE_PR_CHANGE="",IF(TITLE_DATE_PR="","",TITLE_DATE_PR),TITLE_DATE_PR_CHANGE)</f>
        <v>45280.56123842593</v>
      </c>
      <c r="AH38" s="2099"/>
      <c r="AI38" s="2099"/>
      <c r="AJ38" s="2099"/>
      <c r="AK38" s="2099"/>
      <c r="AL38" s="2099"/>
      <c r="AM38" s="2099"/>
      <c r="AN38" s="2099"/>
      <c r="AO38" s="322"/>
      <c r="AP38" s="3483" t="str">
        <f>IF(TITLE_DATE_PR_CHANGE="",IF(TITLE_DATE_PR="","",TITLE_DATE_PR),TITLE_DATE_PR_CHANGE)</f>
        <v>45280.56123842593</v>
      </c>
      <c r="AQ38" s="3483"/>
      <c r="AR38" s="3483"/>
      <c r="AS38" s="3483"/>
      <c r="AT38" s="3483"/>
      <c r="AU38" s="3483"/>
      <c r="AV38" s="3483"/>
      <c r="AW38" s="3483"/>
      <c r="AX38" s="3406"/>
      <c r="AY38" s="322"/>
      <c r="AZ38" s="268"/>
      <c r="BA38" s="368"/>
      <c r="BB38" s="368"/>
      <c r="BC38" s="368"/>
      <c r="BD38" s="368"/>
      <c r="BE38" s="368"/>
    </row>
    <row s="3305" customFormat="1" customHeight="1" ht="18.75" hidden="1">
      <c r="A39" s="1267"/>
      <c r="B39" s="1267"/>
      <c r="C39" s="1267"/>
      <c r="D39" s="1267"/>
      <c r="E39" s="1267"/>
      <c r="F39" s="1267"/>
      <c r="G39" s="1267"/>
      <c r="H39" s="1267"/>
      <c r="I39" s="1267"/>
      <c r="J39" s="1267"/>
      <c r="K39" s="1267"/>
      <c r="L39" s="1267"/>
      <c r="M39" s="1410"/>
      <c r="N39" s="1267"/>
      <c r="O39" s="1267"/>
      <c r="P39" s="1267"/>
      <c r="U39" s="2098" t="s">
        <v>418</v>
      </c>
      <c r="V39" s="2098"/>
      <c r="W39" s="1402"/>
      <c r="X39" s="2100" t="str">
        <f>IF(TITLE_NUMBER_PR_CHANGE="",IF(TITLE_NUMBER_PR="","",TITLE_NUMBER_PR),TITLE_NUMBER_PR_CHANGE)</f>
        <v>79-477-спр</v>
      </c>
      <c r="Y39" s="2100"/>
      <c r="Z39" s="2100"/>
      <c r="AA39" s="2100"/>
      <c r="AB39" s="2100"/>
      <c r="AC39" s="2100"/>
      <c r="AD39" s="2100"/>
      <c r="AE39" s="2100"/>
      <c r="AF39" s="322"/>
      <c r="AG39" s="2100" t="str">
        <f>IF(TITLE_NUMBER_PR_CHANGE="",IF(TITLE_NUMBER_PR="","",TITLE_NUMBER_PR),TITLE_NUMBER_PR_CHANGE)</f>
        <v>79-477-спр</v>
      </c>
      <c r="AH39" s="2100"/>
      <c r="AI39" s="2100"/>
      <c r="AJ39" s="2100"/>
      <c r="AK39" s="2100"/>
      <c r="AL39" s="2100"/>
      <c r="AM39" s="2100"/>
      <c r="AN39" s="2100"/>
      <c r="AO39" s="322"/>
      <c r="AP39" s="3482" t="str">
        <f>IF(TITLE_NUMBER_PR_CHANGE="",IF(TITLE_NUMBER_PR="","",TITLE_NUMBER_PR),TITLE_NUMBER_PR_CHANGE)</f>
        <v>79-477-спр</v>
      </c>
      <c r="AQ39" s="3482"/>
      <c r="AR39" s="3482"/>
      <c r="AS39" s="3482"/>
      <c r="AT39" s="3482"/>
      <c r="AU39" s="3482"/>
      <c r="AV39" s="3482"/>
      <c r="AW39" s="3482"/>
      <c r="AX39" s="3406"/>
      <c r="AY39" s="322"/>
      <c r="AZ39" s="268"/>
      <c r="BA39" s="368"/>
      <c r="BB39" s="368"/>
      <c r="BC39" s="368"/>
      <c r="BD39" s="368"/>
      <c r="BE39" s="368"/>
    </row>
    <row s="3305" customFormat="1" customHeight="1" ht="0">
      <c r="A40" s="1267"/>
      <c r="B40" s="1267"/>
      <c r="C40" s="1267"/>
      <c r="D40" s="1267"/>
      <c r="E40" s="1267"/>
      <c r="F40" s="1267"/>
      <c r="G40" s="1267"/>
      <c r="H40" s="1267"/>
      <c r="I40" s="1267"/>
      <c r="J40" s="1267"/>
      <c r="K40" s="1267"/>
      <c r="L40" s="1267"/>
      <c r="M40" s="1410"/>
      <c r="N40" s="1267"/>
      <c r="O40" s="1267"/>
      <c r="P40" s="1267"/>
      <c r="U40" s="318"/>
      <c r="V40" s="318"/>
      <c r="W40" s="1370"/>
      <c r="X40" s="322"/>
      <c r="Y40" s="322"/>
      <c r="Z40" s="322"/>
      <c r="AA40" s="322"/>
      <c r="AB40" s="322"/>
      <c r="AC40" s="322"/>
      <c r="AD40" s="322"/>
      <c r="AE40" s="322"/>
      <c r="AF40" s="266" t="s">
        <v>419</v>
      </c>
      <c r="AG40" s="322"/>
      <c r="AH40" s="322"/>
      <c r="AI40" s="322"/>
      <c r="AJ40" s="322"/>
      <c r="AK40" s="322"/>
      <c r="AL40" s="322"/>
      <c r="AM40" s="322"/>
      <c r="AN40" s="322"/>
      <c r="AO40" s="266" t="s">
        <v>419</v>
      </c>
      <c r="AP40" s="3406"/>
      <c r="AQ40" s="3406"/>
      <c r="AR40" s="3406"/>
      <c r="AS40" s="3406"/>
      <c r="AT40" s="3406"/>
      <c r="AU40" s="3406"/>
      <c r="AV40" s="3406"/>
      <c r="AW40" s="3406"/>
      <c r="AX40" s="3484" t="s">
        <v>419</v>
      </c>
      <c r="BA40" s="368"/>
      <c r="BB40" s="368"/>
      <c r="BC40" s="368"/>
      <c r="BD40" s="368"/>
      <c r="BE40" s="368"/>
    </row>
    <row customHeight="1" ht="14.25">
      <c r="R41" s="377"/>
      <c r="S41" s="377"/>
      <c r="T41" s="377"/>
      <c r="U41" s="1305"/>
      <c r="V41" s="361"/>
      <c r="W41" s="1262"/>
      <c r="X41" s="2124"/>
      <c r="Y41" s="2124"/>
      <c r="Z41" s="2124"/>
      <c r="AA41" s="2124"/>
      <c r="AB41" s="2124"/>
      <c r="AC41" s="2124"/>
      <c r="AD41" s="2124"/>
      <c r="AE41" s="2124"/>
      <c r="AF41" s="2124"/>
      <c r="AG41" s="2124"/>
      <c r="AH41" s="2124"/>
      <c r="AI41" s="2124"/>
      <c r="AJ41" s="2124"/>
      <c r="AK41" s="2124"/>
      <c r="AL41" s="2124"/>
      <c r="AM41" s="2124"/>
      <c r="AN41" s="2124"/>
      <c r="AO41" s="2124"/>
      <c r="AP41" s="3485" t="s">
        <v>445</v>
      </c>
      <c r="AQ41" s="3485"/>
      <c r="AR41" s="3485"/>
      <c r="AS41" s="3485"/>
      <c r="AT41" s="3485"/>
      <c r="AU41" s="3485"/>
      <c r="AV41" s="3485"/>
      <c r="AW41" s="3485"/>
      <c r="AX41" s="3485"/>
    </row>
    <row customHeight="1" ht="14.25">
      <c r="R42" s="377"/>
      <c r="S42" s="377"/>
      <c r="T42" s="377"/>
      <c r="U42" s="1971" t="s">
        <v>293</v>
      </c>
      <c r="V42" s="1971"/>
      <c r="W42" s="1971"/>
      <c r="X42" s="1971"/>
      <c r="Y42" s="1971"/>
      <c r="Z42" s="1971"/>
      <c r="AA42" s="1971"/>
      <c r="AB42" s="1971"/>
      <c r="AC42" s="1971"/>
      <c r="AD42" s="1971"/>
      <c r="AE42" s="1971"/>
      <c r="AF42" s="1971"/>
      <c r="AG42" s="1971"/>
      <c r="AH42" s="1971"/>
      <c r="AI42" s="1971"/>
      <c r="AJ42" s="1971"/>
      <c r="AK42" s="1971"/>
      <c r="AL42" s="1971"/>
      <c r="AM42" s="1971"/>
      <c r="AN42" s="1971"/>
      <c r="AO42" s="1971"/>
      <c r="AP42" s="3486" t="s">
        <v>293</v>
      </c>
      <c r="AQ42" s="3486"/>
      <c r="AR42" s="3486"/>
      <c r="AS42" s="3486"/>
      <c r="AT42" s="3486"/>
      <c r="AU42" s="3486"/>
      <c r="AV42" s="3486"/>
      <c r="AW42" s="3486"/>
      <c r="AX42" s="3486"/>
      <c r="AY42" s="1971"/>
      <c r="AZ42" s="1971"/>
    </row>
    <row customHeight="1" ht="14.25">
      <c r="R43" s="377"/>
      <c r="S43" s="377"/>
      <c r="T43" s="377"/>
      <c r="U43" s="2125" t="s">
        <v>88</v>
      </c>
      <c r="V43" s="2062" t="s">
        <v>420</v>
      </c>
      <c r="W43" s="289"/>
      <c r="X43" s="2126" t="s">
        <v>421</v>
      </c>
      <c r="Y43" s="2146"/>
      <c r="Z43" s="2146"/>
      <c r="AA43" s="2146"/>
      <c r="AB43" s="2146"/>
      <c r="AC43" s="2127"/>
      <c r="AD43" s="2127"/>
      <c r="AE43" s="2128"/>
      <c r="AF43" s="2129" t="s">
        <v>422</v>
      </c>
      <c r="AG43" s="2126" t="s">
        <v>421</v>
      </c>
      <c r="AH43" s="2146"/>
      <c r="AI43" s="2146"/>
      <c r="AJ43" s="2146"/>
      <c r="AK43" s="2146"/>
      <c r="AL43" s="2127"/>
      <c r="AM43" s="2127"/>
      <c r="AN43" s="2128"/>
      <c r="AO43" s="2129" t="s">
        <v>423</v>
      </c>
      <c r="AP43" s="3487" t="s">
        <v>421</v>
      </c>
      <c r="AQ43" s="3488"/>
      <c r="AR43" s="3488"/>
      <c r="AS43" s="3488"/>
      <c r="AT43" s="3488"/>
      <c r="AU43" s="3489"/>
      <c r="AV43" s="3489"/>
      <c r="AW43" s="3490"/>
      <c r="AX43" s="3491" t="s">
        <v>422</v>
      </c>
      <c r="AY43" s="2132" t="s">
        <v>424</v>
      </c>
      <c r="AZ43" s="1971"/>
    </row>
    <row customHeight="1" ht="33.75">
      <c r="R44" s="377"/>
      <c r="S44" s="377"/>
      <c r="T44" s="377"/>
      <c r="U44" s="2125"/>
      <c r="V44" s="2062"/>
      <c r="W44" s="1038"/>
      <c r="X44" s="2144" t="s">
        <v>446</v>
      </c>
      <c r="Y44" s="2153" t="s">
        <v>447</v>
      </c>
      <c r="Z44" s="2153"/>
      <c r="AA44" s="2153"/>
      <c r="AB44" s="2153"/>
      <c r="AC44" s="2144" t="s">
        <v>428</v>
      </c>
      <c r="AD44" s="2162"/>
      <c r="AE44" s="2163"/>
      <c r="AF44" s="2130"/>
      <c r="AG44" s="2144" t="s">
        <v>446</v>
      </c>
      <c r="AH44" s="2153" t="s">
        <v>447</v>
      </c>
      <c r="AI44" s="2153"/>
      <c r="AJ44" s="2153"/>
      <c r="AK44" s="2153"/>
      <c r="AL44" s="2144" t="s">
        <v>428</v>
      </c>
      <c r="AM44" s="2162"/>
      <c r="AN44" s="2163"/>
      <c r="AO44" s="2130"/>
      <c r="AP44" s="3495" t="s">
        <v>446</v>
      </c>
      <c r="AQ44" s="3486" t="s">
        <v>447</v>
      </c>
      <c r="AR44" s="3486"/>
      <c r="AS44" s="3486"/>
      <c r="AT44" s="3486"/>
      <c r="AU44" s="3495" t="s">
        <v>428</v>
      </c>
      <c r="AV44" s="3496"/>
      <c r="AW44" s="3497"/>
      <c r="AX44" s="3498"/>
      <c r="AY44" s="2133"/>
      <c r="AZ44" s="1971"/>
    </row>
    <row customHeight="1" ht="14.25">
      <c r="R45" s="377"/>
      <c r="S45" s="377"/>
      <c r="T45" s="377"/>
      <c r="U45" s="2125"/>
      <c r="V45" s="2062"/>
      <c r="W45" s="1038"/>
      <c r="X45" s="2166"/>
      <c r="Y45" s="2154" t="s">
        <v>448</v>
      </c>
      <c r="Z45" s="2121" t="s">
        <v>449</v>
      </c>
      <c r="AA45" s="2157"/>
      <c r="AB45" s="2122"/>
      <c r="AC45" s="2145"/>
      <c r="AD45" s="2164"/>
      <c r="AE45" s="2165"/>
      <c r="AF45" s="2130"/>
      <c r="AG45" s="2166"/>
      <c r="AH45" s="2154" t="s">
        <v>448</v>
      </c>
      <c r="AI45" s="2121" t="s">
        <v>449</v>
      </c>
      <c r="AJ45" s="2157"/>
      <c r="AK45" s="2122"/>
      <c r="AL45" s="2145"/>
      <c r="AM45" s="2164"/>
      <c r="AN45" s="2165"/>
      <c r="AO45" s="2130"/>
      <c r="AP45" s="3504"/>
      <c r="AQ45" s="3505" t="s">
        <v>448</v>
      </c>
      <c r="AR45" s="3506" t="s">
        <v>449</v>
      </c>
      <c r="AS45" s="3507"/>
      <c r="AT45" s="3508"/>
      <c r="AU45" s="3509"/>
      <c r="AV45" s="3510"/>
      <c r="AW45" s="3511"/>
      <c r="AX45" s="3498"/>
      <c r="AY45" s="2133"/>
      <c r="AZ45" s="1971"/>
    </row>
    <row customHeight="1" ht="25.5">
      <c r="R46" s="377"/>
      <c r="S46" s="377"/>
      <c r="T46" s="377"/>
      <c r="U46" s="2125"/>
      <c r="V46" s="2062"/>
      <c r="W46" s="1038"/>
      <c r="X46" s="2166"/>
      <c r="Y46" s="2155"/>
      <c r="Z46" s="2154" t="s">
        <v>450</v>
      </c>
      <c r="AA46" s="2121" t="s">
        <v>451</v>
      </c>
      <c r="AB46" s="2122"/>
      <c r="AC46" s="2154" t="s">
        <v>438</v>
      </c>
      <c r="AD46" s="2158" t="s">
        <v>439</v>
      </c>
      <c r="AE46" s="2159"/>
      <c r="AF46" s="2130"/>
      <c r="AG46" s="2166"/>
      <c r="AH46" s="2155"/>
      <c r="AI46" s="2154" t="s">
        <v>450</v>
      </c>
      <c r="AJ46" s="2121" t="s">
        <v>451</v>
      </c>
      <c r="AK46" s="2122"/>
      <c r="AL46" s="2154" t="s">
        <v>438</v>
      </c>
      <c r="AM46" s="2158" t="s">
        <v>439</v>
      </c>
      <c r="AN46" s="2159"/>
      <c r="AO46" s="2130"/>
      <c r="AP46" s="3504"/>
      <c r="AQ46" s="3515"/>
      <c r="AR46" s="3505" t="s">
        <v>450</v>
      </c>
      <c r="AS46" s="3506" t="s">
        <v>451</v>
      </c>
      <c r="AT46" s="3508"/>
      <c r="AU46" s="3505" t="s">
        <v>438</v>
      </c>
      <c r="AV46" s="3516" t="s">
        <v>439</v>
      </c>
      <c r="AW46" s="3517"/>
      <c r="AX46" s="3498"/>
      <c r="AY46" s="2133"/>
      <c r="AZ46" s="1971"/>
    </row>
    <row customHeight="1" ht="62.25">
      <c r="A47" s="1288"/>
      <c r="B47" s="1288" t="s">
        <v>136</v>
      </c>
      <c r="C47" s="1288" t="s">
        <v>137</v>
      </c>
      <c r="D47" s="1288" t="s">
        <v>138</v>
      </c>
      <c r="E47" s="1340" t="s">
        <v>429</v>
      </c>
      <c r="F47" s="1340" t="s">
        <v>430</v>
      </c>
      <c r="G47" s="1340" t="s">
        <v>431</v>
      </c>
      <c r="H47" s="1340" t="s">
        <v>432</v>
      </c>
      <c r="I47" s="1340" t="s">
        <v>433</v>
      </c>
      <c r="J47" s="1340" t="s">
        <v>434</v>
      </c>
      <c r="K47" s="1340" t="s">
        <v>435</v>
      </c>
      <c r="L47" s="1340" t="s">
        <v>452</v>
      </c>
      <c r="M47" s="1340" t="s">
        <v>410</v>
      </c>
      <c r="R47" s="377"/>
      <c r="S47" s="377"/>
      <c r="T47" s="377"/>
      <c r="U47" s="2125"/>
      <c r="V47" s="2062"/>
      <c r="W47" s="290"/>
      <c r="X47" s="2145"/>
      <c r="Y47" s="2156"/>
      <c r="Z47" s="2156"/>
      <c r="AA47" s="1237" t="s">
        <v>453</v>
      </c>
      <c r="AB47" s="1237" t="s">
        <v>454</v>
      </c>
      <c r="AC47" s="2156"/>
      <c r="AD47" s="2160"/>
      <c r="AE47" s="2161"/>
      <c r="AF47" s="2131"/>
      <c r="AG47" s="2145"/>
      <c r="AH47" s="2156"/>
      <c r="AI47" s="2156"/>
      <c r="AJ47" s="1237" t="s">
        <v>453</v>
      </c>
      <c r="AK47" s="1237" t="s">
        <v>454</v>
      </c>
      <c r="AL47" s="2156"/>
      <c r="AM47" s="2160"/>
      <c r="AN47" s="2161"/>
      <c r="AO47" s="2131"/>
      <c r="AP47" s="3509"/>
      <c r="AQ47" s="3521"/>
      <c r="AR47" s="3521"/>
      <c r="AS47" s="3522" t="s">
        <v>453</v>
      </c>
      <c r="AT47" s="3522" t="s">
        <v>454</v>
      </c>
      <c r="AU47" s="3521"/>
      <c r="AV47" s="3523"/>
      <c r="AW47" s="3524"/>
      <c r="AX47" s="3525"/>
      <c r="AY47" s="2134"/>
      <c r="AZ47" s="1971"/>
    </row>
    <row s="2610" customFormat="1" customHeight="1" ht="11.25" hidden="1">
      <c r="A48" s="1288"/>
      <c r="B48" s="1288"/>
      <c r="C48" s="1288"/>
      <c r="D48" s="1288"/>
      <c r="E48" s="1288"/>
      <c r="F48" s="1288"/>
      <c r="G48" s="1288"/>
      <c r="H48" s="1288"/>
      <c r="I48" s="1288"/>
      <c r="J48" s="1288"/>
      <c r="K48" s="1288"/>
      <c r="L48" s="1288"/>
      <c r="M48" s="1340"/>
      <c r="N48" s="1358"/>
      <c r="O48" s="1358"/>
      <c r="P48" s="1358"/>
      <c r="Q48" s="1264"/>
      <c r="R48" s="1265"/>
      <c r="S48" s="1280">
        <v>1</v>
      </c>
      <c r="T48" s="1280"/>
      <c r="U48" s="1307" t="s">
        <v>110</v>
      </c>
      <c r="V48" s="1281" t="s">
        <v>111</v>
      </c>
      <c r="W48" s="1263" t="str">
        <f>OFFSET(W48,0,-1)</f>
        <v>2</v>
      </c>
      <c r="X48" s="1365">
        <f>OFFSET(X48,0,-1)+1</f>
        <v>3</v>
      </c>
      <c r="Y48" s="1371"/>
      <c r="Z48" s="1371"/>
      <c r="AA48" s="1371">
        <f>OFFSET(AA48,0,-1)+1</f>
        <v>1</v>
      </c>
      <c r="AB48" s="1371">
        <f>OFFSET(AB48,0,-1)+1</f>
        <v>2</v>
      </c>
      <c r="AC48" s="1365">
        <f>OFFSET(AC48,0,-1)+1</f>
        <v>3</v>
      </c>
      <c r="AD48" s="2123">
        <f>OFFSET(AD48,0,-1)+1</f>
        <v>4</v>
      </c>
      <c r="AE48" s="2123"/>
      <c r="AF48" s="1365">
        <f>OFFSET(AF48,0,-2)+1</f>
        <v>5</v>
      </c>
      <c r="AG48" s="1365">
        <f>OFFSET(AG48,0,-1)+1</f>
        <v>6</v>
      </c>
      <c r="AH48" s="1365"/>
      <c r="AI48" s="1365"/>
      <c r="AJ48" s="1365">
        <f>OFFSET(AJ48,0,-1)+1</f>
        <v>1</v>
      </c>
      <c r="AK48" s="1365">
        <f>OFFSET(AK48,0,-1)+1</f>
        <v>2</v>
      </c>
      <c r="AL48" s="1365">
        <f>OFFSET(AL48,0,-1)+1</f>
        <v>3</v>
      </c>
      <c r="AM48" s="2123">
        <f>OFFSET(AM48,0,-1)+1</f>
        <v>4</v>
      </c>
      <c r="AN48" s="2123"/>
      <c r="AO48" s="1365">
        <f>OFFSET(AO48,0,-2)+1</f>
        <v>5</v>
      </c>
      <c r="AP48" s="3526">
        <f>OFFSET(AP48,0,-1)+1</f>
        <v>3</v>
      </c>
      <c r="AQ48" s="3527"/>
      <c r="AR48" s="3527"/>
      <c r="AS48" s="3527">
        <f>OFFSET(AS48,0,-1)+1</f>
        <v>1</v>
      </c>
      <c r="AT48" s="3527">
        <f>OFFSET(AT48,0,-1)+1</f>
        <v>2</v>
      </c>
      <c r="AU48" s="3526">
        <f>OFFSET(AU48,0,-1)+1</f>
        <v>3</v>
      </c>
      <c r="AV48" s="3526">
        <f>OFFSET(AV48,0,-1)+1</f>
        <v>4</v>
      </c>
      <c r="AW48" s="3526"/>
      <c r="AX48" s="3526">
        <f>OFFSET(AX48,0,-2)+1</f>
        <v>5</v>
      </c>
      <c r="AY48" s="1263">
        <f>OFFSET(AY48,0,-1)</f>
        <v>5</v>
      </c>
      <c r="AZ48" s="1365">
        <f>OFFSET(AZ48,0,-1)+1</f>
        <v>6</v>
      </c>
      <c r="BA48" s="517"/>
      <c r="BB48" s="517"/>
      <c r="BC48" s="517"/>
      <c r="BD48" s="517"/>
      <c r="BE48" s="517"/>
    </row>
    <row customHeight="1" ht="21">
      <c r="A49" s="1296" t="s">
        <v>177</v>
      </c>
      <c r="B49" s="1296"/>
      <c r="C49" s="1296"/>
      <c r="D49" s="1296"/>
      <c r="E49" s="2167">
        <v>1</v>
      </c>
      <c r="F49" s="1296"/>
      <c r="G49" s="1296"/>
      <c r="H49" s="1296"/>
      <c r="I49" s="1296"/>
      <c r="J49" s="1296"/>
      <c r="K49" s="1296"/>
      <c r="L49" s="1296"/>
      <c r="M49" s="1340"/>
      <c r="N49" s="694"/>
      <c r="O49" s="694"/>
      <c r="P49" s="694"/>
      <c r="Q49" s="357"/>
      <c r="R49" s="356"/>
      <c r="S49" s="356"/>
      <c r="T49" s="351"/>
      <c r="U49" s="1366">
        <f>INDEX(PT_DIFFERENTIATION_NUM_NTAR,MATCH(A49,PT_DIFFERENTIATION_NTAR_ID,0))</f>
        <v>1</v>
      </c>
      <c r="V49" s="286" t="s">
        <v>124</v>
      </c>
      <c r="W49" s="288"/>
      <c r="X49" s="2101"/>
      <c r="Y49" s="2102"/>
      <c r="Z49" s="2102"/>
      <c r="AA49" s="2102"/>
      <c r="AB49" s="2102"/>
      <c r="AC49" s="2102"/>
      <c r="AD49" s="2102"/>
      <c r="AE49" s="2102"/>
      <c r="AF49" s="2103"/>
      <c r="AG49" s="2101" t="str">
        <f>INDEX(PT_DIFFERENTIATION_NTAR,MATCH(A49,PT_DIFFERENTIATION_NTAR_ID,0))</f>
        <v>Долгосрочный тариф на горячую воду, поставляемую потребителям с использованием открытой системы теплоснабжения</v>
      </c>
      <c r="AH49" s="2102"/>
      <c r="AI49" s="2102"/>
      <c r="AJ49" s="2102"/>
      <c r="AK49" s="2102"/>
      <c r="AL49" s="2102"/>
      <c r="AM49" s="2102"/>
      <c r="AN49" s="2102"/>
      <c r="AO49" s="2102"/>
      <c r="AP49" s="3410"/>
      <c r="AQ49" s="3411"/>
      <c r="AR49" s="3411"/>
      <c r="AS49" s="3411"/>
      <c r="AT49" s="3411"/>
      <c r="AU49" s="3411"/>
      <c r="AV49" s="3411"/>
      <c r="AW49" s="3411"/>
      <c r="AX49" s="3412"/>
      <c r="AY49" s="2103"/>
      <c r="AZ49" s="128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BB49" s="506"/>
      <c r="BC49" s="506" t="str">
        <f>IF(V49="","",V49)</f>
        <v>Наименование тарифа</v>
      </c>
      <c r="BD49" s="506"/>
      <c r="BE49" s="506"/>
    </row>
    <row customHeight="1" ht="21">
      <c r="A50" s="1296" t="s">
        <v>177</v>
      </c>
      <c r="B50" s="1296" t="s">
        <v>178</v>
      </c>
      <c r="C50" s="1296"/>
      <c r="D50" s="1296"/>
      <c r="E50" s="2168"/>
      <c r="F50" s="2167">
        <v>1</v>
      </c>
      <c r="G50" s="1296"/>
      <c r="H50" s="1296"/>
      <c r="I50" s="1296"/>
      <c r="J50" s="1296"/>
      <c r="K50" s="1296"/>
      <c r="L50" s="1296"/>
      <c r="M50" s="1340"/>
      <c r="N50" s="694"/>
      <c r="O50" s="694"/>
      <c r="P50" s="694"/>
      <c r="Q50" s="1362"/>
      <c r="R50" s="348"/>
      <c r="S50" s="515"/>
      <c r="T50" s="349"/>
      <c r="U50" s="1366" t="str">
        <f>INDEX(PT_DIFFERENTIATION_NUM_TER,MATCH(B50,PT_DIFFERENTIATION_TER_ID,0))</f>
        <v>1.1</v>
      </c>
      <c r="V50" s="298" t="s">
        <v>392</v>
      </c>
      <c r="W50" s="288"/>
      <c r="X50" s="2101"/>
      <c r="Y50" s="2102"/>
      <c r="Z50" s="2102"/>
      <c r="AA50" s="2102"/>
      <c r="AB50" s="2102"/>
      <c r="AC50" s="2102"/>
      <c r="AD50" s="2102"/>
      <c r="AE50" s="2102"/>
      <c r="AF50" s="2103"/>
      <c r="AG50" s="2101" t="str">
        <f>INDEX(PT_DIFFERENTIATION_TER,MATCH(B50,PT_DIFFERENTIATION_TER_ID,0))</f>
        <v>без дифференциации</v>
      </c>
      <c r="AH50" s="2102"/>
      <c r="AI50" s="2102"/>
      <c r="AJ50" s="2102"/>
      <c r="AK50" s="2102"/>
      <c r="AL50" s="2102"/>
      <c r="AM50" s="2102"/>
      <c r="AN50" s="2102"/>
      <c r="AO50" s="2102"/>
      <c r="AP50" s="3410"/>
      <c r="AQ50" s="3411"/>
      <c r="AR50" s="3411"/>
      <c r="AS50" s="3411"/>
      <c r="AT50" s="3411"/>
      <c r="AU50" s="3411"/>
      <c r="AV50" s="3411"/>
      <c r="AW50" s="3411"/>
      <c r="AX50" s="3412"/>
      <c r="AY50" s="2103"/>
      <c r="AZ50" s="1286" t="s">
        <v>393</v>
      </c>
      <c r="BB50" s="506"/>
      <c r="BC50" s="506" t="str">
        <f>IF(V50="","",V50)</f>
        <v>Территория действия тарифа</v>
      </c>
      <c r="BD50" s="506"/>
      <c r="BE50" s="506"/>
    </row>
    <row customHeight="1" ht="22.5">
      <c r="A51" s="1296" t="s">
        <v>177</v>
      </c>
      <c r="B51" s="1296" t="s">
        <v>178</v>
      </c>
      <c r="C51" s="1296" t="s">
        <v>179</v>
      </c>
      <c r="D51" s="1296"/>
      <c r="E51" s="2168"/>
      <c r="F51" s="2168"/>
      <c r="G51" s="2167">
        <v>1</v>
      </c>
      <c r="H51" s="1296"/>
      <c r="I51" s="1296"/>
      <c r="J51" s="1296"/>
      <c r="K51" s="1296"/>
      <c r="L51" s="1296"/>
      <c r="M51" s="1340"/>
      <c r="N51" s="694"/>
      <c r="O51" s="694"/>
      <c r="P51" s="694"/>
      <c r="Q51" s="350"/>
      <c r="R51" s="348"/>
      <c r="S51" s="515"/>
      <c r="T51" s="349"/>
      <c r="U51" s="1366" t="str">
        <f>INDEX(PT_DIFFERENTIATION_NUM_CS,MATCH(C51,PT_DIFFERENTIATION_CS_ID,0))</f>
        <v>1.1.1</v>
      </c>
      <c r="V51" s="299" t="s">
        <v>394</v>
      </c>
      <c r="W51" s="288"/>
      <c r="X51" s="2101"/>
      <c r="Y51" s="2102"/>
      <c r="Z51" s="2102"/>
      <c r="AA51" s="2102"/>
      <c r="AB51" s="2102"/>
      <c r="AC51" s="2102"/>
      <c r="AD51" s="2102"/>
      <c r="AE51" s="2102"/>
      <c r="AF51" s="2103"/>
      <c r="AG51" s="2101" t="str">
        <f>INDEX(PT_DIFFERENTIATION_CS,MATCH(C51,PT_DIFFERENTIATION_CS_ID,0))</f>
        <v>без дифференциации</v>
      </c>
      <c r="AH51" s="2102"/>
      <c r="AI51" s="2102"/>
      <c r="AJ51" s="2102"/>
      <c r="AK51" s="2102"/>
      <c r="AL51" s="2102"/>
      <c r="AM51" s="2102"/>
      <c r="AN51" s="2102"/>
      <c r="AO51" s="2102"/>
      <c r="AP51" s="3410"/>
      <c r="AQ51" s="3411"/>
      <c r="AR51" s="3411"/>
      <c r="AS51" s="3411"/>
      <c r="AT51" s="3411"/>
      <c r="AU51" s="3411"/>
      <c r="AV51" s="3411"/>
      <c r="AW51" s="3411"/>
      <c r="AX51" s="3412"/>
      <c r="AY51" s="2103"/>
      <c r="AZ51" s="1286" t="s">
        <v>395</v>
      </c>
      <c r="BB51" s="506"/>
      <c r="BC51" s="506" t="str">
        <f>IF(V51="","",V51)</f>
        <v>Наименование системы теплоснабжения </v>
      </c>
      <c r="BD51" s="506"/>
      <c r="BE51" s="506"/>
    </row>
    <row customHeight="1" ht="21">
      <c r="A52" s="1296" t="s">
        <v>177</v>
      </c>
      <c r="B52" s="1296" t="s">
        <v>178</v>
      </c>
      <c r="C52" s="1296" t="s">
        <v>179</v>
      </c>
      <c r="D52" s="1296" t="s">
        <v>180</v>
      </c>
      <c r="E52" s="2168"/>
      <c r="F52" s="2168"/>
      <c r="G52" s="2168"/>
      <c r="H52" s="2169">
        <v>1</v>
      </c>
      <c r="I52" s="1296"/>
      <c r="J52" s="1296"/>
      <c r="K52" s="1296"/>
      <c r="L52" s="1296"/>
      <c r="M52" s="1340"/>
      <c r="N52" s="694"/>
      <c r="O52" s="694"/>
      <c r="P52" s="694"/>
      <c r="Q52" s="350"/>
      <c r="R52" s="348"/>
      <c r="S52" s="515"/>
      <c r="T52" s="349"/>
      <c r="U52" s="1366" t="str">
        <f>INDEX(PT_DIFFERENTIATION_NUM_IST_TE,MATCH(D52,PT_DIFFERENTIATION_IST_TE_ID,0))</f>
        <v>1.1.1.1</v>
      </c>
      <c r="V52" s="300" t="s">
        <v>396</v>
      </c>
      <c r="W52" s="288"/>
      <c r="X52" s="2101"/>
      <c r="Y52" s="2102"/>
      <c r="Z52" s="2102"/>
      <c r="AA52" s="2102"/>
      <c r="AB52" s="2102"/>
      <c r="AC52" s="2102"/>
      <c r="AD52" s="2102"/>
      <c r="AE52" s="2102"/>
      <c r="AF52" s="2103"/>
      <c r="AG52" s="2101" t="str">
        <f>INDEX(PT_DIFFERENTIATION_IST_TE,MATCH(D52,PT_DIFFERENTIATION_IST_TE_ID,0))</f>
        <v>без дифференциации</v>
      </c>
      <c r="AH52" s="2102"/>
      <c r="AI52" s="2102"/>
      <c r="AJ52" s="2102"/>
      <c r="AK52" s="2102"/>
      <c r="AL52" s="2102"/>
      <c r="AM52" s="2102"/>
      <c r="AN52" s="2102"/>
      <c r="AO52" s="2102"/>
      <c r="AP52" s="3410"/>
      <c r="AQ52" s="3411"/>
      <c r="AR52" s="3411"/>
      <c r="AS52" s="3411"/>
      <c r="AT52" s="3411"/>
      <c r="AU52" s="3411"/>
      <c r="AV52" s="3411"/>
      <c r="AW52" s="3411"/>
      <c r="AX52" s="3412"/>
      <c r="AY52" s="2103"/>
      <c r="AZ52" s="1286" t="s">
        <v>397</v>
      </c>
      <c r="BB52" s="506"/>
      <c r="BC52" s="506" t="str">
        <f>IF(V52="","",V52)</f>
        <v>Источник тепловой энергии  </v>
      </c>
      <c r="BD52" s="506"/>
      <c r="BE52" s="506"/>
    </row>
    <row s="2611" customFormat="1" customHeight="1" ht="0">
      <c r="A53" s="1405" t="s">
        <v>177</v>
      </c>
      <c r="B53" s="1405" t="s">
        <v>178</v>
      </c>
      <c r="C53" s="1405" t="s">
        <v>179</v>
      </c>
      <c r="D53" s="1405" t="s">
        <v>180</v>
      </c>
      <c r="E53" s="2168"/>
      <c r="F53" s="2168"/>
      <c r="G53" s="2168"/>
      <c r="H53" s="2170"/>
      <c r="I53" s="1971" t="str">
        <f>U52&amp;".1"</f>
        <v>1.1.1.1.1</v>
      </c>
      <c r="J53" s="1405"/>
      <c r="K53" s="1405"/>
      <c r="L53" s="1405"/>
      <c r="M53" s="1411" t="s">
        <v>398</v>
      </c>
      <c r="N53" s="1264"/>
      <c r="O53" s="1264"/>
      <c r="P53" s="1264"/>
      <c r="Q53" s="2111">
        <v>1</v>
      </c>
      <c r="R53" s="1361"/>
      <c r="S53" s="1361"/>
      <c r="T53" s="352"/>
      <c r="U53" s="1049"/>
      <c r="V53" s="1413"/>
      <c r="W53" s="1414"/>
      <c r="X53" s="2147"/>
      <c r="Y53" s="2148"/>
      <c r="Z53" s="2148"/>
      <c r="AA53" s="2148"/>
      <c r="AB53" s="2148"/>
      <c r="AC53" s="2148"/>
      <c r="AD53" s="2148"/>
      <c r="AE53" s="2148"/>
      <c r="AF53" s="2149"/>
      <c r="AG53" s="2147"/>
      <c r="AH53" s="2148"/>
      <c r="AI53" s="2148"/>
      <c r="AJ53" s="2148"/>
      <c r="AK53" s="2148"/>
      <c r="AL53" s="2148"/>
      <c r="AM53" s="2148"/>
      <c r="AN53" s="2148"/>
      <c r="AO53" s="2148"/>
      <c r="AP53" s="3414"/>
      <c r="AQ53" s="3415"/>
      <c r="AR53" s="3415"/>
      <c r="AS53" s="3415"/>
      <c r="AT53" s="3415"/>
      <c r="AU53" s="3415"/>
      <c r="AV53" s="3415"/>
      <c r="AW53" s="3415"/>
      <c r="AX53" s="3416"/>
      <c r="AY53" s="2149"/>
      <c r="AZ53" s="1415"/>
      <c r="BB53" s="506"/>
      <c r="BC53" s="506" t="str">
        <f>IF(V53="","",V53)</f>
        <v/>
      </c>
      <c r="BD53" s="506"/>
      <c r="BE53" s="506"/>
    </row>
    <row customHeight="1" ht="21">
      <c r="A54" s="1296" t="s">
        <v>177</v>
      </c>
      <c r="B54" s="1296" t="s">
        <v>178</v>
      </c>
      <c r="C54" s="1296" t="s">
        <v>179</v>
      </c>
      <c r="D54" s="1296" t="s">
        <v>180</v>
      </c>
      <c r="E54" s="2168"/>
      <c r="F54" s="2168"/>
      <c r="G54" s="2168"/>
      <c r="H54" s="2170"/>
      <c r="I54" s="1955"/>
      <c r="J54" s="1971" t="str">
        <f>I53&amp;".1"</f>
        <v>1.1.1.1.1.1</v>
      </c>
      <c r="K54" s="1296"/>
      <c r="L54" s="1296"/>
      <c r="M54" s="1340" t="s">
        <v>401</v>
      </c>
      <c r="Q54" s="2111"/>
      <c r="R54" s="2111">
        <v>1</v>
      </c>
      <c r="S54" s="524"/>
      <c r="T54" s="353"/>
      <c r="U54" s="1366" t="str">
        <f>$J54</f>
        <v>1.1.1.1.1.1</v>
      </c>
      <c r="V54" s="274" t="s">
        <v>402</v>
      </c>
      <c r="W54" s="288"/>
      <c r="X54" s="2095"/>
      <c r="Y54" s="2096"/>
      <c r="Z54" s="2096"/>
      <c r="AA54" s="2096"/>
      <c r="AB54" s="2096"/>
      <c r="AC54" s="2088"/>
      <c r="AD54" s="2088"/>
      <c r="AE54" s="2088"/>
      <c r="AF54" s="2171"/>
      <c r="AG54" s="2095" t="s">
        <v>455</v>
      </c>
      <c r="AH54" s="2096"/>
      <c r="AI54" s="2096"/>
      <c r="AJ54" s="2096"/>
      <c r="AK54" s="2096"/>
      <c r="AL54" s="2096"/>
      <c r="AM54" s="2096"/>
      <c r="AN54" s="2096"/>
      <c r="AO54" s="2096"/>
      <c r="AP54" s="3418"/>
      <c r="AQ54" s="3419"/>
      <c r="AR54" s="3419"/>
      <c r="AS54" s="3419"/>
      <c r="AT54" s="3419"/>
      <c r="AU54" s="3420"/>
      <c r="AV54" s="3420"/>
      <c r="AW54" s="3420"/>
      <c r="AX54" s="3421"/>
      <c r="AY54" s="2097"/>
      <c r="AZ54" s="1286" t="s">
        <v>403</v>
      </c>
      <c r="BB54" s="506"/>
      <c r="BC54" s="506" t="str">
        <f>IF(V54="","",V54)</f>
        <v>Группа потребителей</v>
      </c>
      <c r="BD54" s="506"/>
      <c r="BE54" s="506"/>
    </row>
    <row customHeight="1" ht="21">
      <c r="A55" s="1296" t="s">
        <v>177</v>
      </c>
      <c r="B55" s="1296" t="s">
        <v>178</v>
      </c>
      <c r="C55" s="1296" t="s">
        <v>179</v>
      </c>
      <c r="D55" s="1296" t="s">
        <v>180</v>
      </c>
      <c r="E55" s="2168"/>
      <c r="F55" s="2168"/>
      <c r="G55" s="2168"/>
      <c r="H55" s="2170"/>
      <c r="I55" s="1955"/>
      <c r="J55" s="1955"/>
      <c r="K55" s="1971" t="str">
        <f>J54&amp;".1"</f>
        <v>1.1.1.1.1.1.1</v>
      </c>
      <c r="L55" s="125"/>
      <c r="M55" s="1340" t="s">
        <v>404</v>
      </c>
      <c r="Q55" s="2111"/>
      <c r="R55" s="2111"/>
      <c r="S55" s="524">
        <v>1</v>
      </c>
      <c r="T55" s="353"/>
      <c r="U55" s="1366" t="str">
        <f>$K55</f>
        <v>1.1.1.1.1.1.1</v>
      </c>
      <c r="V55" s="1377" t="s">
        <v>456</v>
      </c>
      <c r="W55" s="288"/>
      <c r="X55" s="757"/>
      <c r="Y55" s="757"/>
      <c r="Z55" s="757"/>
      <c r="AA55" s="757"/>
      <c r="AB55" s="1435"/>
      <c r="AC55" s="2112"/>
      <c r="AD55" s="1981" t="s">
        <v>62</v>
      </c>
      <c r="AE55" s="2112"/>
      <c r="AF55" s="1981" t="s">
        <v>62</v>
      </c>
      <c r="AG55" s="1437"/>
      <c r="AH55" s="757">
        <v>39.88</v>
      </c>
      <c r="AI55" s="757">
        <v>2230.84</v>
      </c>
      <c r="AJ55" s="757"/>
      <c r="AK55" s="1285"/>
      <c r="AL55" s="3427">
        <v>45292.565092592595</v>
      </c>
      <c r="AM55" s="1981" t="s">
        <v>62</v>
      </c>
      <c r="AN55" s="3427">
        <v>45473.565300925926</v>
      </c>
      <c r="AO55" s="1981" t="s">
        <v>62</v>
      </c>
      <c r="AP55" s="3425"/>
      <c r="AQ55" s="3425">
        <v>43.68</v>
      </c>
      <c r="AR55" s="3425">
        <v>2470.91</v>
      </c>
      <c r="AS55" s="3425"/>
      <c r="AT55" s="3426"/>
      <c r="AU55" s="3427">
        <v>45474.56579861111</v>
      </c>
      <c r="AV55" s="2861" t="s">
        <v>62</v>
      </c>
      <c r="AW55" s="3427">
        <v>45657.56594907407</v>
      </c>
      <c r="AX55" s="2861" t="s">
        <v>62</v>
      </c>
      <c r="AY55" s="1378"/>
      <c r="AZ55" s="1337" t="s">
        <v>442</v>
      </c>
      <c r="BA55" s="517">
        <f>STRCHECKDATE(X57:AY57)</f>
      </c>
      <c r="BB55" s="506"/>
      <c r="BC55" s="506" t="str">
        <f>IF(V55="","",V55)</f>
        <v>вода</v>
      </c>
      <c r="BD55" s="506"/>
      <c r="BE55" s="506"/>
    </row>
    <row customHeight="1" ht="11.25">
      <c r="A56" s="1296" t="s">
        <v>177</v>
      </c>
      <c r="B56" s="1296" t="s">
        <v>178</v>
      </c>
      <c r="C56" s="1296" t="s">
        <v>179</v>
      </c>
      <c r="D56" s="1296" t="s">
        <v>180</v>
      </c>
      <c r="E56" s="2168"/>
      <c r="F56" s="2168"/>
      <c r="G56" s="2168"/>
      <c r="H56" s="2170"/>
      <c r="I56" s="1955"/>
      <c r="J56" s="1955"/>
      <c r="K56" s="1955"/>
      <c r="L56" s="1971" t="str">
        <f>K55&amp;".1"</f>
        <v>1.1.1.1.1.1.1.1</v>
      </c>
      <c r="M56" s="1340"/>
      <c r="Q56" s="2111"/>
      <c r="R56" s="2111"/>
      <c r="S56" s="524">
        <v>1</v>
      </c>
      <c r="T56" s="353"/>
      <c r="U56" s="1366" t="str">
        <f>$L56</f>
        <v>1.1.1.1.1.1.1.1</v>
      </c>
      <c r="V56" s="1421"/>
      <c r="W56" s="288"/>
      <c r="X56" s="320"/>
      <c r="Y56" s="757"/>
      <c r="Z56" s="757"/>
      <c r="AA56" s="757"/>
      <c r="AB56" s="1435"/>
      <c r="AC56" s="2152"/>
      <c r="AD56" s="1981"/>
      <c r="AE56" s="2152"/>
      <c r="AF56" s="1981"/>
      <c r="AG56" s="1437"/>
      <c r="AH56" s="757"/>
      <c r="AI56" s="757"/>
      <c r="AJ56" s="757"/>
      <c r="AK56" s="1285"/>
      <c r="AL56" s="2152"/>
      <c r="AM56" s="1981"/>
      <c r="AN56" s="2152"/>
      <c r="AO56" s="1981"/>
      <c r="AP56" s="3431"/>
      <c r="AQ56" s="3425"/>
      <c r="AR56" s="3425"/>
      <c r="AS56" s="3425"/>
      <c r="AT56" s="3426"/>
      <c r="AU56" s="3432"/>
      <c r="AV56" s="2861"/>
      <c r="AW56" s="3432"/>
      <c r="AX56" s="2861"/>
      <c r="AY56" s="1378"/>
      <c r="AZ56" s="2137" t="s">
        <v>443</v>
      </c>
      <c r="BA56" s="517">
        <f>STRCHECKDATE(X58:AY58)</f>
      </c>
      <c r="BB56" s="506"/>
      <c r="BC56" s="506" t="str">
        <f>IF(V56="","",V56)</f>
        <v/>
      </c>
      <c r="BD56" s="506"/>
      <c r="BE56" s="506"/>
    </row>
    <row customHeight="1" ht="0">
      <c r="A57" s="1296" t="s">
        <v>177</v>
      </c>
      <c r="B57" s="1296" t="s">
        <v>178</v>
      </c>
      <c r="C57" s="1296" t="s">
        <v>179</v>
      </c>
      <c r="D57" s="1296" t="s">
        <v>180</v>
      </c>
      <c r="E57" s="2168"/>
      <c r="F57" s="2168"/>
      <c r="G57" s="2168"/>
      <c r="H57" s="2170"/>
      <c r="I57" s="1955"/>
      <c r="J57" s="1955"/>
      <c r="K57" s="1955"/>
      <c r="L57" s="1971"/>
      <c r="M57" s="1340"/>
      <c r="Q57" s="2111"/>
      <c r="R57" s="2111"/>
      <c r="S57" s="524"/>
      <c r="T57" s="353"/>
      <c r="U57" s="1372"/>
      <c r="V57" s="288"/>
      <c r="W57" s="288"/>
      <c r="X57" s="320"/>
      <c r="Y57" s="320"/>
      <c r="Z57" s="320"/>
      <c r="AA57" s="320"/>
      <c r="AB57" s="1436" t="str">
        <f>AC55&amp;"-"&amp;AE55</f>
        <v>-</v>
      </c>
      <c r="AC57" s="2152"/>
      <c r="AD57" s="1981"/>
      <c r="AE57" s="2152"/>
      <c r="AF57" s="1981"/>
      <c r="AG57" s="1412"/>
      <c r="AH57" s="320"/>
      <c r="AI57" s="320"/>
      <c r="AJ57" s="320"/>
      <c r="AK57" s="324" t="str">
        <f>AL55&amp;"-"&amp;AN55</f>
        <v>45292.565092592595-45473.565300925926</v>
      </c>
      <c r="AL57" s="2152"/>
      <c r="AM57" s="1981"/>
      <c r="AN57" s="2152"/>
      <c r="AO57" s="1981"/>
      <c r="AP57" s="3431"/>
      <c r="AQ57" s="3431"/>
      <c r="AR57" s="3431"/>
      <c r="AS57" s="3431"/>
      <c r="AT57" s="3435" t="str">
        <f>AU55&amp;"-"&amp;AW55</f>
        <v>45474.56579861111-45657.56594907407</v>
      </c>
      <c r="AU57" s="3432"/>
      <c r="AV57" s="2861"/>
      <c r="AW57" s="3432"/>
      <c r="AX57" s="2861"/>
      <c r="AY57" s="1379"/>
      <c r="AZ57" s="2138"/>
      <c r="BB57" s="506"/>
      <c r="BC57" s="506" t="str">
        <f>IF(V57="","",V57)</f>
        <v/>
      </c>
      <c r="BD57" s="506"/>
      <c r="BE57" s="506"/>
    </row>
    <row customHeight="1" ht="11.25">
      <c r="A58" s="1296" t="s">
        <v>177</v>
      </c>
      <c r="B58" s="1296" t="s">
        <v>178</v>
      </c>
      <c r="C58" s="1296" t="s">
        <v>179</v>
      </c>
      <c r="D58" s="1296" t="s">
        <v>180</v>
      </c>
      <c r="E58" s="2168"/>
      <c r="F58" s="2168"/>
      <c r="G58" s="2168"/>
      <c r="H58" s="2170"/>
      <c r="I58" s="1955"/>
      <c r="J58" s="1955"/>
      <c r="K58" s="1971"/>
      <c r="L58" s="1296"/>
      <c r="M58" s="1340"/>
      <c r="Q58" s="2111"/>
      <c r="R58" s="2111"/>
      <c r="S58" s="1361"/>
      <c r="T58" s="352"/>
      <c r="U58" s="1308"/>
      <c r="V58" s="276" t="s">
        <v>444</v>
      </c>
      <c r="W58" s="367"/>
      <c r="X58" s="367"/>
      <c r="Y58" s="367"/>
      <c r="Z58" s="367"/>
      <c r="AA58" s="367"/>
      <c r="AB58" s="367"/>
      <c r="AC58" s="2152"/>
      <c r="AD58" s="1981"/>
      <c r="AE58" s="2152"/>
      <c r="AF58" s="1981"/>
      <c r="AG58" s="367"/>
      <c r="AH58" s="367"/>
      <c r="AI58" s="367"/>
      <c r="AJ58" s="367"/>
      <c r="AK58" s="367"/>
      <c r="AL58" s="2152"/>
      <c r="AM58" s="1981"/>
      <c r="AN58" s="2152"/>
      <c r="AO58" s="1981"/>
      <c r="AP58" s="3532"/>
      <c r="AQ58" s="3533"/>
      <c r="AR58" s="3534"/>
      <c r="AS58" s="3535"/>
      <c r="AT58" s="3536"/>
      <c r="AU58" s="3432"/>
      <c r="AV58" s="2861"/>
      <c r="AW58" s="3432"/>
      <c r="AX58" s="2861"/>
      <c r="AY58" s="319"/>
      <c r="AZ58" s="2138"/>
      <c r="BB58" s="506"/>
      <c r="BC58" s="506" t="str">
        <f>IF(V58="","",V58)</f>
        <v>Добавить наименование поставщика</v>
      </c>
      <c r="BD58" s="506"/>
      <c r="BE58" s="506"/>
    </row>
    <row customHeight="1" ht="11.25">
      <c r="A59" s="1296" t="s">
        <v>177</v>
      </c>
      <c r="B59" s="1296" t="s">
        <v>178</v>
      </c>
      <c r="C59" s="1296" t="s">
        <v>179</v>
      </c>
      <c r="D59" s="1296" t="s">
        <v>180</v>
      </c>
      <c r="E59" s="2168"/>
      <c r="F59" s="2168"/>
      <c r="G59" s="2168"/>
      <c r="H59" s="2170"/>
      <c r="I59" s="1955"/>
      <c r="J59" s="1971"/>
      <c r="K59" s="1296"/>
      <c r="L59" s="1296"/>
      <c r="M59" s="1340"/>
      <c r="Q59" s="2111"/>
      <c r="R59" s="2111"/>
      <c r="S59" s="1361"/>
      <c r="T59" s="352"/>
      <c r="U59" s="1308"/>
      <c r="V59" s="275" t="s">
        <v>406</v>
      </c>
      <c r="W59" s="367"/>
      <c r="X59" s="367"/>
      <c r="Y59" s="367"/>
      <c r="Z59" s="367"/>
      <c r="AA59" s="367"/>
      <c r="AB59" s="367"/>
      <c r="AC59" s="1438"/>
      <c r="AD59" s="1438"/>
      <c r="AE59" s="1438"/>
      <c r="AF59" s="1438"/>
      <c r="AG59" s="367"/>
      <c r="AH59" s="367"/>
      <c r="AI59" s="367"/>
      <c r="AJ59" s="367"/>
      <c r="AK59" s="367"/>
      <c r="AL59" s="367"/>
      <c r="AM59" s="367"/>
      <c r="AN59" s="367"/>
      <c r="AO59" s="367"/>
      <c r="AP59" s="3537"/>
      <c r="AQ59" s="3538"/>
      <c r="AR59" s="3539"/>
      <c r="AS59" s="3540"/>
      <c r="AT59" s="3541"/>
      <c r="AU59" s="3542"/>
      <c r="AV59" s="3543"/>
      <c r="AW59" s="3544"/>
      <c r="AX59" s="3545"/>
      <c r="AY59" s="319"/>
      <c r="AZ59" s="2139"/>
      <c r="BB59" s="506"/>
      <c r="BC59" s="506" t="str">
        <f>IF(V59="","",V59)</f>
        <v>Добавить вид теплоносителя (параметры теплоносителя)</v>
      </c>
      <c r="BD59" s="506"/>
      <c r="BE59" s="506"/>
    </row>
    <row s="3546" customFormat="1" customHeight="1" ht="21">
      <c r="A60" s="3547"/>
      <c r="B60" s="3547"/>
      <c r="C60" s="3547"/>
      <c r="D60" s="3547"/>
      <c r="E60" s="3548"/>
      <c r="F60" s="3548"/>
      <c r="G60" s="3548"/>
      <c r="H60" s="3548"/>
      <c r="I60" s="3549"/>
      <c r="J60" s="3486" t="str">
        <f>I53&amp;".2"</f>
        <v>1.1.1.1.1.2</v>
      </c>
      <c r="K60" s="3547"/>
      <c r="L60" s="3547"/>
      <c r="M60" s="3550" t="s">
        <v>401</v>
      </c>
      <c r="N60" s="3406"/>
      <c r="O60" s="3406"/>
      <c r="P60" s="3551"/>
      <c r="Q60" s="3552"/>
      <c r="R60" s="3553" t="s">
        <v>445</v>
      </c>
      <c r="S60" s="3484"/>
      <c r="T60" s="3554"/>
      <c r="U60" s="3555" t="str">
        <f>$J60</f>
        <v>1.1.1.1.1.2</v>
      </c>
      <c r="V60" s="3556" t="s">
        <v>402</v>
      </c>
      <c r="W60" s="3557"/>
      <c r="X60" s="3418"/>
      <c r="Y60" s="3419"/>
      <c r="Z60" s="3419"/>
      <c r="AA60" s="3419"/>
      <c r="AB60" s="3419"/>
      <c r="AC60" s="3420"/>
      <c r="AD60" s="3420"/>
      <c r="AE60" s="3420"/>
      <c r="AF60" s="3421"/>
      <c r="AG60" s="3418" t="s">
        <v>457</v>
      </c>
      <c r="AH60" s="3419"/>
      <c r="AI60" s="3419"/>
      <c r="AJ60" s="3419"/>
      <c r="AK60" s="3419"/>
      <c r="AL60" s="3419"/>
      <c r="AM60" s="3419"/>
      <c r="AN60" s="3419"/>
      <c r="AO60" s="3419"/>
      <c r="AP60" s="3418"/>
      <c r="AQ60" s="3419"/>
      <c r="AR60" s="3419"/>
      <c r="AS60" s="3419"/>
      <c r="AT60" s="3419"/>
      <c r="AU60" s="3420"/>
      <c r="AV60" s="3420"/>
      <c r="AW60" s="3420"/>
      <c r="AX60" s="3421"/>
      <c r="AY60" s="3558"/>
      <c r="AZ60" s="3559" t="s">
        <v>403</v>
      </c>
      <c r="BA60" s="3484"/>
      <c r="BB60" s="3560"/>
      <c r="BC60" s="3560" t="str">
        <f>IF(V60="","",V60)</f>
        <v>Группа потребителей</v>
      </c>
      <c r="BD60" s="3560"/>
      <c r="BE60" s="3560"/>
    </row>
    <row s="3561" customFormat="1" customHeight="1" ht="21">
      <c r="A61" s="3547"/>
      <c r="B61" s="3547"/>
      <c r="C61" s="3547"/>
      <c r="D61" s="3547"/>
      <c r="E61" s="3548"/>
      <c r="F61" s="3548"/>
      <c r="G61" s="3548"/>
      <c r="H61" s="3548"/>
      <c r="I61" s="3549"/>
      <c r="J61" s="3549" t="str">
        <f>I53&amp;".1"</f>
        <v>1.1.1.1.1.1</v>
      </c>
      <c r="K61" s="3486" t="str">
        <f>J60&amp;".1"</f>
        <v>1.1.1.1.1.2.1</v>
      </c>
      <c r="L61" s="3562"/>
      <c r="M61" s="3550" t="s">
        <v>404</v>
      </c>
      <c r="N61" s="3406"/>
      <c r="O61" s="3406"/>
      <c r="P61" s="3406"/>
      <c r="Q61" s="3552"/>
      <c r="R61" s="3552"/>
      <c r="S61" s="3552">
        <v>1</v>
      </c>
      <c r="T61" s="3554"/>
      <c r="U61" s="3555" t="str">
        <f>$K61</f>
        <v>1.1.1.1.1.2.1</v>
      </c>
      <c r="V61" s="3563" t="s">
        <v>456</v>
      </c>
      <c r="W61" s="3557"/>
      <c r="X61" s="3425"/>
      <c r="Y61" s="3425"/>
      <c r="Z61" s="3425"/>
      <c r="AA61" s="3425"/>
      <c r="AB61" s="3426"/>
      <c r="AC61" s="3427"/>
      <c r="AD61" s="2861" t="s">
        <v>62</v>
      </c>
      <c r="AE61" s="3427"/>
      <c r="AF61" s="2861" t="s">
        <v>62</v>
      </c>
      <c r="AG61" s="3564"/>
      <c r="AH61" s="3425">
        <v>33.64</v>
      </c>
      <c r="AI61" s="3425">
        <v>2220.89</v>
      </c>
      <c r="AJ61" s="3425"/>
      <c r="AK61" s="3565"/>
      <c r="AL61" s="3427">
        <v>45292.56681712963</v>
      </c>
      <c r="AM61" s="2861" t="s">
        <v>62</v>
      </c>
      <c r="AN61" s="3427">
        <v>45473.567037037035</v>
      </c>
      <c r="AO61" s="2861" t="s">
        <v>62</v>
      </c>
      <c r="AP61" s="3425"/>
      <c r="AQ61" s="3425"/>
      <c r="AR61" s="3425"/>
      <c r="AS61" s="3425"/>
      <c r="AT61" s="3426"/>
      <c r="AU61" s="3427">
        <v>45474.56743055556</v>
      </c>
      <c r="AV61" s="2861" t="s">
        <v>62</v>
      </c>
      <c r="AW61" s="3427">
        <v>45657.56762731481</v>
      </c>
      <c r="AX61" s="2861" t="s">
        <v>62</v>
      </c>
      <c r="AY61" s="3431"/>
      <c r="AZ61" s="3566" t="s">
        <v>442</v>
      </c>
      <c r="BA61" s="3484">
        <f>STRCHECKDATE(X63:AY63)</f>
      </c>
      <c r="BB61" s="3560"/>
      <c r="BC61" s="3560" t="str">
        <f>IF(V61="","",V61)</f>
        <v>вода</v>
      </c>
      <c r="BD61" s="3560"/>
      <c r="BE61" s="3560"/>
    </row>
    <row s="3567" customFormat="1" customHeight="1" ht="21">
      <c r="A62" s="3547"/>
      <c r="B62" s="3547"/>
      <c r="C62" s="3547"/>
      <c r="D62" s="3547"/>
      <c r="E62" s="3548"/>
      <c r="F62" s="3548"/>
      <c r="G62" s="3548"/>
      <c r="H62" s="3548"/>
      <c r="I62" s="3549"/>
      <c r="J62" s="3549" t="str">
        <f>I53&amp;".1"</f>
        <v>1.1.1.1.1.1</v>
      </c>
      <c r="K62" s="3549"/>
      <c r="L62" s="3486" t="str">
        <f>K61&amp;".1"</f>
        <v>1.1.1.1.1.2.1.1</v>
      </c>
      <c r="M62" s="3550"/>
      <c r="N62" s="3406"/>
      <c r="O62" s="3406"/>
      <c r="P62" s="3406"/>
      <c r="Q62" s="3552"/>
      <c r="R62" s="3552"/>
      <c r="S62" s="3552"/>
      <c r="T62" s="3554"/>
      <c r="U62" s="3555" t="str">
        <f>$L62</f>
        <v>1.1.1.1.1.2.1.1</v>
      </c>
      <c r="V62" s="3568"/>
      <c r="W62" s="3557"/>
      <c r="X62" s="3431"/>
      <c r="Y62" s="3425"/>
      <c r="Z62" s="3425"/>
      <c r="AA62" s="3425"/>
      <c r="AB62" s="3426"/>
      <c r="AC62" s="3432"/>
      <c r="AD62" s="2861"/>
      <c r="AE62" s="3432"/>
      <c r="AF62" s="2861"/>
      <c r="AG62" s="3564"/>
      <c r="AH62" s="3425"/>
      <c r="AI62" s="3425"/>
      <c r="AJ62" s="3425"/>
      <c r="AK62" s="3565"/>
      <c r="AL62" s="3432"/>
      <c r="AM62" s="2861"/>
      <c r="AN62" s="3432"/>
      <c r="AO62" s="2861"/>
      <c r="AP62" s="3431"/>
      <c r="AQ62" s="3425">
        <v>36.4</v>
      </c>
      <c r="AR62" s="3425">
        <v>2485.64</v>
      </c>
      <c r="AS62" s="3425"/>
      <c r="AT62" s="3426"/>
      <c r="AU62" s="3432"/>
      <c r="AV62" s="2861"/>
      <c r="AW62" s="3432"/>
      <c r="AX62" s="2861"/>
      <c r="AY62" s="3431"/>
      <c r="AZ62" s="3569" t="s">
        <v>443</v>
      </c>
      <c r="BA62" s="3484"/>
      <c r="BB62" s="3560"/>
      <c r="BC62" s="3560"/>
      <c r="BD62" s="3560"/>
      <c r="BE62" s="3560"/>
    </row>
    <row s="3570" customFormat="1" customHeight="1" ht="14.25">
      <c r="A63" s="3547"/>
      <c r="B63" s="3547"/>
      <c r="C63" s="3547"/>
      <c r="D63" s="3547"/>
      <c r="E63" s="3548"/>
      <c r="F63" s="3548"/>
      <c r="G63" s="3548"/>
      <c r="H63" s="3548"/>
      <c r="I63" s="3549"/>
      <c r="J63" s="3549" t="str">
        <f>I53&amp;".1"</f>
        <v>1.1.1.1.1.1</v>
      </c>
      <c r="K63" s="3549"/>
      <c r="L63" s="3486"/>
      <c r="M63" s="3550"/>
      <c r="N63" s="3406"/>
      <c r="O63" s="3406"/>
      <c r="P63" s="3406"/>
      <c r="Q63" s="3552"/>
      <c r="R63" s="3552"/>
      <c r="S63" s="3552"/>
      <c r="T63" s="3554"/>
      <c r="U63" s="3571"/>
      <c r="V63" s="3557"/>
      <c r="W63" s="3557"/>
      <c r="X63" s="3431"/>
      <c r="Y63" s="3431"/>
      <c r="Z63" s="3431"/>
      <c r="AA63" s="3431"/>
      <c r="AB63" s="3435" t="str">
        <f>AC61&amp;"-"&amp;AE61</f>
        <v>-</v>
      </c>
      <c r="AC63" s="3432"/>
      <c r="AD63" s="2861"/>
      <c r="AE63" s="3432"/>
      <c r="AF63" s="2861"/>
      <c r="AG63" s="3572"/>
      <c r="AH63" s="3431"/>
      <c r="AI63" s="3431"/>
      <c r="AJ63" s="3431"/>
      <c r="AK63" s="3573" t="str">
        <f>AL61&amp;"-"&amp;AN61</f>
        <v>45292.56681712963-45473.567037037035</v>
      </c>
      <c r="AL63" s="3432"/>
      <c r="AM63" s="2861"/>
      <c r="AN63" s="3432"/>
      <c r="AO63" s="2861"/>
      <c r="AP63" s="3431"/>
      <c r="AQ63" s="3431"/>
      <c r="AR63" s="3431"/>
      <c r="AS63" s="3431"/>
      <c r="AT63" s="3435" t="str">
        <f>AU61&amp;"-"&amp;AW61</f>
        <v>45474.56743055556-45657.56762731481</v>
      </c>
      <c r="AU63" s="3432"/>
      <c r="AV63" s="2861"/>
      <c r="AW63" s="3432"/>
      <c r="AX63" s="2861"/>
      <c r="AY63" s="3431"/>
      <c r="AZ63" s="3574"/>
      <c r="BA63" s="3484"/>
      <c r="BB63" s="3560"/>
      <c r="BC63" s="3560" t="str">
        <f>IF(V63="","",V63)</f>
        <v/>
      </c>
      <c r="BD63" s="3560"/>
      <c r="BE63" s="3560"/>
    </row>
    <row s="3575" customFormat="1" customHeight="1" ht="11.25">
      <c r="A64" s="3547"/>
      <c r="B64" s="3547"/>
      <c r="C64" s="3547"/>
      <c r="D64" s="3547"/>
      <c r="E64" s="3548"/>
      <c r="F64" s="3548"/>
      <c r="G64" s="3548"/>
      <c r="H64" s="3548"/>
      <c r="I64" s="3549"/>
      <c r="J64" s="3549" t="str">
        <f>I53&amp;".1"</f>
        <v>1.1.1.1.1.1</v>
      </c>
      <c r="K64" s="3486"/>
      <c r="L64" s="3547"/>
      <c r="M64" s="3550"/>
      <c r="N64" s="3406"/>
      <c r="O64" s="3406"/>
      <c r="P64" s="3406"/>
      <c r="Q64" s="3552"/>
      <c r="R64" s="3552"/>
      <c r="S64" s="3552"/>
      <c r="T64" s="3554"/>
      <c r="U64" s="3576"/>
      <c r="V64" s="3577" t="s">
        <v>444</v>
      </c>
      <c r="W64" s="3578"/>
      <c r="X64" s="3579"/>
      <c r="Y64" s="3580"/>
      <c r="Z64" s="3581"/>
      <c r="AA64" s="3582"/>
      <c r="AB64" s="3583"/>
      <c r="AC64" s="3432"/>
      <c r="AD64" s="2861"/>
      <c r="AE64" s="3432"/>
      <c r="AF64" s="2861"/>
      <c r="AG64" s="3584"/>
      <c r="AH64" s="3585"/>
      <c r="AI64" s="3586"/>
      <c r="AJ64" s="3587"/>
      <c r="AK64" s="3588"/>
      <c r="AL64" s="3432"/>
      <c r="AM64" s="2861"/>
      <c r="AN64" s="3432"/>
      <c r="AO64" s="2861"/>
      <c r="AP64" s="3589"/>
      <c r="AQ64" s="3590"/>
      <c r="AR64" s="3591"/>
      <c r="AS64" s="3592"/>
      <c r="AT64" s="3593"/>
      <c r="AU64" s="3432"/>
      <c r="AV64" s="2861"/>
      <c r="AW64" s="3432"/>
      <c r="AX64" s="2861"/>
      <c r="AY64" s="3594"/>
      <c r="AZ64" s="3574"/>
      <c r="BA64" s="3484"/>
      <c r="BB64" s="3560"/>
      <c r="BC64" s="3560"/>
      <c r="BD64" s="3560"/>
      <c r="BE64" s="3560"/>
    </row>
    <row s="3595" customFormat="1" customHeight="1" ht="15">
      <c r="A65" s="3547"/>
      <c r="B65" s="3547"/>
      <c r="C65" s="3547"/>
      <c r="D65" s="3547"/>
      <c r="E65" s="3548"/>
      <c r="F65" s="3548"/>
      <c r="G65" s="3548"/>
      <c r="H65" s="3548"/>
      <c r="I65" s="3549"/>
      <c r="J65" s="3486" t="str">
        <f>I53&amp;".1"</f>
        <v>1.1.1.1.1.1</v>
      </c>
      <c r="K65" s="3547"/>
      <c r="L65" s="3547"/>
      <c r="M65" s="3550"/>
      <c r="N65" s="3406"/>
      <c r="O65" s="3406"/>
      <c r="P65" s="3551"/>
      <c r="Q65" s="3552"/>
      <c r="R65" s="3552"/>
      <c r="S65" s="3552"/>
      <c r="T65" s="3596"/>
      <c r="U65" s="3597"/>
      <c r="V65" s="3598" t="s">
        <v>406</v>
      </c>
      <c r="W65" s="3599"/>
      <c r="X65" s="3600"/>
      <c r="Y65" s="3601"/>
      <c r="Z65" s="3602"/>
      <c r="AA65" s="3603"/>
      <c r="AB65" s="3604"/>
      <c r="AC65" s="3605"/>
      <c r="AD65" s="3606"/>
      <c r="AE65" s="3607"/>
      <c r="AF65" s="3608"/>
      <c r="AG65" s="3609"/>
      <c r="AH65" s="3610"/>
      <c r="AI65" s="3611"/>
      <c r="AJ65" s="3612"/>
      <c r="AK65" s="3613"/>
      <c r="AL65" s="3614"/>
      <c r="AM65" s="3615"/>
      <c r="AN65" s="3616"/>
      <c r="AO65" s="3617"/>
      <c r="AP65" s="3618"/>
      <c r="AQ65" s="3619"/>
      <c r="AR65" s="3620"/>
      <c r="AS65" s="3621"/>
      <c r="AT65" s="3622"/>
      <c r="AU65" s="3623"/>
      <c r="AV65" s="3624"/>
      <c r="AW65" s="3625"/>
      <c r="AX65" s="3626"/>
      <c r="AY65" s="3627"/>
      <c r="AZ65" s="3628"/>
      <c r="BA65" s="3484"/>
      <c r="BB65" s="3560"/>
      <c r="BC65" s="3560" t="str">
        <f>IF(V65="","",V65)</f>
        <v>Добавить вид теплоносителя (параметры теплоносителя)</v>
      </c>
      <c r="BD65" s="3560"/>
      <c r="BE65" s="3560"/>
    </row>
    <row s="3629" customFormat="1" customHeight="1" ht="21">
      <c r="A66" s="3547"/>
      <c r="B66" s="3547"/>
      <c r="C66" s="3547"/>
      <c r="D66" s="3547"/>
      <c r="E66" s="3548"/>
      <c r="F66" s="3548"/>
      <c r="G66" s="3548"/>
      <c r="H66" s="3548"/>
      <c r="I66" s="3549"/>
      <c r="J66" s="3486" t="str">
        <f>I53&amp;".3"</f>
        <v>1.1.1.1.1.3</v>
      </c>
      <c r="K66" s="3547"/>
      <c r="L66" s="3547"/>
      <c r="M66" s="3550" t="s">
        <v>401</v>
      </c>
      <c r="N66" s="3406"/>
      <c r="O66" s="3406"/>
      <c r="P66" s="3551"/>
      <c r="Q66" s="3552"/>
      <c r="R66" s="3553" t="s">
        <v>445</v>
      </c>
      <c r="S66" s="3484"/>
      <c r="T66" s="3554"/>
      <c r="U66" s="3555" t="str">
        <f>$J66</f>
        <v>1.1.1.1.1.3</v>
      </c>
      <c r="V66" s="3556" t="s">
        <v>402</v>
      </c>
      <c r="W66" s="3557"/>
      <c r="X66" s="3418"/>
      <c r="Y66" s="3419"/>
      <c r="Z66" s="3419"/>
      <c r="AA66" s="3419"/>
      <c r="AB66" s="3419"/>
      <c r="AC66" s="3420"/>
      <c r="AD66" s="3420"/>
      <c r="AE66" s="3420"/>
      <c r="AF66" s="3421"/>
      <c r="AG66" s="3418" t="s">
        <v>458</v>
      </c>
      <c r="AH66" s="3419"/>
      <c r="AI66" s="3419"/>
      <c r="AJ66" s="3419"/>
      <c r="AK66" s="3419"/>
      <c r="AL66" s="3419"/>
      <c r="AM66" s="3419"/>
      <c r="AN66" s="3419"/>
      <c r="AO66" s="3419"/>
      <c r="AP66" s="3418"/>
      <c r="AQ66" s="3419"/>
      <c r="AR66" s="3419"/>
      <c r="AS66" s="3419"/>
      <c r="AT66" s="3419"/>
      <c r="AU66" s="3420"/>
      <c r="AV66" s="3420"/>
      <c r="AW66" s="3420"/>
      <c r="AX66" s="3421"/>
      <c r="AY66" s="3558"/>
      <c r="AZ66" s="3559" t="s">
        <v>403</v>
      </c>
      <c r="BA66" s="3484"/>
      <c r="BB66" s="3560"/>
      <c r="BC66" s="3560" t="str">
        <f>IF(V66="","",V66)</f>
        <v>Группа потребителей</v>
      </c>
      <c r="BD66" s="3560"/>
      <c r="BE66" s="3560"/>
    </row>
    <row s="3630" customFormat="1" customHeight="1" ht="21">
      <c r="A67" s="3547"/>
      <c r="B67" s="3547"/>
      <c r="C67" s="3547"/>
      <c r="D67" s="3547"/>
      <c r="E67" s="3548"/>
      <c r="F67" s="3548"/>
      <c r="G67" s="3548"/>
      <c r="H67" s="3548"/>
      <c r="I67" s="3549"/>
      <c r="J67" s="3549" t="str">
        <f>I53&amp;".2"</f>
        <v>1.1.1.1.1.2</v>
      </c>
      <c r="K67" s="3486" t="str">
        <f>J66&amp;".1"</f>
        <v>1.1.1.1.1.3.1</v>
      </c>
      <c r="L67" s="3562"/>
      <c r="M67" s="3550" t="s">
        <v>404</v>
      </c>
      <c r="N67" s="3406"/>
      <c r="O67" s="3406"/>
      <c r="P67" s="3406"/>
      <c r="Q67" s="3552"/>
      <c r="R67" s="3552"/>
      <c r="S67" s="3552">
        <v>1</v>
      </c>
      <c r="T67" s="3554"/>
      <c r="U67" s="3555" t="str">
        <f>$K67</f>
        <v>1.1.1.1.1.3.1</v>
      </c>
      <c r="V67" s="3563" t="s">
        <v>456</v>
      </c>
      <c r="W67" s="3557"/>
      <c r="X67" s="3425"/>
      <c r="Y67" s="3425"/>
      <c r="Z67" s="3425"/>
      <c r="AA67" s="3425"/>
      <c r="AB67" s="3426"/>
      <c r="AC67" s="3427"/>
      <c r="AD67" s="2861" t="s">
        <v>62</v>
      </c>
      <c r="AE67" s="3427"/>
      <c r="AF67" s="2861" t="s">
        <v>62</v>
      </c>
      <c r="AG67" s="3564"/>
      <c r="AH67" s="3425">
        <v>33.64</v>
      </c>
      <c r="AI67" s="3425">
        <v>2220.89</v>
      </c>
      <c r="AJ67" s="3425"/>
      <c r="AK67" s="3565"/>
      <c r="AL67" s="3427">
        <v>45292.56811342593</v>
      </c>
      <c r="AM67" s="2861" t="s">
        <v>62</v>
      </c>
      <c r="AN67" s="3427">
        <v>45473.568240740744</v>
      </c>
      <c r="AO67" s="2861" t="s">
        <v>62</v>
      </c>
      <c r="AP67" s="3425"/>
      <c r="AQ67" s="3425"/>
      <c r="AR67" s="3425"/>
      <c r="AS67" s="3425"/>
      <c r="AT67" s="3426"/>
      <c r="AU67" s="3427">
        <v>45474.568553240744</v>
      </c>
      <c r="AV67" s="2861" t="s">
        <v>62</v>
      </c>
      <c r="AW67" s="3427">
        <v>45657.56875</v>
      </c>
      <c r="AX67" s="2861" t="s">
        <v>62</v>
      </c>
      <c r="AY67" s="3431"/>
      <c r="AZ67" s="3566" t="s">
        <v>442</v>
      </c>
      <c r="BA67" s="3484">
        <f>STRCHECKDATE(X69:AY69)</f>
      </c>
      <c r="BB67" s="3560"/>
      <c r="BC67" s="3560" t="str">
        <f>IF(V67="","",V67)</f>
        <v>вода</v>
      </c>
      <c r="BD67" s="3560"/>
      <c r="BE67" s="3560"/>
    </row>
    <row s="3631" customFormat="1" customHeight="1" ht="21">
      <c r="A68" s="3547"/>
      <c r="B68" s="3547"/>
      <c r="C68" s="3547"/>
      <c r="D68" s="3547"/>
      <c r="E68" s="3548"/>
      <c r="F68" s="3548"/>
      <c r="G68" s="3548"/>
      <c r="H68" s="3548"/>
      <c r="I68" s="3549"/>
      <c r="J68" s="3549" t="str">
        <f>I53&amp;".2"</f>
        <v>1.1.1.1.1.2</v>
      </c>
      <c r="K68" s="3549"/>
      <c r="L68" s="3486" t="str">
        <f>K67&amp;".1"</f>
        <v>1.1.1.1.1.3.1.1</v>
      </c>
      <c r="M68" s="3550"/>
      <c r="N68" s="3406"/>
      <c r="O68" s="3406"/>
      <c r="P68" s="3406"/>
      <c r="Q68" s="3552"/>
      <c r="R68" s="3552"/>
      <c r="S68" s="3552"/>
      <c r="T68" s="3554"/>
      <c r="U68" s="3555" t="str">
        <f>$L68</f>
        <v>1.1.1.1.1.3.1.1</v>
      </c>
      <c r="V68" s="3568"/>
      <c r="W68" s="3557"/>
      <c r="X68" s="3431"/>
      <c r="Y68" s="3425"/>
      <c r="Z68" s="3425"/>
      <c r="AA68" s="3425"/>
      <c r="AB68" s="3426"/>
      <c r="AC68" s="3432"/>
      <c r="AD68" s="2861"/>
      <c r="AE68" s="3432"/>
      <c r="AF68" s="2861"/>
      <c r="AG68" s="3564"/>
      <c r="AH68" s="3425"/>
      <c r="AI68" s="3425"/>
      <c r="AJ68" s="3425"/>
      <c r="AK68" s="3565"/>
      <c r="AL68" s="3432"/>
      <c r="AM68" s="2861"/>
      <c r="AN68" s="3432"/>
      <c r="AO68" s="2861"/>
      <c r="AP68" s="3431"/>
      <c r="AQ68" s="3425">
        <v>36.4</v>
      </c>
      <c r="AR68" s="3425">
        <v>2485.64</v>
      </c>
      <c r="AS68" s="3425"/>
      <c r="AT68" s="3426"/>
      <c r="AU68" s="3432"/>
      <c r="AV68" s="2861"/>
      <c r="AW68" s="3432"/>
      <c r="AX68" s="2861"/>
      <c r="AY68" s="3431"/>
      <c r="AZ68" s="3569" t="s">
        <v>443</v>
      </c>
      <c r="BA68" s="3484"/>
      <c r="BB68" s="3560"/>
      <c r="BC68" s="3560"/>
      <c r="BD68" s="3560"/>
      <c r="BE68" s="3560"/>
    </row>
    <row s="3632" customFormat="1" customHeight="1" ht="14.25">
      <c r="A69" s="3547"/>
      <c r="B69" s="3547"/>
      <c r="C69" s="3547"/>
      <c r="D69" s="3547"/>
      <c r="E69" s="3548"/>
      <c r="F69" s="3548"/>
      <c r="G69" s="3548"/>
      <c r="H69" s="3548"/>
      <c r="I69" s="3549"/>
      <c r="J69" s="3549" t="str">
        <f>I53&amp;".2"</f>
        <v>1.1.1.1.1.2</v>
      </c>
      <c r="K69" s="3549"/>
      <c r="L69" s="3486"/>
      <c r="M69" s="3550"/>
      <c r="N69" s="3406"/>
      <c r="O69" s="3406"/>
      <c r="P69" s="3406"/>
      <c r="Q69" s="3552"/>
      <c r="R69" s="3552"/>
      <c r="S69" s="3552"/>
      <c r="T69" s="3554"/>
      <c r="U69" s="3571"/>
      <c r="V69" s="3557"/>
      <c r="W69" s="3557"/>
      <c r="X69" s="3431"/>
      <c r="Y69" s="3431"/>
      <c r="Z69" s="3431"/>
      <c r="AA69" s="3431"/>
      <c r="AB69" s="3435" t="str">
        <f>AC67&amp;"-"&amp;AE67</f>
        <v>-</v>
      </c>
      <c r="AC69" s="3432"/>
      <c r="AD69" s="2861"/>
      <c r="AE69" s="3432"/>
      <c r="AF69" s="2861"/>
      <c r="AG69" s="3572"/>
      <c r="AH69" s="3431"/>
      <c r="AI69" s="3431"/>
      <c r="AJ69" s="3431"/>
      <c r="AK69" s="3573" t="str">
        <f>AL67&amp;"-"&amp;AN67</f>
        <v>45292.56811342593-45473.568240740744</v>
      </c>
      <c r="AL69" s="3432"/>
      <c r="AM69" s="2861"/>
      <c r="AN69" s="3432"/>
      <c r="AO69" s="2861"/>
      <c r="AP69" s="3431"/>
      <c r="AQ69" s="3431"/>
      <c r="AR69" s="3431"/>
      <c r="AS69" s="3431"/>
      <c r="AT69" s="3435" t="str">
        <f>AU67&amp;"-"&amp;AW67</f>
        <v>45474.568553240744-45657.56875</v>
      </c>
      <c r="AU69" s="3432"/>
      <c r="AV69" s="2861"/>
      <c r="AW69" s="3432"/>
      <c r="AX69" s="2861"/>
      <c r="AY69" s="3431"/>
      <c r="AZ69" s="3574"/>
      <c r="BA69" s="3484"/>
      <c r="BB69" s="3560"/>
      <c r="BC69" s="3560" t="str">
        <f>IF(V69="","",V69)</f>
        <v/>
      </c>
      <c r="BD69" s="3560"/>
      <c r="BE69" s="3560"/>
    </row>
    <row s="3633" customFormat="1" customHeight="1" ht="11.25">
      <c r="A70" s="3547"/>
      <c r="B70" s="3547"/>
      <c r="C70" s="3547"/>
      <c r="D70" s="3547"/>
      <c r="E70" s="3548"/>
      <c r="F70" s="3548"/>
      <c r="G70" s="3548"/>
      <c r="H70" s="3548"/>
      <c r="I70" s="3549"/>
      <c r="J70" s="3549" t="str">
        <f>I53&amp;".2"</f>
        <v>1.1.1.1.1.2</v>
      </c>
      <c r="K70" s="3486"/>
      <c r="L70" s="3547"/>
      <c r="M70" s="3550"/>
      <c r="N70" s="3406"/>
      <c r="O70" s="3406"/>
      <c r="P70" s="3406"/>
      <c r="Q70" s="3552"/>
      <c r="R70" s="3552"/>
      <c r="S70" s="3552"/>
      <c r="T70" s="3554"/>
      <c r="U70" s="3634"/>
      <c r="V70" s="3635" t="s">
        <v>444</v>
      </c>
      <c r="W70" s="3636"/>
      <c r="X70" s="3637"/>
      <c r="Y70" s="3638"/>
      <c r="Z70" s="3639"/>
      <c r="AA70" s="3640"/>
      <c r="AB70" s="3641"/>
      <c r="AC70" s="3432"/>
      <c r="AD70" s="2861"/>
      <c r="AE70" s="3432"/>
      <c r="AF70" s="2861"/>
      <c r="AG70" s="3642"/>
      <c r="AH70" s="3643"/>
      <c r="AI70" s="3644"/>
      <c r="AJ70" s="3645"/>
      <c r="AK70" s="3646"/>
      <c r="AL70" s="3432"/>
      <c r="AM70" s="2861"/>
      <c r="AN70" s="3432"/>
      <c r="AO70" s="2861"/>
      <c r="AP70" s="3647"/>
      <c r="AQ70" s="3648"/>
      <c r="AR70" s="3649"/>
      <c r="AS70" s="3650"/>
      <c r="AT70" s="3651"/>
      <c r="AU70" s="3432"/>
      <c r="AV70" s="2861"/>
      <c r="AW70" s="3432"/>
      <c r="AX70" s="2861"/>
      <c r="AY70" s="3652"/>
      <c r="AZ70" s="3574"/>
      <c r="BA70" s="3484"/>
      <c r="BB70" s="3560"/>
      <c r="BC70" s="3560"/>
      <c r="BD70" s="3560"/>
      <c r="BE70" s="3560"/>
    </row>
    <row s="3653" customFormat="1" customHeight="1" ht="15">
      <c r="A71" s="3547"/>
      <c r="B71" s="3547"/>
      <c r="C71" s="3547"/>
      <c r="D71" s="3547"/>
      <c r="E71" s="3548"/>
      <c r="F71" s="3548"/>
      <c r="G71" s="3548"/>
      <c r="H71" s="3548"/>
      <c r="I71" s="3549"/>
      <c r="J71" s="3486" t="str">
        <f>I53&amp;".2"</f>
        <v>1.1.1.1.1.2</v>
      </c>
      <c r="K71" s="3547"/>
      <c r="L71" s="3547"/>
      <c r="M71" s="3550"/>
      <c r="N71" s="3406"/>
      <c r="O71" s="3406"/>
      <c r="P71" s="3551"/>
      <c r="Q71" s="3552"/>
      <c r="R71" s="3552"/>
      <c r="S71" s="3552"/>
      <c r="T71" s="3596"/>
      <c r="U71" s="3654"/>
      <c r="V71" s="3655" t="s">
        <v>406</v>
      </c>
      <c r="W71" s="3656"/>
      <c r="X71" s="3657"/>
      <c r="Y71" s="3658"/>
      <c r="Z71" s="3659"/>
      <c r="AA71" s="3660"/>
      <c r="AB71" s="3661"/>
      <c r="AC71" s="3662"/>
      <c r="AD71" s="3663"/>
      <c r="AE71" s="3664"/>
      <c r="AF71" s="3665"/>
      <c r="AG71" s="3666"/>
      <c r="AH71" s="3667"/>
      <c r="AI71" s="3668"/>
      <c r="AJ71" s="3669"/>
      <c r="AK71" s="3670"/>
      <c r="AL71" s="3671"/>
      <c r="AM71" s="3672"/>
      <c r="AN71" s="3673"/>
      <c r="AO71" s="3674"/>
      <c r="AP71" s="3675"/>
      <c r="AQ71" s="3676"/>
      <c r="AR71" s="3677"/>
      <c r="AS71" s="3678"/>
      <c r="AT71" s="3679"/>
      <c r="AU71" s="3680"/>
      <c r="AV71" s="3681"/>
      <c r="AW71" s="3682"/>
      <c r="AX71" s="3683"/>
      <c r="AY71" s="3684"/>
      <c r="AZ71" s="3628"/>
      <c r="BA71" s="3484"/>
      <c r="BB71" s="3560"/>
      <c r="BC71" s="3560" t="str">
        <f>IF(V71="","",V71)</f>
        <v>Добавить вид теплоносителя (параметры теплоносителя)</v>
      </c>
      <c r="BD71" s="3560"/>
      <c r="BE71" s="3560"/>
    </row>
    <row customHeight="1" ht="11.25">
      <c r="A72" s="1296" t="s">
        <v>177</v>
      </c>
      <c r="B72" s="1296" t="s">
        <v>178</v>
      </c>
      <c r="C72" s="1296" t="s">
        <v>179</v>
      </c>
      <c r="D72" s="1296" t="s">
        <v>180</v>
      </c>
      <c r="E72" s="2168"/>
      <c r="F72" s="2168"/>
      <c r="G72" s="2168"/>
      <c r="H72" s="2170"/>
      <c r="I72" s="1971"/>
      <c r="J72" s="1296"/>
      <c r="K72" s="1296"/>
      <c r="L72" s="1296"/>
      <c r="M72" s="1340"/>
      <c r="Q72" s="2111"/>
      <c r="R72" s="1361"/>
      <c r="S72" s="1361"/>
      <c r="T72" s="352"/>
      <c r="U72" s="1308"/>
      <c r="V72" s="364" t="s">
        <v>407</v>
      </c>
      <c r="W72" s="367"/>
      <c r="X72" s="367"/>
      <c r="Y72" s="367"/>
      <c r="Z72" s="367"/>
      <c r="AA72" s="367"/>
      <c r="AB72" s="367"/>
      <c r="AC72" s="367"/>
      <c r="AD72" s="367"/>
      <c r="AE72" s="367"/>
      <c r="AF72" s="366"/>
      <c r="AG72" s="367"/>
      <c r="AH72" s="367"/>
      <c r="AI72" s="367"/>
      <c r="AJ72" s="367"/>
      <c r="AK72" s="367"/>
      <c r="AL72" s="367"/>
      <c r="AM72" s="367"/>
      <c r="AN72" s="367"/>
      <c r="AO72" s="366"/>
      <c r="AP72" s="3685"/>
      <c r="AQ72" s="3686"/>
      <c r="AR72" s="3687"/>
      <c r="AS72" s="3688"/>
      <c r="AT72" s="3689"/>
      <c r="AU72" s="3690"/>
      <c r="AV72" s="3691"/>
      <c r="AW72" s="3692"/>
      <c r="AX72" s="3693"/>
      <c r="AY72" s="367"/>
      <c r="AZ72" s="291"/>
      <c r="BB72" s="506"/>
      <c r="BC72" s="506" t="str">
        <f>IF(V72="","",V72)</f>
        <v>Добавить группу потребителей</v>
      </c>
      <c r="BD72" s="506"/>
      <c r="BE72" s="506"/>
    </row>
    <row customHeight="1" ht="0">
      <c r="A73" s="1296" t="s">
        <v>177</v>
      </c>
      <c r="B73" s="1296" t="s">
        <v>178</v>
      </c>
      <c r="C73" s="1296" t="s">
        <v>179</v>
      </c>
      <c r="D73" s="1296" t="s">
        <v>180</v>
      </c>
      <c r="E73" s="2168"/>
      <c r="F73" s="2168"/>
      <c r="G73" s="2168"/>
      <c r="H73" s="2169"/>
      <c r="I73" s="1296"/>
      <c r="J73" s="1296"/>
      <c r="K73" s="1296"/>
      <c r="L73" s="1296"/>
      <c r="M73" s="1340"/>
      <c r="N73" s="694"/>
      <c r="O73" s="694"/>
      <c r="P73" s="515"/>
      <c r="Q73" s="356"/>
      <c r="R73" s="376"/>
      <c r="S73" s="351"/>
      <c r="T73" s="356"/>
      <c r="U73" s="1416"/>
      <c r="V73" s="1417"/>
      <c r="W73" s="1418"/>
      <c r="X73" s="1418"/>
      <c r="Y73" s="1418"/>
      <c r="Z73" s="1418"/>
      <c r="AA73" s="1418"/>
      <c r="AB73" s="1418"/>
      <c r="AC73" s="1418"/>
      <c r="AD73" s="1418"/>
      <c r="AE73" s="1418"/>
      <c r="AF73" s="1418"/>
      <c r="AG73" s="1418"/>
      <c r="AH73" s="1418"/>
      <c r="AI73" s="1418"/>
      <c r="AJ73" s="1418"/>
      <c r="AK73" s="1418"/>
      <c r="AL73" s="1418"/>
      <c r="AM73" s="1418"/>
      <c r="AN73" s="1418"/>
      <c r="AO73" s="1418"/>
      <c r="AP73" s="3464"/>
      <c r="AQ73" s="3464"/>
      <c r="AR73" s="3464"/>
      <c r="AS73" s="3464"/>
      <c r="AT73" s="3464"/>
      <c r="AU73" s="3464"/>
      <c r="AV73" s="3464"/>
      <c r="AW73" s="3464"/>
      <c r="AX73" s="3464"/>
      <c r="AY73" s="1418"/>
      <c r="AZ73" s="1419"/>
      <c r="BB73" s="506"/>
      <c r="BC73" s="506" t="str">
        <f>IF(V73="","",V73)</f>
        <v/>
      </c>
      <c r="BD73" s="506"/>
      <c r="BE73" s="506"/>
    </row>
    <row s="3273" customFormat="1" customHeight="1" ht="0">
      <c r="A74" s="1405" t="s">
        <v>177</v>
      </c>
      <c r="B74" s="1405" t="s">
        <v>178</v>
      </c>
      <c r="C74" s="1405" t="s">
        <v>179</v>
      </c>
      <c r="D74" s="1404"/>
      <c r="E74" s="2168"/>
      <c r="F74" s="2168"/>
      <c r="G74" s="2167"/>
      <c r="H74" s="1404"/>
      <c r="I74" s="1404"/>
      <c r="J74" s="1404"/>
      <c r="K74" s="1404"/>
      <c r="L74" s="1404"/>
      <c r="M74" s="1407"/>
      <c r="N74" s="1408"/>
      <c r="O74" s="1408"/>
      <c r="P74" s="347"/>
      <c r="Q74" s="1346"/>
      <c r="R74" s="1347"/>
      <c r="S74" s="1346"/>
      <c r="T74" s="1346"/>
      <c r="U74" s="1352"/>
      <c r="V74" s="1355" t="s">
        <v>181</v>
      </c>
      <c r="W74" s="1354"/>
      <c r="X74" s="1354"/>
      <c r="Y74" s="1354"/>
      <c r="Z74" s="1354"/>
      <c r="AA74" s="1354"/>
      <c r="AB74" s="1354"/>
      <c r="AC74" s="1354"/>
      <c r="AD74" s="1354"/>
      <c r="AE74" s="1354"/>
      <c r="AF74" s="1354"/>
      <c r="AG74" s="1354"/>
      <c r="AH74" s="1354"/>
      <c r="AI74" s="1354"/>
      <c r="AJ74" s="1354"/>
      <c r="AK74" s="1354"/>
      <c r="AL74" s="1354"/>
      <c r="AM74" s="1354"/>
      <c r="AN74" s="1354"/>
      <c r="AO74" s="1354"/>
      <c r="AP74" s="3471"/>
      <c r="AQ74" s="3471"/>
      <c r="AR74" s="3471"/>
      <c r="AS74" s="3471"/>
      <c r="AT74" s="3471"/>
      <c r="AU74" s="3471"/>
      <c r="AV74" s="3471"/>
      <c r="AW74" s="3471"/>
      <c r="AX74" s="3471"/>
      <c r="AY74" s="1354"/>
      <c r="AZ74" s="1354"/>
      <c r="BB74" s="795"/>
      <c r="BC74" s="795" t="str">
        <f>IF(V74="","",V74)</f>
        <v>Добавить источник для дифференциации</v>
      </c>
      <c r="BD74" s="795"/>
      <c r="BE74" s="795"/>
    </row>
    <row s="3273" customFormat="1" customHeight="1" ht="0">
      <c r="A75" s="1405" t="s">
        <v>177</v>
      </c>
      <c r="B75" s="1405" t="s">
        <v>178</v>
      </c>
      <c r="C75" s="1404"/>
      <c r="D75" s="1404"/>
      <c r="E75" s="2168"/>
      <c r="F75" s="2167"/>
      <c r="G75" s="1404"/>
      <c r="H75" s="1404"/>
      <c r="I75" s="1404"/>
      <c r="J75" s="1404"/>
      <c r="K75" s="1404"/>
      <c r="L75" s="1404"/>
      <c r="M75" s="1407"/>
      <c r="N75" s="1409"/>
      <c r="O75" s="1409"/>
      <c r="P75" s="347"/>
      <c r="Q75" s="1346"/>
      <c r="R75" s="1347"/>
      <c r="S75" s="1346"/>
      <c r="T75" s="1346"/>
      <c r="U75" s="1352"/>
      <c r="V75" s="1355" t="s">
        <v>182</v>
      </c>
      <c r="W75" s="1354"/>
      <c r="X75" s="1354"/>
      <c r="Y75" s="1354"/>
      <c r="Z75" s="1354"/>
      <c r="AA75" s="1354"/>
      <c r="AB75" s="1354"/>
      <c r="AC75" s="1354"/>
      <c r="AD75" s="1354"/>
      <c r="AE75" s="1354"/>
      <c r="AF75" s="1354"/>
      <c r="AG75" s="1354"/>
      <c r="AH75" s="1354"/>
      <c r="AI75" s="1354"/>
      <c r="AJ75" s="1354"/>
      <c r="AK75" s="1354"/>
      <c r="AL75" s="1354"/>
      <c r="AM75" s="1354"/>
      <c r="AN75" s="1354"/>
      <c r="AO75" s="1354"/>
      <c r="AP75" s="3471"/>
      <c r="AQ75" s="3471"/>
      <c r="AR75" s="3471"/>
      <c r="AS75" s="3471"/>
      <c r="AT75" s="3471"/>
      <c r="AU75" s="3471"/>
      <c r="AV75" s="3471"/>
      <c r="AW75" s="3471"/>
      <c r="AX75" s="3471"/>
      <c r="AY75" s="1354"/>
      <c r="AZ75" s="1354"/>
      <c r="BB75" s="795"/>
      <c r="BC75" s="795" t="str">
        <f>IF(V75="","",V75)</f>
        <v>Добавить централизованную систему для дифференциации</v>
      </c>
      <c r="BD75" s="795"/>
      <c r="BE75" s="795"/>
    </row>
    <row s="2611" customFormat="1" customHeight="1" ht="0">
      <c r="A76" s="1405" t="s">
        <v>177</v>
      </c>
      <c r="B76" s="1405"/>
      <c r="C76" s="1405"/>
      <c r="D76" s="1405"/>
      <c r="E76" s="2167"/>
      <c r="F76" s="1405"/>
      <c r="G76" s="1405"/>
      <c r="H76" s="1405"/>
      <c r="I76" s="1405"/>
      <c r="J76" s="1405"/>
      <c r="K76" s="1405"/>
      <c r="L76" s="1405"/>
      <c r="M76" s="1411"/>
      <c r="N76" s="1409"/>
      <c r="O76" s="1409"/>
      <c r="P76" s="347"/>
      <c r="Q76" s="385"/>
      <c r="R76" s="1374"/>
      <c r="S76" s="385"/>
      <c r="T76" s="385"/>
      <c r="U76" s="1352"/>
      <c r="V76" s="1355" t="s">
        <v>183</v>
      </c>
      <c r="W76" s="1354"/>
      <c r="X76" s="1354"/>
      <c r="Y76" s="1354"/>
      <c r="Z76" s="1354"/>
      <c r="AA76" s="1354"/>
      <c r="AB76" s="1354"/>
      <c r="AC76" s="1354"/>
      <c r="AD76" s="1354"/>
      <c r="AE76" s="1354"/>
      <c r="AF76" s="1354"/>
      <c r="AG76" s="1354"/>
      <c r="AH76" s="1354"/>
      <c r="AI76" s="1354"/>
      <c r="AJ76" s="1354"/>
      <c r="AK76" s="1354"/>
      <c r="AL76" s="1354"/>
      <c r="AM76" s="1354"/>
      <c r="AN76" s="1354"/>
      <c r="AO76" s="1354"/>
      <c r="AP76" s="3471"/>
      <c r="AQ76" s="3471"/>
      <c r="AR76" s="3471"/>
      <c r="AS76" s="3471"/>
      <c r="AT76" s="3471"/>
      <c r="AU76" s="3471"/>
      <c r="AV76" s="3471"/>
      <c r="AW76" s="3471"/>
      <c r="AX76" s="3471"/>
      <c r="AY76" s="1354"/>
      <c r="AZ76" s="1354"/>
      <c r="BB76" s="506"/>
      <c r="BC76" s="506" t="str">
        <f>IF(V76="","",V76)</f>
        <v>Добавить территорию для дифференциации</v>
      </c>
      <c r="BD76" s="506"/>
      <c r="BE76" s="506"/>
    </row>
    <row s="3273" customFormat="1" customHeight="1" ht="5.25">
      <c r="A77" s="1404"/>
      <c r="B77" s="1404"/>
      <c r="C77" s="1404"/>
      <c r="D77" s="1404"/>
      <c r="E77" s="1405"/>
      <c r="F77" s="1404"/>
      <c r="G77" s="1404"/>
      <c r="H77" s="1404"/>
      <c r="I77" s="1404"/>
      <c r="J77" s="1404"/>
      <c r="K77" s="1404"/>
      <c r="L77" s="1404"/>
      <c r="M77" s="1407"/>
      <c r="N77" s="1409"/>
      <c r="O77" s="1409"/>
      <c r="P77" s="347"/>
      <c r="Q77" s="1346"/>
      <c r="R77" s="1347"/>
      <c r="S77" s="1346"/>
      <c r="T77" s="1346"/>
      <c r="U77" s="1352"/>
      <c r="V77" s="1355" t="s">
        <v>184</v>
      </c>
      <c r="W77" s="1354"/>
      <c r="X77" s="1354"/>
      <c r="Y77" s="1354"/>
      <c r="Z77" s="1354"/>
      <c r="AA77" s="1354"/>
      <c r="AB77" s="1354"/>
      <c r="AC77" s="1354"/>
      <c r="AD77" s="1354"/>
      <c r="AE77" s="1354"/>
      <c r="AF77" s="1354"/>
      <c r="AG77" s="1354"/>
      <c r="AH77" s="1354"/>
      <c r="AI77" s="1354"/>
      <c r="AJ77" s="1354"/>
      <c r="AK77" s="1354"/>
      <c r="AL77" s="1354"/>
      <c r="AM77" s="1354"/>
      <c r="AN77" s="1354"/>
      <c r="AO77" s="1354"/>
      <c r="AP77" s="3471"/>
      <c r="AQ77" s="3471"/>
      <c r="AR77" s="3471"/>
      <c r="AS77" s="3471"/>
      <c r="AT77" s="3471"/>
      <c r="AU77" s="3471"/>
      <c r="AV77" s="3471"/>
      <c r="AW77" s="3471"/>
      <c r="AX77" s="3471"/>
      <c r="AY77" s="1354"/>
      <c r="AZ77" s="1354"/>
      <c r="BB77" s="795"/>
      <c r="BC77" s="795" t="str">
        <f>IF(V77="","",V77)</f>
        <v>Добавить наименование тарифа</v>
      </c>
      <c r="BD77" s="795"/>
      <c r="BE77" s="795"/>
    </row>
    <row customHeight="1" ht="11.25">
      <c r="N78" s="1163"/>
      <c r="O78" s="1163"/>
      <c r="P78" s="515"/>
      <c r="Q78" s="1163"/>
      <c r="R78" s="1163"/>
      <c r="S78" s="1163"/>
      <c r="T78" s="1163"/>
      <c r="U78" s="1163"/>
      <c r="AP78" s="3406"/>
      <c r="AQ78" s="3406"/>
      <c r="AR78" s="3406"/>
      <c r="AS78" s="3406"/>
      <c r="AT78" s="3406"/>
      <c r="AU78" s="3406"/>
      <c r="AV78" s="3406"/>
      <c r="AW78" s="3406"/>
      <c r="AX78" s="3406"/>
      <c r="BA78" s="1163"/>
      <c r="BB78" s="1163"/>
      <c r="BC78" s="1163"/>
      <c r="BD78" s="1163"/>
      <c r="BE78" s="1163"/>
    </row>
    <row customHeight="1" ht="33.75">
      <c r="P79" s="515"/>
      <c r="U79" s="1273"/>
      <c r="V79" s="2106"/>
      <c r="W79" s="2106"/>
      <c r="X79" s="2106"/>
      <c r="Y79" s="2106"/>
      <c r="Z79" s="2106"/>
      <c r="AA79" s="2106"/>
      <c r="AB79" s="2106"/>
      <c r="AC79" s="2106"/>
      <c r="AD79" s="2106"/>
      <c r="AE79" s="2106"/>
      <c r="AF79" s="2106"/>
      <c r="AG79" s="2106"/>
      <c r="AH79" s="2106"/>
      <c r="AI79" s="2106"/>
      <c r="AJ79" s="2106"/>
      <c r="AK79" s="2106"/>
      <c r="AL79" s="2106"/>
      <c r="AM79" s="2106"/>
      <c r="AN79" s="2106"/>
      <c r="AO79" s="2106"/>
      <c r="AP79" s="3694"/>
      <c r="AQ79" s="3694"/>
      <c r="AR79" s="3694"/>
      <c r="AS79" s="3694"/>
      <c r="AT79" s="3694"/>
      <c r="AU79" s="3694"/>
      <c r="AV79" s="3694"/>
      <c r="AW79" s="3694"/>
      <c r="AX79" s="3694"/>
      <c r="AY79" s="2106"/>
      <c r="AZ79" s="2106"/>
    </row>
    <row customHeight="1" ht="19.5">
      <c r="P80" s="515"/>
      <c r="V80" s="2106"/>
      <c r="W80" s="2106"/>
      <c r="X80" s="2106"/>
      <c r="Y80" s="2106"/>
      <c r="Z80" s="2106"/>
      <c r="AA80" s="2106"/>
      <c r="AB80" s="2106"/>
      <c r="AC80" s="2106"/>
      <c r="AD80" s="2106"/>
      <c r="AE80" s="2106"/>
      <c r="AF80" s="2106"/>
      <c r="AG80" s="2106"/>
      <c r="AH80" s="2106"/>
      <c r="AI80" s="2106"/>
      <c r="AJ80" s="2106"/>
      <c r="AK80" s="2106"/>
      <c r="AL80" s="2106"/>
      <c r="AM80" s="2106"/>
      <c r="AN80" s="2106"/>
      <c r="AO80" s="2106"/>
      <c r="AP80" s="3694"/>
      <c r="AQ80" s="3694"/>
      <c r="AR80" s="3694"/>
      <c r="AS80" s="3694"/>
      <c r="AT80" s="3694"/>
      <c r="AU80" s="3694"/>
      <c r="AV80" s="3694"/>
      <c r="AW80" s="3694"/>
      <c r="AX80" s="3694"/>
      <c r="AY80" s="2106"/>
      <c r="AZ80" s="2106"/>
    </row>
    <row customHeight="1" ht="14.25">
      <c r="P81" s="515"/>
      <c r="AP81" s="3406"/>
      <c r="AQ81" s="3406"/>
      <c r="AR81" s="3406"/>
      <c r="AS81" s="3406"/>
      <c r="AT81" s="3406"/>
      <c r="AU81" s="3406"/>
      <c r="AV81" s="3406"/>
      <c r="AW81" s="3406"/>
      <c r="AX81" s="3406"/>
    </row>
    <row customHeight="1" ht="27">
      <c r="P82" s="515"/>
      <c r="V82" s="2106"/>
      <c r="W82" s="2106"/>
      <c r="X82" s="2106"/>
      <c r="Y82" s="2106"/>
      <c r="Z82" s="2106"/>
      <c r="AA82" s="2106"/>
      <c r="AB82" s="2106"/>
      <c r="AC82" s="2106"/>
      <c r="AD82" s="2106"/>
      <c r="AE82" s="2106"/>
      <c r="AF82" s="2106"/>
      <c r="AG82" s="2106"/>
      <c r="AH82" s="2106"/>
      <c r="AI82" s="2106"/>
      <c r="AJ82" s="2106"/>
      <c r="AK82" s="2106"/>
      <c r="AL82" s="2106"/>
      <c r="AM82" s="2106"/>
      <c r="AN82" s="2106"/>
      <c r="AO82" s="2106"/>
      <c r="AP82" s="3694"/>
      <c r="AQ82" s="3694"/>
      <c r="AR82" s="3694"/>
      <c r="AS82" s="3694"/>
      <c r="AT82" s="3694"/>
      <c r="AU82" s="3694"/>
      <c r="AV82" s="3694"/>
      <c r="AW82" s="3694"/>
      <c r="AX82" s="3694"/>
      <c r="AY82" s="2106"/>
      <c r="AZ82" s="2106"/>
    </row>
    <row customHeight="1" ht="18">
      <c r="P83" s="515"/>
      <c r="V83" s="2106"/>
      <c r="W83" s="2106"/>
      <c r="X83" s="2106"/>
      <c r="Y83" s="2106"/>
      <c r="Z83" s="2106"/>
      <c r="AA83" s="2106"/>
      <c r="AB83" s="2106"/>
      <c r="AC83" s="2106"/>
      <c r="AD83" s="2106"/>
      <c r="AE83" s="2106"/>
      <c r="AF83" s="2106"/>
      <c r="AG83" s="2106"/>
      <c r="AH83" s="2106"/>
      <c r="AI83" s="2106"/>
      <c r="AJ83" s="2106"/>
      <c r="AK83" s="2106"/>
      <c r="AL83" s="2106"/>
      <c r="AM83" s="2106"/>
      <c r="AN83" s="2106"/>
      <c r="AO83" s="2106"/>
      <c r="AP83" s="3694"/>
      <c r="AQ83" s="3694"/>
      <c r="AR83" s="3694"/>
      <c r="AS83" s="3694"/>
      <c r="AT83" s="3694"/>
      <c r="AU83" s="3694"/>
      <c r="AV83" s="3694"/>
      <c r="AW83" s="3694"/>
      <c r="AX83" s="3694"/>
      <c r="AY83" s="2106"/>
      <c r="AZ83" s="2106"/>
    </row>
  </sheetData>
  <sheetProtection formatColumns="0" formatRows="0" autoFilter="0" sort="0" insertRows="0" insertColumns="1" deleteRows="0" deleteColumns="0"/>
  <mergeCells count="189">
    <mergeCell ref="AN19:AN22"/>
    <mergeCell ref="AO19:AO22"/>
    <mergeCell ref="E2:E17"/>
    <mergeCell ref="X2:AF2"/>
    <mergeCell ref="AG2:AY2"/>
    <mergeCell ref="F3:F16"/>
    <mergeCell ref="X3:AF3"/>
    <mergeCell ref="AG3:AY3"/>
    <mergeCell ref="G4:G15"/>
    <mergeCell ref="X4:AF4"/>
    <mergeCell ref="AG4:AY4"/>
    <mergeCell ref="H5:H14"/>
    <mergeCell ref="X5:AF5"/>
    <mergeCell ref="AG5:AY5"/>
    <mergeCell ref="I6:I13"/>
    <mergeCell ref="Q6:Q13"/>
    <mergeCell ref="X6:AF6"/>
    <mergeCell ref="AG6:AY6"/>
    <mergeCell ref="AZ9:AZ12"/>
    <mergeCell ref="J7:J12"/>
    <mergeCell ref="R7:R12"/>
    <mergeCell ref="X7:AF7"/>
    <mergeCell ref="AG7:AY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Y54"/>
    <mergeCell ref="K55:K58"/>
    <mergeCell ref="AD48:AE48"/>
    <mergeCell ref="AM48:AN48"/>
    <mergeCell ref="X41:AF41"/>
    <mergeCell ref="AG41:AO41"/>
    <mergeCell ref="U42:AY42"/>
    <mergeCell ref="U43:U47"/>
    <mergeCell ref="V43:V47"/>
    <mergeCell ref="X43:AE43"/>
    <mergeCell ref="AF43:AF47"/>
    <mergeCell ref="AG43:AN43"/>
    <mergeCell ref="AO43:AO47"/>
    <mergeCell ref="AC55:AC58"/>
    <mergeCell ref="AE55:AE58"/>
    <mergeCell ref="AD55:AD58"/>
    <mergeCell ref="E49:E76"/>
    <mergeCell ref="X49:AF49"/>
    <mergeCell ref="AG49:AY49"/>
    <mergeCell ref="F50:F75"/>
    <mergeCell ref="X50:AF50"/>
    <mergeCell ref="AG50:AY50"/>
    <mergeCell ref="G51:G74"/>
    <mergeCell ref="X51:AF51"/>
    <mergeCell ref="AG51:AY51"/>
    <mergeCell ref="H52:H73"/>
    <mergeCell ref="X52:AF52"/>
    <mergeCell ref="AG52:AY52"/>
    <mergeCell ref="I53:I72"/>
    <mergeCell ref="Q53:Q72"/>
    <mergeCell ref="L56:L57"/>
    <mergeCell ref="AF55:AF58"/>
    <mergeCell ref="AH44:AK44"/>
    <mergeCell ref="AL44:AN45"/>
    <mergeCell ref="AH45:AH47"/>
    <mergeCell ref="X53:AF53"/>
    <mergeCell ref="AG53:AY53"/>
    <mergeCell ref="AI45:AK45"/>
    <mergeCell ref="AI46:AI47"/>
    <mergeCell ref="AJ46:AK46"/>
    <mergeCell ref="AL46:AL47"/>
    <mergeCell ref="AM46:AN47"/>
    <mergeCell ref="AY43:AY47"/>
    <mergeCell ref="X44:X47"/>
    <mergeCell ref="AG44:AG47"/>
    <mergeCell ref="V83:AZ83"/>
    <mergeCell ref="U39:V39"/>
    <mergeCell ref="X39:AE39"/>
    <mergeCell ref="AG39:AN39"/>
    <mergeCell ref="U38:V38"/>
    <mergeCell ref="X38:AE38"/>
    <mergeCell ref="AG38:AN38"/>
    <mergeCell ref="AL55:AL58"/>
    <mergeCell ref="AM55:AM58"/>
    <mergeCell ref="AN55:AN58"/>
    <mergeCell ref="AO55:AO58"/>
    <mergeCell ref="V82:AZ82"/>
    <mergeCell ref="AZ42:AZ47"/>
    <mergeCell ref="AZ56:AZ59"/>
    <mergeCell ref="V79:AZ79"/>
    <mergeCell ref="V80:AZ80"/>
    <mergeCell ref="Y44:AB44"/>
    <mergeCell ref="Y45:Y47"/>
    <mergeCell ref="Z45:AB45"/>
    <mergeCell ref="AA46:AB46"/>
    <mergeCell ref="Z46:Z47"/>
    <mergeCell ref="AC46:AC47"/>
    <mergeCell ref="AD46:AE47"/>
    <mergeCell ref="AC44:AE45"/>
    <mergeCell ref="AU8:AU11"/>
    <mergeCell ref="AV8:AV11"/>
    <mergeCell ref="AW8:AW11"/>
    <mergeCell ref="AX8:AX11"/>
    <mergeCell ref="AP33:AW33"/>
    <mergeCell ref="AP34:AW34"/>
    <mergeCell ref="AP35:AW35"/>
    <mergeCell ref="AP36:AW36"/>
    <mergeCell ref="AP38:AW38"/>
    <mergeCell ref="AP39:AW39"/>
    <mergeCell ref="AP41:AX41"/>
    <mergeCell ref="AP43:AW43"/>
    <mergeCell ref="AX43:AX47"/>
    <mergeCell ref="AP44:AP47"/>
    <mergeCell ref="AQ44:AT44"/>
    <mergeCell ref="AU44:AW45"/>
    <mergeCell ref="AQ45:AQ47"/>
    <mergeCell ref="AR45:AT45"/>
    <mergeCell ref="AR46:AR47"/>
    <mergeCell ref="AS46:AT46"/>
    <mergeCell ref="AU46:AU47"/>
    <mergeCell ref="AV46:AW47"/>
    <mergeCell ref="AV48:AW48"/>
    <mergeCell ref="AU55:AU58"/>
    <mergeCell ref="AV55:AV58"/>
    <mergeCell ref="AW55:AW58"/>
    <mergeCell ref="AX55:AX58"/>
    <mergeCell ref="AZ62:AZ65"/>
    <mergeCell ref="J60:J65"/>
    <mergeCell ref="R60:R65"/>
    <mergeCell ref="X60:AF60"/>
    <mergeCell ref="AG60:AY60"/>
    <mergeCell ref="S61:S64"/>
    <mergeCell ref="K61:K64"/>
    <mergeCell ref="L62:L63"/>
    <mergeCell ref="AC61:AC64"/>
    <mergeCell ref="AE61:AE64"/>
    <mergeCell ref="AD61:AD64"/>
    <mergeCell ref="AF61:AF64"/>
    <mergeCell ref="AL61:AL64"/>
    <mergeCell ref="AM61:AM64"/>
    <mergeCell ref="AN61:AN64"/>
    <mergeCell ref="AO61:AO64"/>
    <mergeCell ref="AU61:AU64"/>
    <mergeCell ref="AV61:AV64"/>
    <mergeCell ref="AW61:AW64"/>
    <mergeCell ref="AX61:AX64"/>
    <mergeCell ref="AZ68:AZ71"/>
    <mergeCell ref="J66:J71"/>
    <mergeCell ref="R66:R71"/>
    <mergeCell ref="X66:AF66"/>
    <mergeCell ref="AG66:AY66"/>
    <mergeCell ref="S67:S70"/>
    <mergeCell ref="K67:K70"/>
    <mergeCell ref="L68:L69"/>
    <mergeCell ref="AC67:AC70"/>
    <mergeCell ref="AE67:AE70"/>
    <mergeCell ref="AD67:AD70"/>
    <mergeCell ref="AF67:AF70"/>
    <mergeCell ref="AL67:AL70"/>
    <mergeCell ref="AM67:AM70"/>
    <mergeCell ref="AN67:AN70"/>
    <mergeCell ref="AO67:AO70"/>
    <mergeCell ref="AU67:AU70"/>
    <mergeCell ref="AV67:AV70"/>
    <mergeCell ref="AW67:AW70"/>
    <mergeCell ref="AX67:AX70"/>
  </mergeCells>
  <dataValidations count="8">
    <dataValidation type="list" allowBlank="1" showInputMessage="1" showErrorMessage="1" errorTitle="Ошибка" error="Выберите значение из списка" sqref="V65604 V131140 V196676 V262212 V327748 V393284 V458820 V524356 V589892 V655428 V720964 V786500 V852036 V917572 V983108">
      <formula1>kind_of_heat_transfer</formula1>
    </dataValidation>
    <dataValidation type="list" allowBlank="1" showInputMessage="1" showErrorMessage="1" errorTitle="Ошибка" error="Выберите значение из списка" sqref="X983106:Z983106 X65602:Z65602 X131138:Z131138 X196674:Z196674 X262210:Z262210 X327746:Z327746 X393282:Z393282 X458818:Z458818 X524354:Z524354 X589890:Z589890 X655426:Z655426 X720962:Z720962 X786498:Z786498 X852034:Z852034 X917570:Z917570 AG983106:AI983106 AG65602:AI65602 AG131138:AI131138 AG196674:AI196674 AG262210:AI262210 AG327746:AI327746 AG393282:AI393282 AG458818:AI458818 AG524354:AI524354 AG589890:AI589890 AG655426:AI655426 AG720962:AI720962 AG786498:AI786498 AG852034:AI852034 AG917570:AI917570">
      <formula1>kind_of_scheme_in</formula1>
    </dataValidation>
    <dataValidation type="list" allowBlank="1" showInputMessage="1" errorTitle="Ошибка" error="Выберите значение из списка" prompt="Выберите значение из списка" sqref="X983107:AY983107 X65603:AY65603 X131139:AY131139 X196675:AY196675 X262211:AY262211 X327747:AY327747 X393283:AY393283 X458819:AY458819 X524355:AY524355 X589891:AY589891 X655427:AY655427 X720963:AY720963 X786499:AY786499 X852035:AY852035 X917571:AY917571">
      <formula1>kind_of_cons</formula1>
    </dataValidation>
    <dataValidation allowBlank="1" sqref="U131142:AZ131148 U196678:AZ196684 U262214:AZ262220 U327750:AZ327756 U393286:AZ393292 U458822:AZ458828 U524358:AZ524364 U589894:AZ589900 U655430:AZ655436 U720966:AZ720972 U786502:AZ786508 U852038:AZ852044 U917574:AZ917580 U983110:AZ983116 U65606:AZ65612"/>
    <dataValidation type="textLength" operator="lessThanOrEqual" allowBlank="1" showInputMessage="1" showErrorMessage="1" errorTitle="Ошибка" error="Допускается ввод не более 900 символов!" sqref="AZ65598:AZ65605 AZ131134:AZ131141 AZ196670:AZ196677 AZ262206:AZ262213 AZ327742:AZ327749 AZ393278:AZ393285 AZ458814:AZ458821 AZ524350:AZ524357 AZ589886:AZ589893 AZ655422:AZ655429 AZ720958:AZ720965 AZ786494:AZ786501 AZ852030:AZ852037 AZ917566:AZ917573 AZ983102:AZ983109">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604 AC131140 AC196676 AC262212 AC327748 AC393284 AC458820 AC524356 AC589892 AC655428 AC720964 AC786500 AC852036 AC917572 AC983108 AE65604 AE131140 AE196676 AE262212 AE327748 AE393284 AE458820 AE524356 AE589892 AE655428 AE720964 AE786500 AE852036 AE917572 AE983108 AN55 AL65604 AL131140 AL196676 AL262212 AL327748 AL393284 AL458820 AL524356 AL589892 AL655428 AL720964 AL786500 AL852036 AL917572 AL983108 AN65604 AN131140 AN196676 AN262212 AN327748 AN393284 AN458820 AN524356 AN589892 AN655428 AN720964 AN786500 AN852036 AN917572 AN983108 AC55 AE55 AL55 AE8 AC8 AL19:AL21 AN19:AN21 AN8 AL8 AU8 AW8 AU55 AW55 AC61 AE61 AL61 AN61 AU61 AW61 AC67 AE67 AL67 AN67 AU67 AW67"/>
    <dataValidation allowBlank="1" promptTitle="checkPeriodRange" sqref="AB65605 AB131141 AB196677 AB262213 AB327749 AB393285 AB458821 AB524357 AB589893 AB655429 AB720965 AB786501 AB852037 AB917573 AB983109 AB10:AB11 AK65605 AK131141 AK196677 AK262213 AK327749 AK393285 AK458821 AK524357 AK589893 AK655429 AK720965 AK786501 AK852037 AK917573 AK983109 AK10:AK11 AK57 AK22 AB57 AT10 AT11 AT57 AB63 AK63 AT63 AB64 AK64 AT64 AB69 AK69 AT69 AB70 AK70 AT70"/>
    <dataValidation allowBlank="1" showInputMessage="1" showErrorMessage="1" prompt="Для выбора выполните двойной щелчок левой клавиши мыши по соответствующей ячейке." sqref="AD65604 AD131140 AD196676 AD262212 AD327748 AD393284 AD458820 AD524356 AD589892 AD655428 AD720964 AD786500 AD852036 AD917572 AD983108 AF131140 AF458820 AF196676 AF262212 AF327748 AF393284 AF524356 AF589892 AF655428 AF720964 AF786500 AF852036 AF917572 AF983108 AF65604 AM65604 AM131140 AM196676 AM262212 AM327748 AM393284 AM458820 AM524356 AM589892 AM655428 AM720964 AM786500 AM852036 AM917572 AM983108 AO393284:AX393284 AO327748:AX327748 AO524356:AX524356 AO55 AV55 AX55 AO589892:AX589892 AO655428:AX655428 AO19:AO21 AO720964:AX720964 AO786500:AX786500 AO852036:AX852036 AO917572:AX917572 AO983108:AX983108 AO65604:AX65604 AO131140:AX131140 AO458820:AX458820 AF55 AO196676:AX196676 AF8 AD8 AM55 AM19:AM21 AO262212:AX262212 AD55 AO8 AV8 AX8 AM8 AD61 AF61 AM61 AO61 AV61 AX61 AD67 AF67 AM67 AO67 AV67 AX6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26DD595-34FF-5907-F9ED-BD4AAF2F2E62}" mc:Ignorable="x14ac xr xr2 xr3">
  <sheetPr>
    <tabColor theme="6" tint="0.4"/>
  </sheetPr>
  <dimension ref="A1:AZ69"/>
  <sheetViews>
    <sheetView topLeftCell="A1" showGridLines="0" zoomScale="90" workbookViewId="0">
      <selection activeCell="A1" sqref="A1"/>
    </sheetView>
  </sheetViews>
  <sheetFormatPr defaultColWidth="10.57421875" customHeight="1" defaultRowHeight="14.25"/>
  <cols>
    <col min="1" max="1" style="3292" width="10.57421875" hidden="1"/>
    <col min="2" max="2" style="3292" width="11.00390625" hidden="1" customWidth="1"/>
    <col min="3" max="3" style="3292" width="10.57421875" hidden="1"/>
    <col min="4" max="4" style="3292" width="11.8515625" hidden="1" customWidth="1"/>
    <col min="5" max="5" style="3292" width="10.00390625" hidden="1" customWidth="1"/>
    <col min="6" max="6" style="3292" width="8.7109375" hidden="1" customWidth="1"/>
    <col min="7" max="7" style="3292" width="7.57421875" hidden="1" customWidth="1"/>
    <col min="8" max="8" style="3292" width="11.421875" hidden="1" customWidth="1"/>
    <col min="9" max="9" style="3292" width="12.00390625" hidden="1" customWidth="1"/>
    <col min="10" max="10" style="3292" width="9.8515625" hidden="1" customWidth="1"/>
    <col min="11" max="11" style="3292" width="11.421875" hidden="1" customWidth="1"/>
    <col min="12" max="12" style="3293" width="19.140625" hidden="1" customWidth="1"/>
    <col min="13" max="14" style="3294" width="12.28125" hidden="1" customWidth="1"/>
    <col min="15" max="15" style="3294" width="23.421875" hidden="1" customWidth="1"/>
    <col min="16" max="16" style="3294" width="3.7109375" hidden="1" customWidth="1"/>
    <col min="17" max="17" style="3296" width="3.7109375" hidden="1" customWidth="1"/>
    <col min="18" max="18" style="3371" width="3.7109375" customWidth="1"/>
    <col min="19" max="19" style="3372" width="12.7109375" customWidth="1"/>
    <col min="20" max="20" style="2939" width="32.00390625" customWidth="1"/>
    <col min="21" max="21" style="2939" width="0.140625" customWidth="1"/>
    <col min="22" max="23" style="2939" width="21.7109375" hidden="1" customWidth="1"/>
    <col min="24" max="24" style="2939" width="11.7109375" hidden="1" customWidth="1"/>
    <col min="25" max="25" style="2939" width="3.7109375" hidden="1" customWidth="1"/>
    <col min="26" max="26" style="2939" width="11.7109375" hidden="1" customWidth="1"/>
    <col min="27" max="27" style="2939" width="8.57421875" hidden="1" customWidth="1"/>
    <col min="28" max="28" style="2939" width="5.421875" customWidth="1"/>
    <col min="29" max="30" style="2939" width="3.7109375" customWidth="1"/>
    <col min="31" max="31" style="2939" width="24.7109375" customWidth="1"/>
    <col min="32" max="34" style="2939" width="3.7109375" customWidth="1"/>
    <col min="35" max="35" style="2939" width="24.7109375" customWidth="1"/>
    <col min="36" max="38" style="2939" width="3.7109375" customWidth="1"/>
    <col min="39" max="39" style="2939" width="18.8515625" customWidth="1"/>
    <col min="40" max="41" style="2939" width="21.7109375" customWidth="1"/>
    <col min="42" max="42" style="2939" width="11.7109375" customWidth="1"/>
    <col min="43" max="43" style="2939" width="3.7109375" customWidth="1"/>
    <col min="44" max="44" style="2939" width="11.7109375" customWidth="1"/>
    <col min="45" max="45" style="2939" width="8.57421875" customWidth="1"/>
    <col min="46" max="46" style="2939" width="4.7109375" customWidth="1"/>
    <col min="47" max="47" style="2939" width="115.7109375" customWidth="1"/>
    <col min="48" max="49" style="2611" width="10.57421875"/>
    <col min="50" max="50" style="2611" width="11.140625" customWidth="1"/>
    <col min="51" max="52" style="2611" width="10.57421875"/>
  </cols>
  <sheetData>
    <row customHeight="1" ht="14.25" hidden="1">
      <c r="W1" s="323"/>
      <c r="X1" s="323"/>
      <c r="AO1" s="323"/>
      <c r="AP1" s="323"/>
    </row>
    <row customHeight="1" ht="21" hidden="1">
      <c r="A2" s="1393"/>
      <c r="B2" s="1393"/>
      <c r="C2" s="1393"/>
      <c r="D2" s="1393"/>
      <c r="E2" s="2107">
        <v>1</v>
      </c>
      <c r="F2" s="1393"/>
      <c r="G2" s="1393"/>
      <c r="H2" s="1393"/>
      <c r="I2" s="1393"/>
      <c r="J2" s="1393"/>
      <c r="K2" s="1393"/>
      <c r="L2" s="1394"/>
      <c r="M2" s="1395"/>
      <c r="N2" s="1395"/>
      <c r="O2" s="1395"/>
      <c r="P2" s="1439"/>
      <c r="Q2" s="879"/>
      <c r="R2" s="351"/>
      <c r="S2" s="1366">
        <f>INDEX(PT_DIFFERENTIATION_NUM_NTAR,MATCH(A2,PT_DIFFERENTIATION_NTAR_ID,0))</f>
      </c>
      <c r="T2" s="286" t="s">
        <v>124</v>
      </c>
      <c r="U2" s="288"/>
      <c r="V2" s="2102"/>
      <c r="W2" s="2102"/>
      <c r="X2" s="2102"/>
      <c r="Y2" s="2102"/>
      <c r="Z2" s="2102"/>
      <c r="AA2" s="2103"/>
      <c r="AB2" s="2101">
        <f>INDEX(PT_DIFFERENTIATION_NTAR,MATCH(A2,PT_DIFFERENTIATION_NTAR_ID,0))</f>
      </c>
      <c r="AC2" s="2102"/>
      <c r="AD2" s="2102"/>
      <c r="AE2" s="2102"/>
      <c r="AF2" s="2102"/>
      <c r="AG2" s="2102"/>
      <c r="AH2" s="2102"/>
      <c r="AI2" s="2102"/>
      <c r="AJ2" s="2102"/>
      <c r="AK2" s="2102"/>
      <c r="AL2" s="2102"/>
      <c r="AM2" s="2102"/>
      <c r="AN2" s="2102"/>
      <c r="AO2" s="2102"/>
      <c r="AP2" s="2102"/>
      <c r="AQ2" s="2102"/>
      <c r="AR2" s="2102"/>
      <c r="AS2" s="2102"/>
      <c r="AT2" s="2103"/>
      <c r="AU2" s="1286" t="s">
        <v>391</v>
      </c>
      <c r="AW2" s="506"/>
      <c r="AX2" s="506" t="str">
        <f>IF(T2="","",T2)</f>
        <v>Наименование тарифа</v>
      </c>
      <c r="AY2" s="506"/>
      <c r="AZ2" s="506"/>
    </row>
    <row customHeight="1" ht="21" hidden="1">
      <c r="A3" s="1393"/>
      <c r="B3" s="1393"/>
      <c r="C3" s="1393"/>
      <c r="D3" s="1393"/>
      <c r="E3" s="2108"/>
      <c r="F3" s="2107">
        <v>1</v>
      </c>
      <c r="G3" s="1393"/>
      <c r="H3" s="1393"/>
      <c r="I3" s="1393"/>
      <c r="J3" s="1393"/>
      <c r="K3" s="1393"/>
      <c r="L3" s="1394"/>
      <c r="M3" s="1395"/>
      <c r="N3" s="1395"/>
      <c r="O3" s="1395"/>
      <c r="P3" s="1440"/>
      <c r="Q3" s="1441"/>
      <c r="R3" s="349"/>
      <c r="S3" s="1366">
        <f>INDEX(PT_DIFFERENTIATION_NUM_TER,MATCH(B3,PT_DIFFERENTIATION_TER_ID,0))</f>
      </c>
      <c r="T3" s="298" t="s">
        <v>392</v>
      </c>
      <c r="U3" s="288"/>
      <c r="V3" s="2102"/>
      <c r="W3" s="2102"/>
      <c r="X3" s="2102"/>
      <c r="Y3" s="2102"/>
      <c r="Z3" s="2102"/>
      <c r="AA3" s="2103"/>
      <c r="AB3" s="2101">
        <f>INDEX(PT_DIFFERENTIATION_TER,MATCH(B3,PT_DIFFERENTIATION_TER_ID,0))</f>
      </c>
      <c r="AC3" s="2102"/>
      <c r="AD3" s="2102"/>
      <c r="AE3" s="2102"/>
      <c r="AF3" s="2102"/>
      <c r="AG3" s="2102"/>
      <c r="AH3" s="2102"/>
      <c r="AI3" s="2102"/>
      <c r="AJ3" s="2102"/>
      <c r="AK3" s="2102"/>
      <c r="AL3" s="2102"/>
      <c r="AM3" s="2102"/>
      <c r="AN3" s="2102"/>
      <c r="AO3" s="2102"/>
      <c r="AP3" s="2102"/>
      <c r="AQ3" s="2102"/>
      <c r="AR3" s="2102"/>
      <c r="AS3" s="2102"/>
      <c r="AT3" s="2103"/>
      <c r="AU3" s="1286" t="s">
        <v>393</v>
      </c>
      <c r="AW3" s="506"/>
      <c r="AX3" s="506" t="str">
        <f>IF(T3="","",T3)</f>
        <v>Территория действия тарифа</v>
      </c>
      <c r="AY3" s="506"/>
      <c r="AZ3" s="506"/>
    </row>
    <row customHeight="1" ht="22.5" hidden="1">
      <c r="A4" s="1393"/>
      <c r="B4" s="1393"/>
      <c r="C4" s="1393"/>
      <c r="D4" s="1393"/>
      <c r="E4" s="2108"/>
      <c r="F4" s="2108"/>
      <c r="G4" s="2107">
        <v>1</v>
      </c>
      <c r="H4" s="1393"/>
      <c r="I4" s="1393"/>
      <c r="J4" s="1393"/>
      <c r="K4" s="1393"/>
      <c r="L4" s="1394"/>
      <c r="M4" s="1395"/>
      <c r="N4" s="1395"/>
      <c r="O4" s="1395"/>
      <c r="P4" s="1442"/>
      <c r="Q4" s="1441"/>
      <c r="R4" s="349"/>
      <c r="S4" s="1366">
        <f>INDEX(PT_DIFFERENTIATION_NUM_CS,MATCH(C4,PT_DIFFERENTIATION_CS_ID,0))</f>
      </c>
      <c r="T4" s="299" t="s">
        <v>394</v>
      </c>
      <c r="U4" s="288"/>
      <c r="V4" s="2102"/>
      <c r="W4" s="2102"/>
      <c r="X4" s="2102"/>
      <c r="Y4" s="2102"/>
      <c r="Z4" s="2102"/>
      <c r="AA4" s="2103"/>
      <c r="AB4" s="2101">
        <f>INDEX(PT_DIFFERENTIATION_CS,MATCH(C4,PT_DIFFERENTIATION_CS_ID,0))</f>
      </c>
      <c r="AC4" s="2102"/>
      <c r="AD4" s="2102"/>
      <c r="AE4" s="2102"/>
      <c r="AF4" s="2102"/>
      <c r="AG4" s="2102"/>
      <c r="AH4" s="2102"/>
      <c r="AI4" s="2102"/>
      <c r="AJ4" s="2102"/>
      <c r="AK4" s="2102"/>
      <c r="AL4" s="2102"/>
      <c r="AM4" s="2102"/>
      <c r="AN4" s="2102"/>
      <c r="AO4" s="2102"/>
      <c r="AP4" s="2102"/>
      <c r="AQ4" s="2102"/>
      <c r="AR4" s="2102"/>
      <c r="AS4" s="2102"/>
      <c r="AT4" s="2103"/>
      <c r="AU4" s="1286" t="s">
        <v>395</v>
      </c>
      <c r="AW4" s="506"/>
      <c r="AX4" s="506" t="str">
        <f>IF(T4="","",T4)</f>
        <v>Наименование системы теплоснабжения </v>
      </c>
      <c r="AY4" s="506"/>
      <c r="AZ4" s="506"/>
    </row>
    <row customHeight="1" ht="21" hidden="1">
      <c r="A5" s="1393"/>
      <c r="B5" s="1393"/>
      <c r="C5" s="1393"/>
      <c r="D5" s="1393"/>
      <c r="E5" s="2108"/>
      <c r="F5" s="2108"/>
      <c r="G5" s="2108"/>
      <c r="H5" s="2107">
        <v>1</v>
      </c>
      <c r="I5" s="1393"/>
      <c r="J5" s="1393"/>
      <c r="K5" s="1393"/>
      <c r="L5" s="1394"/>
      <c r="M5" s="1395"/>
      <c r="N5" s="1395"/>
      <c r="O5" s="1395"/>
      <c r="P5" s="1442"/>
      <c r="Q5" s="1441"/>
      <c r="R5" s="349"/>
      <c r="S5" s="1366">
        <f>INDEX(PT_DIFFERENTIATION_NUM_IST_TE,MATCH(D5,PT_DIFFERENTIATION_IST_TE_ID,0))</f>
      </c>
      <c r="T5" s="300" t="s">
        <v>396</v>
      </c>
      <c r="U5" s="288"/>
      <c r="V5" s="2102"/>
      <c r="W5" s="2102"/>
      <c r="X5" s="2102"/>
      <c r="Y5" s="2102"/>
      <c r="Z5" s="2102"/>
      <c r="AA5" s="2103"/>
      <c r="AB5" s="2101">
        <f>INDEX(PT_DIFFERENTIATION_IST_TE,MATCH(D5,PT_DIFFERENTIATION_IST_TE_ID,0))</f>
      </c>
      <c r="AC5" s="2102"/>
      <c r="AD5" s="2102"/>
      <c r="AE5" s="2102"/>
      <c r="AF5" s="2102"/>
      <c r="AG5" s="2102"/>
      <c r="AH5" s="2102"/>
      <c r="AI5" s="2102"/>
      <c r="AJ5" s="2102"/>
      <c r="AK5" s="2102"/>
      <c r="AL5" s="2102"/>
      <c r="AM5" s="2102"/>
      <c r="AN5" s="2102"/>
      <c r="AO5" s="2102"/>
      <c r="AP5" s="2102"/>
      <c r="AQ5" s="2102"/>
      <c r="AR5" s="2102"/>
      <c r="AS5" s="2102"/>
      <c r="AT5" s="2103"/>
      <c r="AU5" s="1286" t="s">
        <v>397</v>
      </c>
      <c r="AW5" s="506"/>
      <c r="AX5" s="506" t="str">
        <f>IF(T5="","",T5)</f>
        <v>Источник тепловой энергии  </v>
      </c>
      <c r="AY5" s="506"/>
      <c r="AZ5" s="506"/>
    </row>
    <row s="2611" customFormat="1" customHeight="1" ht="14.25" hidden="1">
      <c r="A6" s="1373"/>
      <c r="B6" s="1373"/>
      <c r="C6" s="1373"/>
      <c r="D6" s="1373"/>
      <c r="E6" s="2108"/>
      <c r="F6" s="2108"/>
      <c r="G6" s="2108"/>
      <c r="H6" s="2108"/>
      <c r="I6" s="2109">
        <f>S5&amp;".1"</f>
      </c>
      <c r="J6" s="1373"/>
      <c r="K6" s="1373"/>
      <c r="L6" s="1376" t="s">
        <v>398</v>
      </c>
      <c r="M6" s="516"/>
      <c r="N6" s="516"/>
      <c r="O6" s="516"/>
      <c r="P6" s="2111">
        <v>1</v>
      </c>
      <c r="Q6" s="1361"/>
      <c r="R6" s="352"/>
      <c r="S6" s="1049"/>
      <c r="T6" s="1413"/>
      <c r="U6" s="1414"/>
      <c r="V6" s="2148"/>
      <c r="W6" s="2148"/>
      <c r="X6" s="2148"/>
      <c r="Y6" s="2148"/>
      <c r="Z6" s="2148"/>
      <c r="AA6" s="2149"/>
      <c r="AB6" s="2147"/>
      <c r="AC6" s="2148"/>
      <c r="AD6" s="2148"/>
      <c r="AE6" s="2148"/>
      <c r="AF6" s="2148"/>
      <c r="AG6" s="2148"/>
      <c r="AH6" s="2148"/>
      <c r="AI6" s="2148"/>
      <c r="AJ6" s="2148"/>
      <c r="AK6" s="2148"/>
      <c r="AL6" s="2148"/>
      <c r="AM6" s="2148"/>
      <c r="AN6" s="2148"/>
      <c r="AO6" s="2148"/>
      <c r="AP6" s="2148"/>
      <c r="AQ6" s="2148"/>
      <c r="AR6" s="2148"/>
      <c r="AS6" s="2148"/>
      <c r="AT6" s="2149"/>
      <c r="AU6" s="1415"/>
      <c r="AW6" s="506"/>
      <c r="AX6" s="506" t="str">
        <f>IF(T6="","",T6)</f>
        <v/>
      </c>
      <c r="AY6" s="506"/>
      <c r="AZ6" s="506"/>
    </row>
    <row s="2611" customFormat="1" customHeight="1" ht="14.25" hidden="1">
      <c r="A7" s="1373"/>
      <c r="B7" s="1373"/>
      <c r="C7" s="1373"/>
      <c r="D7" s="1373"/>
      <c r="E7" s="2108"/>
      <c r="F7" s="2108"/>
      <c r="G7" s="2108"/>
      <c r="H7" s="2108"/>
      <c r="I7" s="2110"/>
      <c r="J7" s="2109">
        <f>S5&amp;".1"</f>
      </c>
      <c r="K7" s="1373"/>
      <c r="L7" s="1376"/>
      <c r="M7" s="516"/>
      <c r="N7" s="516"/>
      <c r="O7" s="516"/>
      <c r="P7" s="2111"/>
      <c r="Q7" s="2111">
        <v>1</v>
      </c>
      <c r="R7" s="353"/>
      <c r="S7" s="1049"/>
      <c r="T7" s="1429"/>
      <c r="U7" s="1414"/>
      <c r="V7" s="2148"/>
      <c r="W7" s="2148"/>
      <c r="X7" s="2148"/>
      <c r="Y7" s="2148"/>
      <c r="Z7" s="2148"/>
      <c r="AA7" s="2149"/>
      <c r="AB7" s="2147"/>
      <c r="AC7" s="2148"/>
      <c r="AD7" s="2148"/>
      <c r="AE7" s="2148"/>
      <c r="AF7" s="2148"/>
      <c r="AG7" s="2148"/>
      <c r="AH7" s="2148"/>
      <c r="AI7" s="2148"/>
      <c r="AJ7" s="2148"/>
      <c r="AK7" s="2148"/>
      <c r="AL7" s="2148"/>
      <c r="AM7" s="2148"/>
      <c r="AN7" s="2148"/>
      <c r="AO7" s="2148"/>
      <c r="AP7" s="2148"/>
      <c r="AQ7" s="2148"/>
      <c r="AR7" s="2148"/>
      <c r="AS7" s="2148"/>
      <c r="AT7" s="2149"/>
      <c r="AU7" s="1415"/>
      <c r="AW7" s="506"/>
      <c r="AX7" s="506" t="str">
        <f>IF(T7="","",T7)</f>
        <v/>
      </c>
      <c r="AY7" s="506"/>
      <c r="AZ7" s="506"/>
    </row>
    <row customHeight="1" ht="21" hidden="1">
      <c r="A8" s="1393"/>
      <c r="B8" s="1393"/>
      <c r="C8" s="1393"/>
      <c r="D8" s="1393"/>
      <c r="E8" s="2108"/>
      <c r="F8" s="2108"/>
      <c r="G8" s="2108"/>
      <c r="H8" s="2108"/>
      <c r="I8" s="2110"/>
      <c r="J8" s="2110"/>
      <c r="K8" s="2109">
        <f>S5&amp;".1"</f>
      </c>
      <c r="L8" s="1394"/>
      <c r="P8" s="2111"/>
      <c r="Q8" s="2111"/>
      <c r="R8" s="2187">
        <v>1</v>
      </c>
      <c r="S8" s="2184">
        <f>$K8</f>
      </c>
      <c r="T8" s="2181"/>
      <c r="U8" s="288"/>
      <c r="V8" s="757"/>
      <c r="W8" s="1285"/>
      <c r="X8" s="2112"/>
      <c r="Y8" s="1981" t="s">
        <v>62</v>
      </c>
      <c r="Z8" s="2112"/>
      <c r="AA8" s="1981" t="s">
        <v>62</v>
      </c>
      <c r="AB8" s="1981" t="s">
        <v>57</v>
      </c>
      <c r="AC8" s="2180"/>
      <c r="AD8" s="2057">
        <v>1</v>
      </c>
      <c r="AE8" s="2193"/>
      <c r="AF8" s="1981" t="s">
        <v>57</v>
      </c>
      <c r="AG8" s="2180"/>
      <c r="AH8" s="2057">
        <v>1</v>
      </c>
      <c r="AI8" s="2193"/>
      <c r="AJ8" s="1981" t="s">
        <v>57</v>
      </c>
      <c r="AK8" s="301"/>
      <c r="AL8" s="1367">
        <v>1</v>
      </c>
      <c r="AM8" s="1428"/>
      <c r="AN8" s="757"/>
      <c r="AO8" s="1285"/>
      <c r="AP8" s="1774"/>
      <c r="AQ8" s="1489" t="s">
        <v>62</v>
      </c>
      <c r="AR8" s="1774"/>
      <c r="AS8" s="1489" t="s">
        <v>62</v>
      </c>
      <c r="AT8" s="1378"/>
      <c r="AU8" s="2137" t="s">
        <v>459</v>
      </c>
      <c r="AV8" s="517">
        <f>STRCHECKDATE(V11:AT11)</f>
      </c>
      <c r="AW8" s="506"/>
      <c r="AX8" s="506" t="str">
        <f>IF(T8="","",T8)</f>
        <v/>
      </c>
      <c r="AY8" s="506"/>
      <c r="AZ8" s="506"/>
    </row>
    <row customHeight="1" ht="11.25" hidden="1">
      <c r="A9" s="1393"/>
      <c r="B9" s="1393"/>
      <c r="C9" s="1393"/>
      <c r="D9" s="1393"/>
      <c r="E9" s="2108"/>
      <c r="F9" s="2108"/>
      <c r="G9" s="2108"/>
      <c r="H9" s="2108"/>
      <c r="I9" s="2110"/>
      <c r="J9" s="2110"/>
      <c r="K9" s="2109"/>
      <c r="L9" s="1394"/>
      <c r="P9" s="2111"/>
      <c r="Q9" s="2111"/>
      <c r="R9" s="2187"/>
      <c r="S9" s="2185"/>
      <c r="T9" s="2182"/>
      <c r="U9" s="288"/>
      <c r="V9" s="1423"/>
      <c r="W9" s="1427"/>
      <c r="X9" s="2112"/>
      <c r="Y9" s="1981"/>
      <c r="Z9" s="2112"/>
      <c r="AA9" s="1981"/>
      <c r="AB9" s="1981"/>
      <c r="AC9" s="2180"/>
      <c r="AD9" s="2057"/>
      <c r="AE9" s="2193"/>
      <c r="AF9" s="1981"/>
      <c r="AG9" s="2180"/>
      <c r="AH9" s="2057"/>
      <c r="AI9" s="2193"/>
      <c r="AJ9" s="1981"/>
      <c r="AK9" s="308"/>
      <c r="AL9" s="422"/>
      <c r="AM9" s="421" t="s">
        <v>460</v>
      </c>
      <c r="AN9" s="1423"/>
      <c r="AO9" s="1526"/>
      <c r="AP9" s="1423"/>
      <c r="AQ9" s="1423"/>
      <c r="AR9" s="1423"/>
      <c r="AS9" s="1423"/>
      <c r="AT9" s="1420"/>
      <c r="AU9" s="2138"/>
      <c r="AW9" s="506"/>
      <c r="AX9" s="506"/>
      <c r="AY9" s="506"/>
      <c r="AZ9" s="506"/>
    </row>
    <row customHeight="1" ht="11.25" hidden="1">
      <c r="A10" s="1393"/>
      <c r="B10" s="1393"/>
      <c r="C10" s="1393"/>
      <c r="D10" s="1393"/>
      <c r="E10" s="2108"/>
      <c r="F10" s="2108"/>
      <c r="G10" s="2108"/>
      <c r="H10" s="2108"/>
      <c r="I10" s="2110"/>
      <c r="J10" s="2110"/>
      <c r="K10" s="2109"/>
      <c r="L10" s="1394"/>
      <c r="P10" s="2111"/>
      <c r="Q10" s="2111"/>
      <c r="R10" s="2187"/>
      <c r="S10" s="2185"/>
      <c r="T10" s="2182"/>
      <c r="U10" s="288"/>
      <c r="V10" s="1423"/>
      <c r="W10" s="1427"/>
      <c r="X10" s="2112"/>
      <c r="Y10" s="1981"/>
      <c r="Z10" s="2112"/>
      <c r="AA10" s="1981"/>
      <c r="AB10" s="1981"/>
      <c r="AC10" s="2180"/>
      <c r="AD10" s="2057"/>
      <c r="AE10" s="2193"/>
      <c r="AF10" s="1981"/>
      <c r="AG10" s="282"/>
      <c r="AH10" s="421"/>
      <c r="AI10" s="421" t="s">
        <v>461</v>
      </c>
      <c r="AJ10" s="1423"/>
      <c r="AK10" s="1423"/>
      <c r="AL10" s="1423"/>
      <c r="AM10" s="1423"/>
      <c r="AN10" s="1423"/>
      <c r="AO10" s="1526"/>
      <c r="AP10" s="1423"/>
      <c r="AQ10" s="1423"/>
      <c r="AR10" s="1423"/>
      <c r="AS10" s="1423"/>
      <c r="AT10" s="1420"/>
      <c r="AU10" s="2138"/>
      <c r="AW10" s="506"/>
      <c r="AX10" s="506"/>
      <c r="AY10" s="506"/>
      <c r="AZ10" s="506"/>
    </row>
    <row customHeight="1" ht="11.25" hidden="1">
      <c r="A11" s="1393"/>
      <c r="B11" s="1393"/>
      <c r="C11" s="1393"/>
      <c r="D11" s="1393"/>
      <c r="E11" s="2108"/>
      <c r="F11" s="2108"/>
      <c r="G11" s="2108"/>
      <c r="H11" s="2108"/>
      <c r="I11" s="2110"/>
      <c r="J11" s="2110"/>
      <c r="K11" s="2109"/>
      <c r="L11" s="1394"/>
      <c r="P11" s="2111"/>
      <c r="Q11" s="2111"/>
      <c r="R11" s="2187"/>
      <c r="S11" s="2186"/>
      <c r="T11" s="2183"/>
      <c r="U11" s="288"/>
      <c r="V11" s="1423"/>
      <c r="W11" s="1426" t="str">
        <f>X8&amp;"-"&amp;Z8</f>
        <v>-</v>
      </c>
      <c r="X11" s="2113"/>
      <c r="Y11" s="1981"/>
      <c r="Z11" s="2113"/>
      <c r="AA11" s="1981"/>
      <c r="AB11" s="1981"/>
      <c r="AC11" s="302"/>
      <c r="AD11" s="304"/>
      <c r="AE11" s="421" t="s">
        <v>462</v>
      </c>
      <c r="AF11" s="1423"/>
      <c r="AG11" s="1423"/>
      <c r="AH11" s="1423"/>
      <c r="AI11" s="1423"/>
      <c r="AJ11" s="1423"/>
      <c r="AK11" s="1423"/>
      <c r="AL11" s="1423"/>
      <c r="AM11" s="1423"/>
      <c r="AN11" s="1423"/>
      <c r="AO11" s="1424" t="str">
        <f>AP8&amp;"-"&amp;AR8</f>
        <v>-</v>
      </c>
      <c r="AP11" s="1423"/>
      <c r="AQ11" s="1423"/>
      <c r="AR11" s="1423"/>
      <c r="AS11" s="1423"/>
      <c r="AT11" s="1379"/>
      <c r="AU11" s="2138"/>
      <c r="AW11" s="506"/>
      <c r="AX11" s="506" t="str">
        <f>IF(T11="","",T11)</f>
        <v/>
      </c>
      <c r="AY11" s="506"/>
      <c r="AZ11" s="506"/>
    </row>
    <row customHeight="1" ht="11.25" hidden="1">
      <c r="A12" s="1393"/>
      <c r="B12" s="1393"/>
      <c r="C12" s="1393"/>
      <c r="D12" s="1393"/>
      <c r="E12" s="2108"/>
      <c r="F12" s="2108"/>
      <c r="G12" s="2108"/>
      <c r="H12" s="2108"/>
      <c r="I12" s="2110"/>
      <c r="J12" s="2109"/>
      <c r="K12" s="1393"/>
      <c r="L12" s="1394"/>
      <c r="P12" s="2111"/>
      <c r="Q12" s="2111"/>
      <c r="R12" s="352"/>
      <c r="S12" s="1308"/>
      <c r="T12" s="275" t="s">
        <v>463</v>
      </c>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19"/>
      <c r="AU12" s="2139"/>
      <c r="AW12" s="506"/>
      <c r="AX12" s="506" t="str">
        <f>IF(T12="","",T12)</f>
        <v>Добавить строку</v>
      </c>
      <c r="AY12" s="506"/>
      <c r="AZ12" s="506"/>
    </row>
    <row s="2611" customFormat="1" customHeight="1" ht="14.25" hidden="1">
      <c r="A13" s="1373"/>
      <c r="B13" s="1373"/>
      <c r="C13" s="1373"/>
      <c r="D13" s="1373"/>
      <c r="E13" s="2108"/>
      <c r="F13" s="2108"/>
      <c r="G13" s="2108"/>
      <c r="H13" s="2108"/>
      <c r="I13" s="2109"/>
      <c r="J13" s="1373"/>
      <c r="K13" s="1373"/>
      <c r="L13" s="1376"/>
      <c r="M13" s="516"/>
      <c r="N13" s="516"/>
      <c r="O13" s="516"/>
      <c r="P13" s="2111"/>
      <c r="Q13" s="1361"/>
      <c r="R13" s="352"/>
      <c r="S13" s="1416"/>
      <c r="T13" s="1417"/>
      <c r="U13" s="1418"/>
      <c r="V13" s="1418"/>
      <c r="W13" s="1418"/>
      <c r="X13" s="1418"/>
      <c r="Y13" s="1418"/>
      <c r="Z13" s="1418"/>
      <c r="AA13" s="1418"/>
      <c r="AB13" s="1418"/>
      <c r="AC13" s="1418"/>
      <c r="AD13" s="1418"/>
      <c r="AE13" s="1418"/>
      <c r="AF13" s="1418"/>
      <c r="AG13" s="1418"/>
      <c r="AH13" s="1418"/>
      <c r="AI13" s="1418"/>
      <c r="AJ13" s="1418"/>
      <c r="AK13" s="1418"/>
      <c r="AL13" s="1418"/>
      <c r="AM13" s="1418"/>
      <c r="AN13" s="1418"/>
      <c r="AO13" s="1418"/>
      <c r="AP13" s="1418"/>
      <c r="AQ13" s="1418"/>
      <c r="AR13" s="1418"/>
      <c r="AS13" s="1418"/>
      <c r="AT13" s="1418"/>
      <c r="AU13" s="1419"/>
      <c r="AW13" s="506"/>
      <c r="AX13" s="506" t="str">
        <f>IF(T13="","",T13)</f>
        <v/>
      </c>
      <c r="AY13" s="506"/>
      <c r="AZ13" s="506"/>
    </row>
    <row s="2611" customFormat="1" customHeight="1" ht="14.25" hidden="1">
      <c r="A14" s="1373"/>
      <c r="B14" s="1373"/>
      <c r="C14" s="1373"/>
      <c r="D14" s="1373"/>
      <c r="E14" s="2108"/>
      <c r="F14" s="2108"/>
      <c r="G14" s="2108"/>
      <c r="H14" s="2107"/>
      <c r="I14" s="1373"/>
      <c r="J14" s="1373"/>
      <c r="K14" s="1373"/>
      <c r="L14" s="1376"/>
      <c r="M14" s="1345"/>
      <c r="N14" s="1345"/>
      <c r="O14" s="524"/>
      <c r="P14" s="385"/>
      <c r="Q14" s="1374"/>
      <c r="R14" s="1431"/>
      <c r="S14" s="1416"/>
      <c r="T14" s="1417"/>
      <c r="U14" s="1418"/>
      <c r="V14" s="1418"/>
      <c r="W14" s="1418"/>
      <c r="X14" s="1418"/>
      <c r="Y14" s="1418"/>
      <c r="Z14" s="1418"/>
      <c r="AA14" s="1418"/>
      <c r="AB14" s="1418"/>
      <c r="AC14" s="1418"/>
      <c r="AD14" s="1418"/>
      <c r="AE14" s="1418"/>
      <c r="AF14" s="1418"/>
      <c r="AG14" s="1418"/>
      <c r="AH14" s="1418"/>
      <c r="AI14" s="1418"/>
      <c r="AJ14" s="1418"/>
      <c r="AK14" s="1418"/>
      <c r="AL14" s="1418"/>
      <c r="AM14" s="1418"/>
      <c r="AN14" s="1418"/>
      <c r="AO14" s="1418"/>
      <c r="AP14" s="1418"/>
      <c r="AQ14" s="1418"/>
      <c r="AR14" s="1418"/>
      <c r="AS14" s="1418"/>
      <c r="AT14" s="1418"/>
      <c r="AU14" s="1419"/>
      <c r="AW14" s="506"/>
      <c r="AX14" s="506" t="str">
        <f>IF(T14="","",T14)</f>
        <v/>
      </c>
      <c r="AY14" s="506"/>
      <c r="AZ14" s="506"/>
    </row>
    <row s="3273" customFormat="1" customHeight="1" ht="14.25" hidden="1">
      <c r="A15" s="1373"/>
      <c r="B15" s="1373"/>
      <c r="C15" s="1373"/>
      <c r="D15" s="1344"/>
      <c r="E15" s="2108"/>
      <c r="F15" s="2108"/>
      <c r="G15" s="2107"/>
      <c r="H15" s="1344"/>
      <c r="I15" s="1344"/>
      <c r="J15" s="1344"/>
      <c r="K15" s="1344"/>
      <c r="L15" s="1369"/>
      <c r="M15" s="1345"/>
      <c r="N15" s="1345"/>
      <c r="P15" s="1346"/>
      <c r="Q15" s="1347"/>
      <c r="R15" s="1346"/>
      <c r="S15" s="1352"/>
      <c r="T15" s="1355" t="s">
        <v>181</v>
      </c>
      <c r="U15" s="1354"/>
      <c r="V15" s="1354"/>
      <c r="W15" s="1354"/>
      <c r="X15" s="1354"/>
      <c r="Y15" s="1354"/>
      <c r="Z15" s="1354"/>
      <c r="AA15" s="1354"/>
      <c r="AB15" s="1354"/>
      <c r="AC15" s="1354"/>
      <c r="AD15" s="1354"/>
      <c r="AE15" s="1354"/>
      <c r="AF15" s="1354"/>
      <c r="AG15" s="1354"/>
      <c r="AH15" s="1354"/>
      <c r="AI15" s="1354"/>
      <c r="AJ15" s="1354"/>
      <c r="AK15" s="1354"/>
      <c r="AL15" s="1354"/>
      <c r="AM15" s="1354"/>
      <c r="AN15" s="1354"/>
      <c r="AO15" s="1354"/>
      <c r="AP15" s="1354"/>
      <c r="AQ15" s="1354"/>
      <c r="AR15" s="1354"/>
      <c r="AS15" s="1354"/>
      <c r="AT15" s="1354"/>
      <c r="AU15" s="1354"/>
      <c r="AW15" s="795"/>
      <c r="AX15" s="795" t="str">
        <f>IF(T15="","",T15)</f>
        <v>Добавить источник для дифференциации</v>
      </c>
      <c r="AY15" s="795"/>
      <c r="AZ15" s="795"/>
    </row>
    <row s="3273" customFormat="1" customHeight="1" ht="14.25" hidden="1">
      <c r="A16" s="1373"/>
      <c r="B16" s="1373"/>
      <c r="C16" s="1344"/>
      <c r="D16" s="1344"/>
      <c r="E16" s="2108"/>
      <c r="F16" s="2107"/>
      <c r="G16" s="1344"/>
      <c r="H16" s="1344"/>
      <c r="I16" s="1344"/>
      <c r="J16" s="1344"/>
      <c r="K16" s="1344"/>
      <c r="L16" s="1369"/>
      <c r="M16" s="1351"/>
      <c r="N16" s="1351"/>
      <c r="P16" s="1346"/>
      <c r="Q16" s="1347"/>
      <c r="R16" s="1346"/>
      <c r="S16" s="1352"/>
      <c r="T16" s="1355" t="s">
        <v>182</v>
      </c>
      <c r="U16" s="1354"/>
      <c r="V16" s="1354"/>
      <c r="W16" s="1354"/>
      <c r="X16" s="1354"/>
      <c r="Y16" s="1354"/>
      <c r="Z16" s="1354"/>
      <c r="AA16" s="1354"/>
      <c r="AB16" s="1354"/>
      <c r="AC16" s="1354"/>
      <c r="AD16" s="1354"/>
      <c r="AE16" s="1354"/>
      <c r="AF16" s="1354"/>
      <c r="AG16" s="1354"/>
      <c r="AH16" s="1354"/>
      <c r="AI16" s="1354"/>
      <c r="AJ16" s="1354"/>
      <c r="AK16" s="1354"/>
      <c r="AL16" s="1354"/>
      <c r="AM16" s="1354"/>
      <c r="AN16" s="1354"/>
      <c r="AO16" s="1354"/>
      <c r="AP16" s="1354"/>
      <c r="AQ16" s="1354"/>
      <c r="AR16" s="1354"/>
      <c r="AS16" s="1354"/>
      <c r="AT16" s="1354"/>
      <c r="AU16" s="1354"/>
      <c r="AW16" s="795"/>
      <c r="AX16" s="795" t="str">
        <f>IF(T16="","",T16)</f>
        <v>Добавить централизованную систему для дифференциации</v>
      </c>
      <c r="AY16" s="795"/>
      <c r="AZ16" s="795"/>
    </row>
    <row s="2611" customFormat="1" customHeight="1" ht="14.25" hidden="1">
      <c r="A17" s="1373"/>
      <c r="B17" s="1373"/>
      <c r="C17" s="1373"/>
      <c r="D17" s="1373"/>
      <c r="E17" s="2107"/>
      <c r="F17" s="1373"/>
      <c r="G17" s="1373"/>
      <c r="H17" s="1373"/>
      <c r="I17" s="1373"/>
      <c r="J17" s="1373"/>
      <c r="K17" s="1373"/>
      <c r="L17" s="1376"/>
      <c r="M17" s="1351"/>
      <c r="N17" s="1351"/>
      <c r="O17" s="524"/>
      <c r="P17" s="385"/>
      <c r="Q17" s="1374"/>
      <c r="R17" s="385"/>
      <c r="S17" s="1352"/>
      <c r="T17" s="1355" t="s">
        <v>183</v>
      </c>
      <c r="U17" s="1354"/>
      <c r="V17" s="1354"/>
      <c r="W17" s="1354"/>
      <c r="X17" s="1354"/>
      <c r="Y17" s="1354"/>
      <c r="Z17" s="1354"/>
      <c r="AA17" s="1354"/>
      <c r="AB17" s="1354"/>
      <c r="AC17" s="1354"/>
      <c r="AD17" s="1354"/>
      <c r="AE17" s="1354"/>
      <c r="AF17" s="1354"/>
      <c r="AG17" s="1354"/>
      <c r="AH17" s="1354"/>
      <c r="AI17" s="1354"/>
      <c r="AJ17" s="1354"/>
      <c r="AK17" s="1354"/>
      <c r="AL17" s="1354"/>
      <c r="AM17" s="1354"/>
      <c r="AN17" s="1354"/>
      <c r="AO17" s="1354"/>
      <c r="AP17" s="1354"/>
      <c r="AQ17" s="1354"/>
      <c r="AR17" s="1354"/>
      <c r="AS17" s="1354"/>
      <c r="AT17" s="1354"/>
      <c r="AU17" s="1354"/>
      <c r="AW17" s="506"/>
      <c r="AX17" s="506" t="str">
        <f>IF(T17="","",T17)</f>
        <v>Добавить территорию для дифференциации</v>
      </c>
      <c r="AY17" s="506"/>
      <c r="AZ17" s="506"/>
    </row>
    <row customHeight="1" ht="14.25" hidden="1">
      <c r="AA18" s="323"/>
      <c r="AS18" s="323"/>
    </row>
    <row customHeight="1" ht="14.25" hidden="1">
      <c r="AB19" s="1354" t="s">
        <v>57</v>
      </c>
      <c r="AC19" s="1531"/>
      <c r="AD19" s="554">
        <v>1</v>
      </c>
      <c r="AE19" s="1532"/>
      <c r="AF19" s="1354" t="s">
        <v>57</v>
      </c>
      <c r="AG19" s="1531"/>
      <c r="AH19" s="554">
        <v>1</v>
      </c>
      <c r="AI19" s="1532"/>
      <c r="AJ19" s="1354" t="s">
        <v>57</v>
      </c>
      <c r="AK19" s="1533"/>
      <c r="AL19" s="554">
        <v>1</v>
      </c>
      <c r="AM19" s="1536"/>
      <c r="AN19" s="1433"/>
      <c r="AO19" s="1434"/>
      <c r="AP19" s="1776"/>
      <c r="AQ19" s="1490" t="s">
        <v>62</v>
      </c>
      <c r="AR19" s="1776"/>
      <c r="AS19" s="1490" t="s">
        <v>62</v>
      </c>
    </row>
    <row customHeight="1" ht="14.25" hidden="1">
      <c r="AV20" s="502"/>
      <c r="AW20" s="502"/>
      <c r="AX20" s="502"/>
      <c r="AY20" s="502"/>
      <c r="AZ20" s="502"/>
    </row>
    <row customHeight="1" ht="14.25" hidden="1">
      <c r="O21" s="1397" t="s">
        <v>409</v>
      </c>
      <c r="X21" s="1375"/>
      <c r="Z21" s="1375"/>
      <c r="AA21" s="323"/>
      <c r="AP21" s="1375"/>
      <c r="AR21" s="1375"/>
      <c r="AS21" s="323"/>
      <c r="AV21" s="502"/>
      <c r="AW21" s="502"/>
      <c r="AX21" s="502"/>
      <c r="AY21" s="502"/>
      <c r="AZ21" s="502"/>
    </row>
    <row customHeight="1" ht="14.25" hidden="1">
      <c r="AA22" s="323"/>
      <c r="AS22" s="323"/>
      <c r="AV22" s="502"/>
      <c r="AW22" s="502"/>
      <c r="AX22" s="502"/>
      <c r="AY22" s="502"/>
      <c r="AZ22" s="502"/>
    </row>
    <row s="3732" customFormat="1" customHeight="1" ht="14.25" hidden="1">
      <c r="M23" s="1538"/>
      <c r="N23" s="1538"/>
      <c r="O23" s="1539" t="s">
        <v>410</v>
      </c>
      <c r="P23" s="1538"/>
      <c r="Q23" s="1540"/>
      <c r="R23" s="1540"/>
      <c r="Y23" s="1537" t="s">
        <v>412</v>
      </c>
      <c r="AA23" s="1537" t="s">
        <v>413</v>
      </c>
      <c r="AB23" s="1537" t="s">
        <v>464</v>
      </c>
      <c r="AE23" s="1537" t="s">
        <v>465</v>
      </c>
      <c r="AF23" s="1537" t="s">
        <v>464</v>
      </c>
      <c r="AI23" s="1537" t="s">
        <v>466</v>
      </c>
      <c r="AJ23" s="1537" t="s">
        <v>464</v>
      </c>
      <c r="AM23" s="1537" t="s">
        <v>467</v>
      </c>
      <c r="AQ23" s="1537" t="s">
        <v>412</v>
      </c>
      <c r="AS23" s="1537" t="s">
        <v>413</v>
      </c>
      <c r="AV23" s="1541"/>
      <c r="AW23" s="1541"/>
      <c r="AX23" s="1541"/>
      <c r="AY23" s="1541"/>
      <c r="AZ23" s="1541"/>
    </row>
    <row customHeight="1" ht="14.25" hidden="1">
      <c r="O24" s="1394"/>
      <c r="AV24" s="502"/>
      <c r="AW24" s="502"/>
      <c r="AX24" s="502"/>
      <c r="AY24" s="502"/>
      <c r="AZ24" s="502"/>
    </row>
    <row customHeight="1" ht="14.25" hidden="1">
      <c r="O25" s="1394"/>
      <c r="AV25" s="502"/>
      <c r="AW25" s="502"/>
      <c r="AX25" s="502"/>
      <c r="AY25" s="502"/>
      <c r="AZ25" s="502"/>
    </row>
    <row customHeight="1" ht="14.25">
      <c r="Q26" s="279"/>
      <c r="R26" s="377"/>
      <c r="S26" s="1305"/>
      <c r="T26" s="361"/>
      <c r="U26" s="361"/>
      <c r="V26" s="515"/>
      <c r="W26" s="515"/>
      <c r="X26" s="515"/>
      <c r="Y26" s="515"/>
      <c r="Z26" s="515"/>
      <c r="AA26" s="515"/>
      <c r="AB26" s="515"/>
      <c r="AC26" s="515"/>
      <c r="AD26" s="515"/>
      <c r="AE26" s="515"/>
      <c r="AF26" s="515"/>
      <c r="AG26" s="515"/>
      <c r="AH26" s="515"/>
      <c r="AI26" s="515"/>
      <c r="AJ26" s="515"/>
      <c r="AK26" s="515"/>
      <c r="AL26" s="515"/>
      <c r="AM26" s="515"/>
      <c r="AN26" s="515"/>
      <c r="AO26" s="515"/>
      <c r="AP26" s="515"/>
      <c r="AQ26" s="515"/>
      <c r="AR26" s="515"/>
      <c r="AS26" s="515"/>
    </row>
    <row customHeight="1" ht="26.25">
      <c r="Q27" s="279"/>
      <c r="R27" s="377"/>
      <c r="S27" s="2140"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140"/>
      <c r="U27" s="2140"/>
      <c r="V27" s="2140"/>
      <c r="W27" s="2140"/>
      <c r="X27" s="2140"/>
      <c r="Y27" s="2140"/>
      <c r="Z27" s="2140"/>
      <c r="AA27" s="2140"/>
      <c r="AB27" s="2140"/>
      <c r="AC27" s="2140"/>
      <c r="AD27" s="2140"/>
      <c r="AE27" s="2140"/>
      <c r="AF27" s="2140"/>
      <c r="AG27" s="2140"/>
      <c r="AH27" s="2140"/>
      <c r="AI27" s="2140"/>
      <c r="AJ27" s="2140"/>
      <c r="AK27" s="2140"/>
      <c r="AL27" s="2140"/>
      <c r="AM27" s="2140"/>
      <c r="AN27" s="2140"/>
      <c r="AO27" s="2140"/>
      <c r="AP27" s="2140"/>
      <c r="AQ27" s="2140"/>
      <c r="AR27" s="2140"/>
      <c r="AS27" s="1261"/>
    </row>
    <row customHeight="1" ht="14.25">
      <c r="Q28" s="279"/>
      <c r="R28" s="377"/>
      <c r="S28" s="2141" t="str">
        <f>IF(org=0,"Не определено",org)</f>
        <v>ЗАО "Байкалэнерго"</v>
      </c>
      <c r="T28" s="2141"/>
      <c r="U28" s="2141"/>
      <c r="V28" s="2141"/>
      <c r="W28" s="2141"/>
      <c r="X28" s="2141"/>
      <c r="Y28" s="2141"/>
      <c r="Z28" s="2141"/>
      <c r="AA28" s="2141"/>
      <c r="AB28" s="2141"/>
      <c r="AC28" s="2141"/>
      <c r="AD28" s="2141"/>
      <c r="AE28" s="2141"/>
      <c r="AF28" s="2141"/>
      <c r="AG28" s="2141"/>
      <c r="AH28" s="2141"/>
      <c r="AI28" s="2141"/>
      <c r="AJ28" s="2141"/>
      <c r="AK28" s="2141"/>
      <c r="AL28" s="2141"/>
      <c r="AM28" s="2141"/>
      <c r="AN28" s="2141"/>
      <c r="AO28" s="2141"/>
      <c r="AP28" s="2141"/>
      <c r="AQ28" s="2141"/>
      <c r="AR28" s="2141"/>
      <c r="AS28" s="1261"/>
    </row>
    <row customHeight="1" ht="14.25">
      <c r="Q29" s="279"/>
      <c r="R29" s="377"/>
      <c r="S29" s="1305"/>
      <c r="T29" s="361"/>
      <c r="U29" s="361"/>
      <c r="V29" s="316"/>
      <c r="W29" s="316"/>
      <c r="X29" s="316"/>
      <c r="Y29" s="316"/>
      <c r="Z29" s="316"/>
      <c r="AA29" s="316"/>
      <c r="AB29" s="316"/>
      <c r="AC29" s="316"/>
      <c r="AD29" s="316"/>
      <c r="AE29" s="316"/>
      <c r="AF29" s="316"/>
      <c r="AG29" s="316"/>
      <c r="AH29" s="316"/>
      <c r="AI29" s="316"/>
      <c r="AJ29" s="316"/>
      <c r="AK29" s="316"/>
      <c r="AL29" s="316"/>
      <c r="AM29" s="316"/>
      <c r="AN29" s="316"/>
      <c r="AO29" s="316"/>
      <c r="AP29" s="316"/>
      <c r="AQ29" s="316"/>
      <c r="AR29" s="316"/>
      <c r="AS29" s="316"/>
      <c r="AT29" s="515"/>
    </row>
    <row s="3305" customFormat="1" customHeight="1" ht="25.5">
      <c r="A30" s="1398"/>
      <c r="B30" s="1398"/>
      <c r="C30" s="1398"/>
      <c r="D30" s="1398"/>
      <c r="E30" s="1398"/>
      <c r="F30" s="1398"/>
      <c r="G30" s="1398"/>
      <c r="H30" s="1398"/>
      <c r="I30" s="1398"/>
      <c r="J30" s="1398"/>
      <c r="K30" s="1398"/>
      <c r="L30" s="1399"/>
      <c r="M30" s="1398"/>
      <c r="N30" s="1398"/>
      <c r="O30" s="1398"/>
      <c r="P30" s="1398"/>
      <c r="Q30" s="1398"/>
      <c r="S30" s="2098" t="s">
        <v>38</v>
      </c>
      <c r="T30" s="2098"/>
      <c r="U30" s="1402"/>
      <c r="V30" s="2100" t="str">
        <f>IF(TITLE_NAME_OR_PR_CHANGE="",IF(TITLE_NAME_OR_PR="","",TITLE_NAME_OR_PR),TITLE_NAME_OR_PR_CHANGE)</f>
        <v>Служба по тарифам Иркутской области</v>
      </c>
      <c r="W30" s="2100"/>
      <c r="X30" s="2100"/>
      <c r="Y30" s="2100"/>
      <c r="Z30" s="2100"/>
      <c r="AA30" s="322"/>
      <c r="AB30" s="2100" t="str">
        <f>IF(TITLE_NAME_OR_PR_CHANGE="",IF(TITLE_NAME_OR_PR="","",TITLE_NAME_OR_PR),TITLE_NAME_OR_PR_CHANGE)</f>
        <v>Служба по тарифам Иркутской области</v>
      </c>
      <c r="AC30" s="2100"/>
      <c r="AD30" s="2100"/>
      <c r="AE30" s="2100"/>
      <c r="AF30" s="2100"/>
      <c r="AG30" s="2100"/>
      <c r="AH30" s="2100"/>
      <c r="AI30" s="2100"/>
      <c r="AJ30" s="2100"/>
      <c r="AK30" s="2100"/>
      <c r="AL30" s="2100"/>
      <c r="AM30" s="2100"/>
      <c r="AN30" s="2100"/>
      <c r="AO30" s="2100"/>
      <c r="AP30" s="2100"/>
      <c r="AQ30" s="2100"/>
      <c r="AR30" s="2100"/>
      <c r="AS30" s="322"/>
      <c r="AT30" s="322"/>
      <c r="AU30" s="268"/>
      <c r="AV30" s="368"/>
      <c r="AW30" s="368"/>
      <c r="AX30" s="368"/>
      <c r="AY30" s="368"/>
      <c r="AZ30" s="368"/>
    </row>
    <row s="3305" customFormat="1" customHeight="1" ht="18.75">
      <c r="A31" s="1398"/>
      <c r="B31" s="1398"/>
      <c r="C31" s="1398"/>
      <c r="D31" s="1398"/>
      <c r="E31" s="1398"/>
      <c r="F31" s="1398"/>
      <c r="G31" s="1398"/>
      <c r="H31" s="1398"/>
      <c r="I31" s="1398"/>
      <c r="J31" s="1398"/>
      <c r="K31" s="1398"/>
      <c r="L31" s="1399"/>
      <c r="M31" s="1398"/>
      <c r="N31" s="1398"/>
      <c r="O31" s="1398"/>
      <c r="P31" s="1398"/>
      <c r="Q31" s="1398"/>
      <c r="S31" s="2098" t="s">
        <v>415</v>
      </c>
      <c r="T31" s="2098"/>
      <c r="U31" s="1402"/>
      <c r="V31" s="2099" t="str">
        <f>IF(TITLE_DATE_PR_CHANGE="",IF(TITLE_DATE_PR="","",TITLE_DATE_PR),TITLE_DATE_PR_CHANGE)</f>
        <v>45280.56123842593</v>
      </c>
      <c r="W31" s="2099"/>
      <c r="X31" s="2099"/>
      <c r="Y31" s="2099"/>
      <c r="Z31" s="2099"/>
      <c r="AA31" s="322"/>
      <c r="AB31" s="2099" t="str">
        <f>IF(TITLE_DATE_PR_CHANGE="",IF(TITLE_DATE_PR="","",TITLE_DATE_PR),TITLE_DATE_PR_CHANGE)</f>
        <v>45280.56123842593</v>
      </c>
      <c r="AC31" s="2099"/>
      <c r="AD31" s="2099"/>
      <c r="AE31" s="2099"/>
      <c r="AF31" s="2099"/>
      <c r="AG31" s="2099"/>
      <c r="AH31" s="2099"/>
      <c r="AI31" s="2099"/>
      <c r="AJ31" s="2099"/>
      <c r="AK31" s="2099"/>
      <c r="AL31" s="2099"/>
      <c r="AM31" s="2099"/>
      <c r="AN31" s="2099"/>
      <c r="AO31" s="2099"/>
      <c r="AP31" s="2099"/>
      <c r="AQ31" s="2099"/>
      <c r="AR31" s="2099"/>
      <c r="AS31" s="322"/>
      <c r="AT31" s="322"/>
      <c r="AU31" s="268"/>
      <c r="AV31" s="368"/>
      <c r="AW31" s="368"/>
      <c r="AX31" s="368"/>
      <c r="AY31" s="368"/>
      <c r="AZ31" s="368"/>
    </row>
    <row s="3305" customFormat="1" customHeight="1" ht="18.75">
      <c r="A32" s="1398"/>
      <c r="B32" s="1398"/>
      <c r="C32" s="1398"/>
      <c r="D32" s="1398"/>
      <c r="E32" s="1398"/>
      <c r="F32" s="1398"/>
      <c r="G32" s="1398"/>
      <c r="H32" s="1398"/>
      <c r="I32" s="1398"/>
      <c r="J32" s="1398"/>
      <c r="K32" s="1398"/>
      <c r="L32" s="1399"/>
      <c r="M32" s="1398"/>
      <c r="N32" s="1398"/>
      <c r="O32" s="1398"/>
      <c r="P32" s="1398"/>
      <c r="Q32" s="1398"/>
      <c r="S32" s="2098" t="s">
        <v>416</v>
      </c>
      <c r="T32" s="2098"/>
      <c r="U32" s="1402"/>
      <c r="V32" s="2100" t="str">
        <f>IF(TITLE_NUMBER_PR_CHANGE="",IF(TITLE_NUMBER_PR="","",TITLE_NUMBER_PR),TITLE_NUMBER_PR_CHANGE)</f>
        <v>79-477-спр</v>
      </c>
      <c r="W32" s="2100"/>
      <c r="X32" s="2100"/>
      <c r="Y32" s="2100"/>
      <c r="Z32" s="2100"/>
      <c r="AA32" s="322"/>
      <c r="AB32" s="2100" t="str">
        <f>IF(TITLE_NUMBER_PR_CHANGE="",IF(TITLE_NUMBER_PR="","",TITLE_NUMBER_PR),TITLE_NUMBER_PR_CHANGE)</f>
        <v>79-477-спр</v>
      </c>
      <c r="AC32" s="2100"/>
      <c r="AD32" s="2100"/>
      <c r="AE32" s="2100"/>
      <c r="AF32" s="2100"/>
      <c r="AG32" s="2100"/>
      <c r="AH32" s="2100"/>
      <c r="AI32" s="2100"/>
      <c r="AJ32" s="2100"/>
      <c r="AK32" s="2100"/>
      <c r="AL32" s="2100"/>
      <c r="AM32" s="2100"/>
      <c r="AN32" s="2100"/>
      <c r="AO32" s="2100"/>
      <c r="AP32" s="2100"/>
      <c r="AQ32" s="2100"/>
      <c r="AR32" s="2100"/>
      <c r="AS32" s="322"/>
      <c r="AT32" s="322"/>
      <c r="AU32" s="268"/>
      <c r="AV32" s="368"/>
      <c r="AW32" s="368"/>
      <c r="AX32" s="368"/>
      <c r="AY32" s="368"/>
      <c r="AZ32" s="368"/>
    </row>
    <row s="3305" customFormat="1" customHeight="1" ht="18.75">
      <c r="A33" s="1398"/>
      <c r="B33" s="1398"/>
      <c r="C33" s="1398"/>
      <c r="D33" s="1398"/>
      <c r="E33" s="1398"/>
      <c r="F33" s="1398"/>
      <c r="G33" s="1398"/>
      <c r="H33" s="1398"/>
      <c r="I33" s="1398"/>
      <c r="J33" s="1398"/>
      <c r="K33" s="1398"/>
      <c r="L33" s="1399"/>
      <c r="M33" s="1398"/>
      <c r="N33" s="1398"/>
      <c r="O33" s="1398"/>
      <c r="P33" s="1398"/>
      <c r="Q33" s="1398"/>
      <c r="S33" s="2098" t="s">
        <v>40</v>
      </c>
      <c r="T33" s="2098"/>
      <c r="U33" s="1402"/>
      <c r="V33" s="2100" t="str">
        <f>IF(TITLE_IST_PUB_CHANGE="",IF(TITLE_IST_PUB="","",TITLE_IST_PUB),TITLE_IST_PUB_CHANGE)</f>
        <v>Официальный сайт службы по тарифам Иркутской области http://irkobl.ru</v>
      </c>
      <c r="W33" s="2100"/>
      <c r="X33" s="2100"/>
      <c r="Y33" s="2100"/>
      <c r="Z33" s="2100"/>
      <c r="AA33" s="322"/>
      <c r="AB33" s="2100" t="str">
        <f>IF(TITLE_IST_PUB_CHANGE="",IF(TITLE_IST_PUB="","",TITLE_IST_PUB),TITLE_IST_PUB_CHANGE)</f>
        <v>Официальный сайт службы по тарифам Иркутской области http://irkobl.ru</v>
      </c>
      <c r="AC33" s="2100"/>
      <c r="AD33" s="2100"/>
      <c r="AE33" s="2100"/>
      <c r="AF33" s="2100"/>
      <c r="AG33" s="2100"/>
      <c r="AH33" s="2100"/>
      <c r="AI33" s="2100"/>
      <c r="AJ33" s="2100"/>
      <c r="AK33" s="2100"/>
      <c r="AL33" s="2100"/>
      <c r="AM33" s="2100"/>
      <c r="AN33" s="2100"/>
      <c r="AO33" s="2100"/>
      <c r="AP33" s="2100"/>
      <c r="AQ33" s="2100"/>
      <c r="AR33" s="2100"/>
      <c r="AS33" s="322"/>
      <c r="AT33" s="322"/>
      <c r="AU33" s="268"/>
      <c r="AV33" s="368"/>
      <c r="AW33" s="368"/>
      <c r="AX33" s="368"/>
      <c r="AY33" s="368"/>
      <c r="AZ33" s="368"/>
    </row>
    <row customHeight="1" ht="14.25" hidden="1">
      <c r="Q34" s="279"/>
      <c r="R34" s="377"/>
      <c r="S34" s="1305"/>
      <c r="T34" s="361"/>
      <c r="U34" s="361"/>
      <c r="V34" s="316"/>
      <c r="W34" s="316"/>
      <c r="X34" s="316"/>
      <c r="Y34" s="316"/>
      <c r="Z34" s="316"/>
      <c r="AA34" s="316"/>
      <c r="AB34" s="316"/>
      <c r="AC34" s="316"/>
      <c r="AD34" s="316"/>
      <c r="AE34" s="316"/>
      <c r="AF34" s="316"/>
      <c r="AG34" s="316"/>
      <c r="AH34" s="316"/>
      <c r="AI34" s="316"/>
      <c r="AJ34" s="316"/>
      <c r="AK34" s="316"/>
      <c r="AL34" s="316"/>
      <c r="AM34" s="316"/>
      <c r="AN34" s="316"/>
      <c r="AO34" s="316"/>
      <c r="AP34" s="316"/>
      <c r="AQ34" s="316"/>
      <c r="AR34" s="316"/>
      <c r="AS34" s="316"/>
      <c r="AT34" s="515"/>
    </row>
    <row s="3305" customFormat="1" customHeight="1" ht="18.75" hidden="1">
      <c r="A35" s="1398"/>
      <c r="B35" s="1398"/>
      <c r="C35" s="1398"/>
      <c r="D35" s="1398"/>
      <c r="E35" s="1398"/>
      <c r="F35" s="1398"/>
      <c r="G35" s="1398"/>
      <c r="H35" s="1398"/>
      <c r="I35" s="1398"/>
      <c r="J35" s="1398"/>
      <c r="K35" s="1398"/>
      <c r="L35" s="1399"/>
      <c r="M35" s="1398"/>
      <c r="N35" s="1398"/>
      <c r="O35" s="1398"/>
      <c r="P35" s="1398"/>
      <c r="Q35" s="1398"/>
      <c r="S35" s="2098" t="s">
        <v>415</v>
      </c>
      <c r="T35" s="2098"/>
      <c r="U35" s="1402"/>
      <c r="V35" s="2099" t="str">
        <f>IF(TITLE_DATE_PR_CHANGE="",IF(TITLE_DATE_PR="","",TITLE_DATE_PR),TITLE_DATE_PR_CHANGE)</f>
        <v>45280.56123842593</v>
      </c>
      <c r="W35" s="2099"/>
      <c r="X35" s="2099"/>
      <c r="Y35" s="2099"/>
      <c r="Z35" s="2099"/>
      <c r="AA35" s="322"/>
      <c r="AB35" s="2099" t="str">
        <f>IF(TITLE_DATE_PR_CHANGE="",IF(TITLE_DATE_PR="","",TITLE_DATE_PR),TITLE_DATE_PR_CHANGE)</f>
        <v>45280.56123842593</v>
      </c>
      <c r="AC35" s="2099"/>
      <c r="AD35" s="2099"/>
      <c r="AE35" s="2099"/>
      <c r="AF35" s="2099"/>
      <c r="AG35" s="2099"/>
      <c r="AH35" s="2099"/>
      <c r="AI35" s="2099"/>
      <c r="AJ35" s="2099"/>
      <c r="AK35" s="2099"/>
      <c r="AL35" s="2099"/>
      <c r="AM35" s="2099"/>
      <c r="AN35" s="2099"/>
      <c r="AO35" s="2099"/>
      <c r="AP35" s="2099"/>
      <c r="AQ35" s="2099"/>
      <c r="AR35" s="2099"/>
      <c r="AS35" s="322"/>
      <c r="AT35" s="322"/>
      <c r="AU35" s="268"/>
      <c r="AV35" s="368"/>
      <c r="AW35" s="368"/>
      <c r="AX35" s="368"/>
      <c r="AY35" s="368"/>
      <c r="AZ35" s="368"/>
    </row>
    <row s="3305" customFormat="1" customHeight="1" ht="18" hidden="1">
      <c r="A36" s="1398"/>
      <c r="B36" s="1398"/>
      <c r="C36" s="1398"/>
      <c r="D36" s="1398"/>
      <c r="E36" s="1398"/>
      <c r="F36" s="1398"/>
      <c r="G36" s="1398"/>
      <c r="H36" s="1398"/>
      <c r="I36" s="1398"/>
      <c r="J36" s="1398"/>
      <c r="K36" s="1398"/>
      <c r="L36" s="1399"/>
      <c r="M36" s="1398"/>
      <c r="N36" s="1398"/>
      <c r="O36" s="1398"/>
      <c r="P36" s="1398"/>
      <c r="Q36" s="1398"/>
      <c r="S36" s="2098" t="s">
        <v>416</v>
      </c>
      <c r="T36" s="2098"/>
      <c r="U36" s="1402"/>
      <c r="V36" s="2100" t="str">
        <f>IF(TITLE_NUMBER_PR_CHANGE="",IF(TITLE_NUMBER_PR="","",TITLE_NUMBER_PR),TITLE_NUMBER_PR_CHANGE)</f>
        <v>79-477-спр</v>
      </c>
      <c r="W36" s="2100"/>
      <c r="X36" s="2100"/>
      <c r="Y36" s="2100"/>
      <c r="Z36" s="2100"/>
      <c r="AA36" s="322"/>
      <c r="AB36" s="2100" t="str">
        <f>IF(TITLE_NUMBER_PR_CHANGE="",IF(TITLE_NUMBER_PR="","",TITLE_NUMBER_PR),TITLE_NUMBER_PR_CHANGE)</f>
        <v>79-477-спр</v>
      </c>
      <c r="AC36" s="2100"/>
      <c r="AD36" s="2100"/>
      <c r="AE36" s="2100"/>
      <c r="AF36" s="2100"/>
      <c r="AG36" s="2100"/>
      <c r="AH36" s="2100"/>
      <c r="AI36" s="2100"/>
      <c r="AJ36" s="2100"/>
      <c r="AK36" s="2100"/>
      <c r="AL36" s="2100"/>
      <c r="AM36" s="2100"/>
      <c r="AN36" s="2100"/>
      <c r="AO36" s="2100"/>
      <c r="AP36" s="2100"/>
      <c r="AQ36" s="2100"/>
      <c r="AR36" s="2100"/>
      <c r="AS36" s="322"/>
      <c r="AT36" s="322"/>
      <c r="AU36" s="268"/>
      <c r="AV36" s="368"/>
      <c r="AW36" s="368"/>
      <c r="AX36" s="368"/>
      <c r="AY36" s="368"/>
      <c r="AZ36" s="368"/>
    </row>
    <row s="3305" customFormat="1" customHeight="1" ht="0.75">
      <c r="A37" s="1398"/>
      <c r="B37" s="1398"/>
      <c r="C37" s="1398"/>
      <c r="D37" s="1398"/>
      <c r="E37" s="1398"/>
      <c r="F37" s="1398"/>
      <c r="G37" s="1398"/>
      <c r="H37" s="1398"/>
      <c r="I37" s="1398"/>
      <c r="J37" s="1398"/>
      <c r="K37" s="1398"/>
      <c r="L37" s="1399"/>
      <c r="M37" s="1398"/>
      <c r="N37" s="1398"/>
      <c r="O37" s="1398"/>
      <c r="P37" s="1398"/>
      <c r="Q37" s="1398"/>
      <c r="S37" s="318"/>
      <c r="T37" s="318"/>
      <c r="U37" s="1370"/>
      <c r="V37" s="322"/>
      <c r="W37" s="322"/>
      <c r="X37" s="322"/>
      <c r="Y37" s="322"/>
      <c r="Z37" s="322"/>
      <c r="AA37" s="266" t="s">
        <v>419</v>
      </c>
      <c r="AB37" s="322"/>
      <c r="AC37" s="322"/>
      <c r="AD37" s="322"/>
      <c r="AE37" s="322"/>
      <c r="AF37" s="322"/>
      <c r="AG37" s="322"/>
      <c r="AH37" s="322"/>
      <c r="AI37" s="322"/>
      <c r="AJ37" s="322"/>
      <c r="AK37" s="322"/>
      <c r="AL37" s="322"/>
      <c r="AM37" s="322"/>
      <c r="AN37" s="322"/>
      <c r="AO37" s="322"/>
      <c r="AP37" s="322"/>
      <c r="AQ37" s="322"/>
      <c r="AR37" s="322"/>
      <c r="AS37" s="266" t="s">
        <v>419</v>
      </c>
      <c r="AV37" s="368"/>
      <c r="AW37" s="368"/>
      <c r="AX37" s="368"/>
      <c r="AY37" s="368"/>
      <c r="AZ37" s="368"/>
    </row>
    <row customHeight="1" ht="14.25">
      <c r="Q38" s="279"/>
      <c r="R38" s="377"/>
      <c r="S38" s="1305"/>
      <c r="T38" s="361"/>
      <c r="U38" s="1262"/>
      <c r="V38" s="2124"/>
      <c r="W38" s="2124"/>
      <c r="X38" s="2124"/>
      <c r="Y38" s="2124"/>
      <c r="Z38" s="2124"/>
      <c r="AA38" s="2124"/>
      <c r="AB38" s="2124"/>
      <c r="AC38" s="2124"/>
      <c r="AD38" s="2124"/>
      <c r="AE38" s="2124"/>
      <c r="AF38" s="2124"/>
      <c r="AG38" s="2124"/>
      <c r="AH38" s="2124"/>
      <c r="AI38" s="2124"/>
      <c r="AJ38" s="2124"/>
      <c r="AK38" s="2124"/>
      <c r="AL38" s="2124"/>
      <c r="AM38" s="2124"/>
      <c r="AN38" s="2124"/>
      <c r="AO38" s="2124"/>
      <c r="AP38" s="2124"/>
      <c r="AQ38" s="2124"/>
      <c r="AR38" s="2124"/>
      <c r="AS38" s="2124"/>
    </row>
    <row customHeight="1" ht="14.25">
      <c r="Q39" s="279"/>
      <c r="R39" s="377"/>
      <c r="S39" s="1971" t="s">
        <v>293</v>
      </c>
      <c r="T39" s="1971"/>
      <c r="U39" s="1971"/>
      <c r="V39" s="1971"/>
      <c r="W39" s="1971"/>
      <c r="X39" s="1971"/>
      <c r="Y39" s="1971"/>
      <c r="Z39" s="1971"/>
      <c r="AA39" s="1971"/>
      <c r="AB39" s="2028"/>
      <c r="AC39" s="2028"/>
      <c r="AD39" s="2028"/>
      <c r="AE39" s="2028"/>
      <c r="AF39" s="1971"/>
      <c r="AG39" s="1971"/>
      <c r="AH39" s="1971"/>
      <c r="AI39" s="1971"/>
      <c r="AJ39" s="1971"/>
      <c r="AK39" s="1971"/>
      <c r="AL39" s="1971"/>
      <c r="AM39" s="1971"/>
      <c r="AN39" s="1971"/>
      <c r="AO39" s="1971"/>
      <c r="AP39" s="1971"/>
      <c r="AQ39" s="1971"/>
      <c r="AR39" s="1971"/>
      <c r="AS39" s="1971"/>
      <c r="AT39" s="1971"/>
      <c r="AU39" s="1971" t="s">
        <v>294</v>
      </c>
    </row>
    <row customHeight="1" ht="14.25">
      <c r="Q40" s="279"/>
      <c r="R40" s="377"/>
      <c r="S40" s="2125" t="s">
        <v>88</v>
      </c>
      <c r="T40" s="2062" t="s">
        <v>468</v>
      </c>
      <c r="U40" s="289"/>
      <c r="V40" s="2127"/>
      <c r="W40" s="2127"/>
      <c r="X40" s="2127"/>
      <c r="Y40" s="2127"/>
      <c r="Z40" s="2128"/>
      <c r="AA40" s="2189" t="s">
        <v>422</v>
      </c>
      <c r="AB40" s="2173" t="s">
        <v>469</v>
      </c>
      <c r="AC40" s="2146"/>
      <c r="AD40" s="2146"/>
      <c r="AE40" s="2174"/>
      <c r="AF40" s="2146" t="s">
        <v>470</v>
      </c>
      <c r="AG40" s="2146"/>
      <c r="AH40" s="2146"/>
      <c r="AI40" s="2174"/>
      <c r="AJ40" s="2173" t="s">
        <v>471</v>
      </c>
      <c r="AK40" s="2146"/>
      <c r="AL40" s="2146"/>
      <c r="AM40" s="2174"/>
      <c r="AN40" s="2173" t="s">
        <v>421</v>
      </c>
      <c r="AO40" s="2146"/>
      <c r="AP40" s="2127"/>
      <c r="AQ40" s="2127"/>
      <c r="AR40" s="2128"/>
      <c r="AS40" s="2129" t="s">
        <v>422</v>
      </c>
      <c r="AT40" s="2132" t="s">
        <v>424</v>
      </c>
      <c r="AU40" s="1971"/>
    </row>
    <row customHeight="1" ht="33.75">
      <c r="Q41" s="279"/>
      <c r="R41" s="377"/>
      <c r="S41" s="2125"/>
      <c r="T41" s="2062"/>
      <c r="U41" s="1038"/>
      <c r="V41" s="2029" t="s">
        <v>472</v>
      </c>
      <c r="W41" s="2030"/>
      <c r="X41" s="2144" t="s">
        <v>428</v>
      </c>
      <c r="Y41" s="2162"/>
      <c r="Z41" s="2163"/>
      <c r="AA41" s="2190"/>
      <c r="AB41" s="2175"/>
      <c r="AC41" s="2176"/>
      <c r="AD41" s="2176"/>
      <c r="AE41" s="2188"/>
      <c r="AF41" s="2176"/>
      <c r="AG41" s="2176"/>
      <c r="AH41" s="2176"/>
      <c r="AI41" s="2188"/>
      <c r="AJ41" s="2175"/>
      <c r="AK41" s="2176"/>
      <c r="AL41" s="2176"/>
      <c r="AM41" s="2176"/>
      <c r="AN41" s="1971" t="s">
        <v>473</v>
      </c>
      <c r="AO41" s="1971"/>
      <c r="AP41" s="2162" t="s">
        <v>428</v>
      </c>
      <c r="AQ41" s="2162"/>
      <c r="AR41" s="2163"/>
      <c r="AS41" s="2130"/>
      <c r="AT41" s="2133"/>
      <c r="AU41" s="1971"/>
    </row>
    <row customHeight="1" ht="14.25">
      <c r="Q42" s="279"/>
      <c r="R42" s="377"/>
      <c r="S42" s="2125"/>
      <c r="T42" s="2062"/>
      <c r="U42" s="1038"/>
      <c r="V42" s="2037"/>
      <c r="W42" s="2038"/>
      <c r="X42" s="2145"/>
      <c r="Y42" s="2164"/>
      <c r="Z42" s="2165"/>
      <c r="AA42" s="2190"/>
      <c r="AB42" s="2175"/>
      <c r="AC42" s="2176"/>
      <c r="AD42" s="2176"/>
      <c r="AE42" s="2188"/>
      <c r="AF42" s="2176"/>
      <c r="AG42" s="2176"/>
      <c r="AH42" s="2176"/>
      <c r="AI42" s="2188"/>
      <c r="AJ42" s="2175"/>
      <c r="AK42" s="2176"/>
      <c r="AL42" s="2176"/>
      <c r="AM42" s="2176"/>
      <c r="AN42" s="2192"/>
      <c r="AO42" s="2192"/>
      <c r="AP42" s="2164"/>
      <c r="AQ42" s="2164"/>
      <c r="AR42" s="2165"/>
      <c r="AS42" s="2130"/>
      <c r="AT42" s="2133"/>
      <c r="AU42" s="1971"/>
    </row>
    <row customHeight="1" ht="14.25">
      <c r="A43" s="1400"/>
      <c r="B43" s="1400" t="s">
        <v>136</v>
      </c>
      <c r="C43" s="1400" t="s">
        <v>137</v>
      </c>
      <c r="D43" s="1400" t="s">
        <v>138</v>
      </c>
      <c r="E43" s="1394" t="s">
        <v>429</v>
      </c>
      <c r="F43" s="1394" t="s">
        <v>430</v>
      </c>
      <c r="G43" s="1394" t="s">
        <v>431</v>
      </c>
      <c r="H43" s="1394" t="s">
        <v>432</v>
      </c>
      <c r="I43" s="1394" t="s">
        <v>433</v>
      </c>
      <c r="J43" s="1394" t="s">
        <v>434</v>
      </c>
      <c r="K43" s="1394" t="s">
        <v>435</v>
      </c>
      <c r="L43" s="1394" t="s">
        <v>410</v>
      </c>
      <c r="Q43" s="279"/>
      <c r="R43" s="377"/>
      <c r="S43" s="2125"/>
      <c r="T43" s="2062"/>
      <c r="U43" s="290"/>
      <c r="V43" s="1360" t="s">
        <v>474</v>
      </c>
      <c r="W43" s="1360" t="s">
        <v>475</v>
      </c>
      <c r="X43" s="1368" t="s">
        <v>438</v>
      </c>
      <c r="Y43" s="2121" t="s">
        <v>439</v>
      </c>
      <c r="Z43" s="2122"/>
      <c r="AA43" s="2191"/>
      <c r="AB43" s="2177"/>
      <c r="AC43" s="2178"/>
      <c r="AD43" s="2178"/>
      <c r="AE43" s="2179"/>
      <c r="AF43" s="2178"/>
      <c r="AG43" s="2178"/>
      <c r="AH43" s="2178"/>
      <c r="AI43" s="2179"/>
      <c r="AJ43" s="2177"/>
      <c r="AK43" s="2178"/>
      <c r="AL43" s="2178"/>
      <c r="AM43" s="2179"/>
      <c r="AN43" s="1903" t="s">
        <v>474</v>
      </c>
      <c r="AO43" s="1903" t="s">
        <v>475</v>
      </c>
      <c r="AP43" s="1368" t="s">
        <v>438</v>
      </c>
      <c r="AQ43" s="2121" t="s">
        <v>439</v>
      </c>
      <c r="AR43" s="2122"/>
      <c r="AS43" s="2131"/>
      <c r="AT43" s="2134"/>
      <c r="AU43" s="1971"/>
    </row>
    <row s="2610" customFormat="1" customHeight="1" ht="11.25" hidden="1">
      <c r="A44" s="1400"/>
      <c r="B44" s="1400"/>
      <c r="C44" s="1400"/>
      <c r="D44" s="1400"/>
      <c r="E44" s="1400"/>
      <c r="F44" s="1400"/>
      <c r="G44" s="1400"/>
      <c r="H44" s="1400"/>
      <c r="I44" s="1400"/>
      <c r="J44" s="1400"/>
      <c r="K44" s="1400"/>
      <c r="L44" s="1394"/>
      <c r="M44" s="1392"/>
      <c r="N44" s="1392"/>
      <c r="O44" s="1392"/>
      <c r="P44" s="516"/>
      <c r="Q44" s="1280"/>
      <c r="R44" s="1280">
        <v>1</v>
      </c>
      <c r="S44" s="1307" t="s">
        <v>110</v>
      </c>
      <c r="T44" s="1281" t="s">
        <v>111</v>
      </c>
      <c r="U44" s="1263" t="str">
        <f>OFFSET(U44,0,-1)</f>
        <v>2</v>
      </c>
      <c r="V44" s="1365">
        <f>OFFSET(V44,0,-1)+1</f>
        <v>3</v>
      </c>
      <c r="W44" s="1365">
        <f>OFFSET(W44,0,-1)+1</f>
        <v>4</v>
      </c>
      <c r="X44" s="1365">
        <f>OFFSET(X44,0,-1)+1</f>
        <v>5</v>
      </c>
      <c r="Y44" s="2123">
        <f>OFFSET(Y44,0,-1)+1</f>
        <v>6</v>
      </c>
      <c r="Z44" s="2123"/>
      <c r="AA44" s="1365">
        <f>OFFSET(AA44,0,-2)+1</f>
        <v>7</v>
      </c>
      <c r="AB44" s="1371">
        <f>OFFSET(AB44,0,-1)+1</f>
        <v>8</v>
      </c>
      <c r="AC44" s="1371"/>
      <c r="AD44" s="1371"/>
      <c r="AE44" s="1371"/>
      <c r="AF44" s="1365"/>
      <c r="AG44" s="1365"/>
      <c r="AH44" s="1365"/>
      <c r="AI44" s="1365"/>
      <c r="AJ44" s="1365"/>
      <c r="AK44" s="1365"/>
      <c r="AL44" s="1365"/>
      <c r="AM44" s="1365"/>
      <c r="AN44" s="1365">
        <f>OFFSET(AN44,0,-1)+1</f>
        <v>1</v>
      </c>
      <c r="AO44" s="1365">
        <f>OFFSET(AO44,0,-1)+1</f>
        <v>2</v>
      </c>
      <c r="AP44" s="1365">
        <f>OFFSET(AP44,0,-1)+1</f>
        <v>3</v>
      </c>
      <c r="AQ44" s="2123">
        <f>OFFSET(AQ44,0,-1)+1</f>
        <v>4</v>
      </c>
      <c r="AR44" s="2123"/>
      <c r="AS44" s="1365">
        <f>OFFSET(AS44,0,-2)+1</f>
        <v>5</v>
      </c>
      <c r="AT44" s="1263">
        <f>OFFSET(AT44,0,-1)</f>
        <v>5</v>
      </c>
      <c r="AU44" s="1365">
        <f>OFFSET(AU44,0,-1)+1</f>
        <v>6</v>
      </c>
      <c r="AV44" s="517"/>
      <c r="AW44" s="517"/>
      <c r="AX44" s="517"/>
      <c r="AY44" s="517"/>
      <c r="AZ44" s="517"/>
    </row>
    <row customHeight="1" ht="102">
      <c r="A45" s="1393" t="s">
        <v>205</v>
      </c>
      <c r="B45" s="1393"/>
      <c r="C45" s="1393"/>
      <c r="D45" s="1393"/>
      <c r="E45" s="2107">
        <v>1</v>
      </c>
      <c r="F45" s="1393"/>
      <c r="G45" s="1393"/>
      <c r="H45" s="1393"/>
      <c r="I45" s="1393"/>
      <c r="J45" s="1393"/>
      <c r="K45" s="1393"/>
      <c r="L45" s="1394"/>
      <c r="M45" s="1395"/>
      <c r="N45" s="1395"/>
      <c r="O45" s="1395"/>
      <c r="P45" s="1439"/>
      <c r="Q45" s="879"/>
      <c r="R45" s="351"/>
      <c r="S45" s="1366">
        <f>INDEX(PT_DIFFERENTIATION_NUM_NTAR,MATCH(A45,PT_DIFFERENTIATION_NTAR_ID,0))</f>
        <v>0</v>
      </c>
      <c r="T45" s="286" t="s">
        <v>124</v>
      </c>
      <c r="U45" s="288"/>
      <c r="V45" s="2102"/>
      <c r="W45" s="2102"/>
      <c r="X45" s="2102"/>
      <c r="Y45" s="2102"/>
      <c r="Z45" s="2102"/>
      <c r="AA45" s="2103"/>
      <c r="AB45" s="2101" t="str">
        <f>INDEX(PT_DIFFERENTIATION_NTAR,MATCH(A45,PT_DIFFERENTIATION_NTAR_ID,0))</f>
        <v/>
      </c>
      <c r="AC45" s="2102"/>
      <c r="AD45" s="2102"/>
      <c r="AE45" s="2102"/>
      <c r="AF45" s="2102"/>
      <c r="AG45" s="2102"/>
      <c r="AH45" s="2102"/>
      <c r="AI45" s="2102"/>
      <c r="AJ45" s="2102"/>
      <c r="AK45" s="2102"/>
      <c r="AL45" s="2102"/>
      <c r="AM45" s="2102"/>
      <c r="AN45" s="2102"/>
      <c r="AO45" s="2102"/>
      <c r="AP45" s="2102"/>
      <c r="AQ45" s="2102"/>
      <c r="AR45" s="2102"/>
      <c r="AS45" s="2102"/>
      <c r="AT45" s="2103"/>
      <c r="AU45" s="128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5" s="506"/>
      <c r="AX45" s="506" t="str">
        <f>IF(T45="","",T45)</f>
        <v>Наименование тарифа</v>
      </c>
      <c r="AY45" s="506"/>
      <c r="AZ45" s="506"/>
    </row>
    <row customHeight="1" ht="21">
      <c r="A46" s="1393" t="s">
        <v>205</v>
      </c>
      <c r="B46" s="1393" t="s">
        <v>206</v>
      </c>
      <c r="C46" s="1393"/>
      <c r="D46" s="1393"/>
      <c r="E46" s="2108"/>
      <c r="F46" s="2107">
        <v>1</v>
      </c>
      <c r="G46" s="1393"/>
      <c r="H46" s="1393"/>
      <c r="I46" s="1393"/>
      <c r="J46" s="1393"/>
      <c r="K46" s="1393"/>
      <c r="L46" s="1394"/>
      <c r="M46" s="1395"/>
      <c r="N46" s="1395"/>
      <c r="O46" s="1395"/>
      <c r="P46" s="1440"/>
      <c r="Q46" s="1441"/>
      <c r="R46" s="349"/>
      <c r="S46" s="1366" t="str">
        <f>INDEX(PT_DIFFERENTIATION_NUM_TER,MATCH(B46,PT_DIFFERENTIATION_TER_ID,0))</f>
        <v>.</v>
      </c>
      <c r="T46" s="298" t="s">
        <v>392</v>
      </c>
      <c r="U46" s="288"/>
      <c r="V46" s="2102"/>
      <c r="W46" s="2102"/>
      <c r="X46" s="2102"/>
      <c r="Y46" s="2102"/>
      <c r="Z46" s="2102"/>
      <c r="AA46" s="2103"/>
      <c r="AB46" s="2101" t="str">
        <f>INDEX(PT_DIFFERENTIATION_TER,MATCH(B46,PT_DIFFERENTIATION_TER_ID,0))</f>
        <v/>
      </c>
      <c r="AC46" s="2102"/>
      <c r="AD46" s="2102"/>
      <c r="AE46" s="2102"/>
      <c r="AF46" s="2102"/>
      <c r="AG46" s="2102"/>
      <c r="AH46" s="2102"/>
      <c r="AI46" s="2102"/>
      <c r="AJ46" s="2102"/>
      <c r="AK46" s="2102"/>
      <c r="AL46" s="2102"/>
      <c r="AM46" s="2102"/>
      <c r="AN46" s="2102"/>
      <c r="AO46" s="2102"/>
      <c r="AP46" s="2102"/>
      <c r="AQ46" s="2102"/>
      <c r="AR46" s="2102"/>
      <c r="AS46" s="2102"/>
      <c r="AT46" s="2103"/>
      <c r="AU46" s="1286" t="s">
        <v>393</v>
      </c>
      <c r="AW46" s="506"/>
      <c r="AX46" s="506" t="str">
        <f>IF(T46="","",T46)</f>
        <v>Территория действия тарифа</v>
      </c>
      <c r="AY46" s="506"/>
      <c r="AZ46" s="506"/>
    </row>
    <row customHeight="1" ht="23.25">
      <c r="A47" s="1393" t="s">
        <v>205</v>
      </c>
      <c r="B47" s="1393" t="s">
        <v>206</v>
      </c>
      <c r="C47" s="1393" t="s">
        <v>207</v>
      </c>
      <c r="D47" s="1393"/>
      <c r="E47" s="2108"/>
      <c r="F47" s="2108"/>
      <c r="G47" s="2107">
        <v>1</v>
      </c>
      <c r="H47" s="1393"/>
      <c r="I47" s="1393"/>
      <c r="J47" s="1393"/>
      <c r="K47" s="1393"/>
      <c r="L47" s="1394"/>
      <c r="M47" s="1395"/>
      <c r="N47" s="1395"/>
      <c r="O47" s="1395"/>
      <c r="P47" s="1442"/>
      <c r="Q47" s="1441"/>
      <c r="R47" s="349"/>
      <c r="S47" s="1366" t="str">
        <f>INDEX(PT_DIFFERENTIATION_NUM_CS,MATCH(C47,PT_DIFFERENTIATION_CS_ID,0))</f>
        <v>..</v>
      </c>
      <c r="T47" s="299" t="s">
        <v>394</v>
      </c>
      <c r="U47" s="288"/>
      <c r="V47" s="2102"/>
      <c r="W47" s="2102"/>
      <c r="X47" s="2102"/>
      <c r="Y47" s="2102"/>
      <c r="Z47" s="2102"/>
      <c r="AA47" s="2103"/>
      <c r="AB47" s="2101" t="str">
        <f>INDEX(PT_DIFFERENTIATION_CS,MATCH(C47,PT_DIFFERENTIATION_CS_ID,0))</f>
        <v/>
      </c>
      <c r="AC47" s="2102"/>
      <c r="AD47" s="2102"/>
      <c r="AE47" s="2102"/>
      <c r="AF47" s="2102"/>
      <c r="AG47" s="2102"/>
      <c r="AH47" s="2102"/>
      <c r="AI47" s="2102"/>
      <c r="AJ47" s="2102"/>
      <c r="AK47" s="2102"/>
      <c r="AL47" s="2102"/>
      <c r="AM47" s="2102"/>
      <c r="AN47" s="2102"/>
      <c r="AO47" s="2102"/>
      <c r="AP47" s="2102"/>
      <c r="AQ47" s="2102"/>
      <c r="AR47" s="2102"/>
      <c r="AS47" s="2102"/>
      <c r="AT47" s="2103"/>
      <c r="AU47" s="1286" t="s">
        <v>395</v>
      </c>
      <c r="AW47" s="506"/>
      <c r="AX47" s="506" t="str">
        <f>IF(T47="","",T47)</f>
        <v>Наименование системы теплоснабжения </v>
      </c>
      <c r="AY47" s="506"/>
      <c r="AZ47" s="506"/>
    </row>
    <row customHeight="1" ht="21">
      <c r="A48" s="1393" t="s">
        <v>205</v>
      </c>
      <c r="B48" s="1393" t="s">
        <v>206</v>
      </c>
      <c r="C48" s="1393" t="s">
        <v>207</v>
      </c>
      <c r="D48" s="1393" t="s">
        <v>208</v>
      </c>
      <c r="E48" s="2108"/>
      <c r="F48" s="2108"/>
      <c r="G48" s="2108"/>
      <c r="H48" s="2107">
        <v>1</v>
      </c>
      <c r="I48" s="1393"/>
      <c r="J48" s="1393"/>
      <c r="K48" s="1393"/>
      <c r="L48" s="1394"/>
      <c r="M48" s="1395"/>
      <c r="N48" s="1395"/>
      <c r="O48" s="1395"/>
      <c r="P48" s="1442"/>
      <c r="Q48" s="1441"/>
      <c r="R48" s="349"/>
      <c r="S48" s="1366" t="str">
        <f>INDEX(PT_DIFFERENTIATION_NUM_IST_TE,MATCH(D48,PT_DIFFERENTIATION_IST_TE_ID,0))</f>
        <v>...</v>
      </c>
      <c r="T48" s="300" t="s">
        <v>396</v>
      </c>
      <c r="U48" s="288"/>
      <c r="V48" s="2102"/>
      <c r="W48" s="2102"/>
      <c r="X48" s="2102"/>
      <c r="Y48" s="2102"/>
      <c r="Z48" s="2102"/>
      <c r="AA48" s="2103"/>
      <c r="AB48" s="2101" t="str">
        <f>INDEX(PT_DIFFERENTIATION_IST_TE,MATCH(D48,PT_DIFFERENTIATION_IST_TE_ID,0))</f>
        <v/>
      </c>
      <c r="AC48" s="2102"/>
      <c r="AD48" s="2102"/>
      <c r="AE48" s="2102"/>
      <c r="AF48" s="2102"/>
      <c r="AG48" s="2102"/>
      <c r="AH48" s="2102"/>
      <c r="AI48" s="2102"/>
      <c r="AJ48" s="2102"/>
      <c r="AK48" s="2102"/>
      <c r="AL48" s="2102"/>
      <c r="AM48" s="2102"/>
      <c r="AN48" s="2102"/>
      <c r="AO48" s="2102"/>
      <c r="AP48" s="2102"/>
      <c r="AQ48" s="2102"/>
      <c r="AR48" s="2102"/>
      <c r="AS48" s="2102"/>
      <c r="AT48" s="2103"/>
      <c r="AU48" s="1286" t="s">
        <v>397</v>
      </c>
      <c r="AW48" s="506"/>
      <c r="AX48" s="506" t="str">
        <f>IF(T48="","",T48)</f>
        <v>Источник тепловой энергии  </v>
      </c>
      <c r="AY48" s="506"/>
      <c r="AZ48" s="506"/>
    </row>
    <row s="2611" customFormat="1" customHeight="1" ht="0">
      <c r="A49" s="1373" t="s">
        <v>205</v>
      </c>
      <c r="B49" s="1373" t="s">
        <v>206</v>
      </c>
      <c r="C49" s="1373" t="s">
        <v>207</v>
      </c>
      <c r="D49" s="1373" t="s">
        <v>208</v>
      </c>
      <c r="E49" s="2108"/>
      <c r="F49" s="2108"/>
      <c r="G49" s="2108"/>
      <c r="H49" s="2108"/>
      <c r="I49" s="2109" t="str">
        <f>S48&amp;".1"</f>
        <v>....1</v>
      </c>
      <c r="J49" s="1373"/>
      <c r="K49" s="1373"/>
      <c r="L49" s="1376" t="s">
        <v>398</v>
      </c>
      <c r="M49" s="516"/>
      <c r="N49" s="516"/>
      <c r="O49" s="516"/>
      <c r="P49" s="2111">
        <v>1</v>
      </c>
      <c r="Q49" s="1361"/>
      <c r="R49" s="352"/>
      <c r="S49" s="1049"/>
      <c r="T49" s="1413"/>
      <c r="U49" s="1414"/>
      <c r="V49" s="2148"/>
      <c r="W49" s="2148"/>
      <c r="X49" s="2148"/>
      <c r="Y49" s="2148"/>
      <c r="Z49" s="2148"/>
      <c r="AA49" s="2149"/>
      <c r="AB49" s="2147"/>
      <c r="AC49" s="2148"/>
      <c r="AD49" s="2148"/>
      <c r="AE49" s="2148"/>
      <c r="AF49" s="2148"/>
      <c r="AG49" s="2148"/>
      <c r="AH49" s="2148"/>
      <c r="AI49" s="2148"/>
      <c r="AJ49" s="2148"/>
      <c r="AK49" s="2148"/>
      <c r="AL49" s="2148"/>
      <c r="AM49" s="2148"/>
      <c r="AN49" s="2148"/>
      <c r="AO49" s="2148"/>
      <c r="AP49" s="2148"/>
      <c r="AQ49" s="2148"/>
      <c r="AR49" s="2148"/>
      <c r="AS49" s="2148"/>
      <c r="AT49" s="2149"/>
      <c r="AU49" s="1415"/>
      <c r="AW49" s="506"/>
      <c r="AX49" s="506" t="str">
        <f>IF(T49="","",T49)</f>
        <v/>
      </c>
      <c r="AY49" s="506"/>
      <c r="AZ49" s="506"/>
    </row>
    <row s="2611" customFormat="1" customHeight="1" ht="0">
      <c r="A50" s="1373" t="s">
        <v>205</v>
      </c>
      <c r="B50" s="1373" t="s">
        <v>206</v>
      </c>
      <c r="C50" s="1373" t="s">
        <v>207</v>
      </c>
      <c r="D50" s="1373" t="s">
        <v>208</v>
      </c>
      <c r="E50" s="2108"/>
      <c r="F50" s="2108"/>
      <c r="G50" s="2108"/>
      <c r="H50" s="2108"/>
      <c r="I50" s="2110"/>
      <c r="J50" s="2109" t="str">
        <f>S48&amp;".1"</f>
        <v>....1</v>
      </c>
      <c r="K50" s="1373"/>
      <c r="L50" s="1376"/>
      <c r="M50" s="516"/>
      <c r="N50" s="516"/>
      <c r="O50" s="516"/>
      <c r="P50" s="2111"/>
      <c r="Q50" s="2111">
        <v>1</v>
      </c>
      <c r="R50" s="353"/>
      <c r="S50" s="1049"/>
      <c r="T50" s="1429"/>
      <c r="U50" s="1414"/>
      <c r="V50" s="2148"/>
      <c r="W50" s="2148"/>
      <c r="X50" s="2148"/>
      <c r="Y50" s="2148"/>
      <c r="Z50" s="2148"/>
      <c r="AA50" s="2149"/>
      <c r="AB50" s="2147"/>
      <c r="AC50" s="2148"/>
      <c r="AD50" s="2148"/>
      <c r="AE50" s="2148"/>
      <c r="AF50" s="2148"/>
      <c r="AG50" s="2148"/>
      <c r="AH50" s="2148"/>
      <c r="AI50" s="2148"/>
      <c r="AJ50" s="2148"/>
      <c r="AK50" s="2148"/>
      <c r="AL50" s="2148"/>
      <c r="AM50" s="2148"/>
      <c r="AN50" s="2148"/>
      <c r="AO50" s="2148"/>
      <c r="AP50" s="2148"/>
      <c r="AQ50" s="2148"/>
      <c r="AR50" s="2148"/>
      <c r="AS50" s="2148"/>
      <c r="AT50" s="2149"/>
      <c r="AU50" s="1415"/>
      <c r="AW50" s="506"/>
      <c r="AX50" s="506" t="str">
        <f>IF(T50="","",T50)</f>
        <v/>
      </c>
      <c r="AY50" s="506"/>
      <c r="AZ50" s="506"/>
    </row>
    <row customHeight="1" ht="21">
      <c r="A51" s="1393" t="s">
        <v>205</v>
      </c>
      <c r="B51" s="1393" t="s">
        <v>206</v>
      </c>
      <c r="C51" s="1393" t="s">
        <v>207</v>
      </c>
      <c r="D51" s="1393" t="s">
        <v>208</v>
      </c>
      <c r="E51" s="2108"/>
      <c r="F51" s="2108"/>
      <c r="G51" s="2108"/>
      <c r="H51" s="2108"/>
      <c r="I51" s="2110"/>
      <c r="J51" s="2110"/>
      <c r="K51" s="2109" t="str">
        <f>S48&amp;".1"</f>
        <v>....1</v>
      </c>
      <c r="L51" s="1394"/>
      <c r="P51" s="2111"/>
      <c r="Q51" s="2111"/>
      <c r="R51" s="353">
        <v>1</v>
      </c>
      <c r="S51" s="2184" t="str">
        <f>$K51</f>
        <v>....1</v>
      </c>
      <c r="T51" s="2181"/>
      <c r="U51" s="288"/>
      <c r="V51" s="757"/>
      <c r="W51" s="1285"/>
      <c r="X51" s="1774"/>
      <c r="Y51" s="1489" t="s">
        <v>62</v>
      </c>
      <c r="Z51" s="1774"/>
      <c r="AA51" s="1489" t="s">
        <v>62</v>
      </c>
      <c r="AB51" s="1981" t="s">
        <v>57</v>
      </c>
      <c r="AC51" s="2180"/>
      <c r="AD51" s="2057">
        <v>1</v>
      </c>
      <c r="AE51" s="2172" t="s">
        <v>24</v>
      </c>
      <c r="AF51" s="1981" t="s">
        <v>57</v>
      </c>
      <c r="AG51" s="2180"/>
      <c r="AH51" s="2057">
        <v>1</v>
      </c>
      <c r="AI51" s="2172" t="s">
        <v>24</v>
      </c>
      <c r="AJ51" s="1981" t="s">
        <v>57</v>
      </c>
      <c r="AK51" s="301"/>
      <c r="AL51" s="1367">
        <v>1</v>
      </c>
      <c r="AM51" s="1432"/>
      <c r="AN51" s="757"/>
      <c r="AO51" s="1285"/>
      <c r="AP51" s="1774"/>
      <c r="AQ51" s="1489" t="s">
        <v>62</v>
      </c>
      <c r="AR51" s="1774"/>
      <c r="AS51" s="1489" t="s">
        <v>62</v>
      </c>
      <c r="AT51" s="1378"/>
      <c r="AU51" s="2137" t="s">
        <v>476</v>
      </c>
      <c r="AV51" s="517">
        <f>STRCHECKDATE(V54:AT54)</f>
      </c>
      <c r="AW51" s="506"/>
      <c r="AX51" s="506" t="str">
        <f>IF(T51="","",T51)</f>
        <v/>
      </c>
      <c r="AY51" s="506"/>
      <c r="AZ51" s="506"/>
    </row>
    <row customHeight="1" ht="11.25">
      <c r="A52" s="1393" t="s">
        <v>205</v>
      </c>
      <c r="B52" s="1393"/>
      <c r="C52" s="1393"/>
      <c r="D52" s="1393"/>
      <c r="E52" s="2108"/>
      <c r="F52" s="2108"/>
      <c r="G52" s="2108"/>
      <c r="H52" s="2108"/>
      <c r="I52" s="2110"/>
      <c r="J52" s="2110"/>
      <c r="K52" s="2109"/>
      <c r="L52" s="1394"/>
      <c r="P52" s="2111"/>
      <c r="Q52" s="2111"/>
      <c r="R52" s="353"/>
      <c r="S52" s="2185"/>
      <c r="T52" s="2182"/>
      <c r="U52" s="288"/>
      <c r="V52" s="1423"/>
      <c r="W52" s="1526"/>
      <c r="X52" s="1423"/>
      <c r="Y52" s="1423"/>
      <c r="Z52" s="1423"/>
      <c r="AA52" s="1423"/>
      <c r="AB52" s="1981"/>
      <c r="AC52" s="2180"/>
      <c r="AD52" s="2057"/>
      <c r="AE52" s="2172"/>
      <c r="AF52" s="1981"/>
      <c r="AG52" s="2180"/>
      <c r="AH52" s="2057"/>
      <c r="AI52" s="2172"/>
      <c r="AJ52" s="1981"/>
      <c r="AK52" s="308"/>
      <c r="AL52" s="422"/>
      <c r="AM52" s="421" t="s">
        <v>460</v>
      </c>
      <c r="AN52" s="1423"/>
      <c r="AO52" s="1526"/>
      <c r="AP52" s="1423"/>
      <c r="AQ52" s="1423"/>
      <c r="AR52" s="1423"/>
      <c r="AS52" s="1423"/>
      <c r="AT52" s="1420"/>
      <c r="AU52" s="2138"/>
      <c r="AW52" s="506"/>
      <c r="AX52" s="506"/>
      <c r="AY52" s="506"/>
      <c r="AZ52" s="506"/>
    </row>
    <row customHeight="1" ht="11.25">
      <c r="A53" s="1393" t="s">
        <v>205</v>
      </c>
      <c r="B53" s="1393"/>
      <c r="C53" s="1393"/>
      <c r="D53" s="1393"/>
      <c r="E53" s="2108"/>
      <c r="F53" s="2108"/>
      <c r="G53" s="2108"/>
      <c r="H53" s="2108"/>
      <c r="I53" s="2110"/>
      <c r="J53" s="2110"/>
      <c r="K53" s="2109"/>
      <c r="L53" s="1394"/>
      <c r="P53" s="2111"/>
      <c r="Q53" s="2111"/>
      <c r="R53" s="353"/>
      <c r="S53" s="2185"/>
      <c r="T53" s="2182"/>
      <c r="U53" s="288"/>
      <c r="V53" s="1423"/>
      <c r="W53" s="1526"/>
      <c r="X53" s="1423"/>
      <c r="Y53" s="1423"/>
      <c r="Z53" s="1423"/>
      <c r="AA53" s="1423"/>
      <c r="AB53" s="1981"/>
      <c r="AC53" s="2180"/>
      <c r="AD53" s="2057"/>
      <c r="AE53" s="2172"/>
      <c r="AF53" s="1981"/>
      <c r="AG53" s="282"/>
      <c r="AH53" s="421"/>
      <c r="AI53" s="421" t="s">
        <v>461</v>
      </c>
      <c r="AJ53" s="1423"/>
      <c r="AK53" s="1423"/>
      <c r="AL53" s="1423"/>
      <c r="AM53" s="1423"/>
      <c r="AN53" s="1423"/>
      <c r="AO53" s="1526"/>
      <c r="AP53" s="1423"/>
      <c r="AQ53" s="1423"/>
      <c r="AR53" s="1423"/>
      <c r="AS53" s="1423"/>
      <c r="AT53" s="1420"/>
      <c r="AU53" s="2138"/>
      <c r="AW53" s="506"/>
      <c r="AX53" s="506"/>
      <c r="AY53" s="506"/>
      <c r="AZ53" s="506"/>
    </row>
    <row customHeight="1" ht="11.25">
      <c r="A54" s="1393" t="s">
        <v>205</v>
      </c>
      <c r="B54" s="1393" t="s">
        <v>206</v>
      </c>
      <c r="C54" s="1393" t="s">
        <v>207</v>
      </c>
      <c r="D54" s="1393" t="s">
        <v>208</v>
      </c>
      <c r="E54" s="2108"/>
      <c r="F54" s="2108"/>
      <c r="G54" s="2108"/>
      <c r="H54" s="2108"/>
      <c r="I54" s="2110"/>
      <c r="J54" s="2110"/>
      <c r="K54" s="2109"/>
      <c r="L54" s="1394"/>
      <c r="P54" s="2111"/>
      <c r="Q54" s="2111"/>
      <c r="R54" s="353"/>
      <c r="S54" s="2186"/>
      <c r="T54" s="2183"/>
      <c r="U54" s="288"/>
      <c r="V54" s="1423"/>
      <c r="W54" s="1424" t="str">
        <f>X51&amp;"-"&amp;Z51</f>
        <v>-</v>
      </c>
      <c r="X54" s="1423"/>
      <c r="Y54" s="1423"/>
      <c r="Z54" s="1423"/>
      <c r="AA54" s="1423"/>
      <c r="AB54" s="1981"/>
      <c r="AC54" s="302"/>
      <c r="AD54" s="304"/>
      <c r="AE54" s="421" t="s">
        <v>462</v>
      </c>
      <c r="AF54" s="1423"/>
      <c r="AG54" s="1423"/>
      <c r="AH54" s="1423"/>
      <c r="AI54" s="1423"/>
      <c r="AJ54" s="1423"/>
      <c r="AK54" s="1423"/>
      <c r="AL54" s="1423"/>
      <c r="AM54" s="1423"/>
      <c r="AN54" s="1423"/>
      <c r="AO54" s="1424" t="str">
        <f>AP51&amp;"-"&amp;AR51</f>
        <v>-</v>
      </c>
      <c r="AP54" s="1423"/>
      <c r="AQ54" s="1423"/>
      <c r="AR54" s="1423"/>
      <c r="AS54" s="1423"/>
      <c r="AT54" s="1379"/>
      <c r="AU54" s="2138"/>
      <c r="AW54" s="506"/>
      <c r="AX54" s="506" t="str">
        <f>IF(T54="","",T54)</f>
        <v/>
      </c>
      <c r="AY54" s="506"/>
      <c r="AZ54" s="506"/>
    </row>
    <row customHeight="1" ht="11.25">
      <c r="A55" s="1393" t="s">
        <v>205</v>
      </c>
      <c r="B55" s="1393" t="s">
        <v>206</v>
      </c>
      <c r="C55" s="1393" t="s">
        <v>207</v>
      </c>
      <c r="D55" s="1393" t="s">
        <v>208</v>
      </c>
      <c r="E55" s="2108"/>
      <c r="F55" s="2108"/>
      <c r="G55" s="2108"/>
      <c r="H55" s="2108"/>
      <c r="I55" s="2110"/>
      <c r="J55" s="2109"/>
      <c r="K55" s="1393"/>
      <c r="L55" s="1394"/>
      <c r="P55" s="2111"/>
      <c r="Q55" s="2111"/>
      <c r="R55" s="352"/>
      <c r="S55" s="1308"/>
      <c r="T55" s="275" t="s">
        <v>463</v>
      </c>
      <c r="U55" s="367"/>
      <c r="V55" s="367"/>
      <c r="W55" s="367"/>
      <c r="X55" s="367"/>
      <c r="Y55" s="367"/>
      <c r="Z55" s="367"/>
      <c r="AA55" s="319"/>
      <c r="AB55" s="1535"/>
      <c r="AC55" s="367"/>
      <c r="AD55" s="367"/>
      <c r="AE55" s="367"/>
      <c r="AF55" s="367"/>
      <c r="AG55" s="367"/>
      <c r="AH55" s="367"/>
      <c r="AI55" s="367"/>
      <c r="AJ55" s="367"/>
      <c r="AK55" s="367"/>
      <c r="AL55" s="367"/>
      <c r="AM55" s="367"/>
      <c r="AN55" s="367"/>
      <c r="AO55" s="367"/>
      <c r="AP55" s="367"/>
      <c r="AQ55" s="367"/>
      <c r="AR55" s="367"/>
      <c r="AS55" s="367"/>
      <c r="AT55" s="319"/>
      <c r="AU55" s="2139"/>
      <c r="AW55" s="506"/>
      <c r="AX55" s="506" t="str">
        <f>IF(T55="","",T55)</f>
        <v>Добавить строку</v>
      </c>
      <c r="AY55" s="506"/>
      <c r="AZ55" s="506"/>
    </row>
    <row s="2611" customFormat="1" customHeight="1" ht="0">
      <c r="A56" s="1373" t="s">
        <v>205</v>
      </c>
      <c r="B56" s="1373" t="s">
        <v>206</v>
      </c>
      <c r="C56" s="1373" t="s">
        <v>207</v>
      </c>
      <c r="D56" s="1373" t="s">
        <v>208</v>
      </c>
      <c r="E56" s="2108"/>
      <c r="F56" s="2108"/>
      <c r="G56" s="2108"/>
      <c r="H56" s="2108"/>
      <c r="I56" s="2109"/>
      <c r="J56" s="1373"/>
      <c r="K56" s="1373"/>
      <c r="L56" s="1376"/>
      <c r="M56" s="516"/>
      <c r="N56" s="516"/>
      <c r="O56" s="516"/>
      <c r="P56" s="2111"/>
      <c r="Q56" s="1361"/>
      <c r="R56" s="352"/>
      <c r="S56" s="1416"/>
      <c r="T56" s="1417" t="s">
        <v>407</v>
      </c>
      <c r="U56" s="1418"/>
      <c r="V56" s="1418"/>
      <c r="W56" s="1418"/>
      <c r="X56" s="1418"/>
      <c r="Y56" s="1418"/>
      <c r="Z56" s="1418"/>
      <c r="AA56" s="1418"/>
      <c r="AB56" s="1418"/>
      <c r="AC56" s="1418"/>
      <c r="AD56" s="1418"/>
      <c r="AE56" s="1418"/>
      <c r="AF56" s="1418"/>
      <c r="AG56" s="1418"/>
      <c r="AH56" s="1418"/>
      <c r="AI56" s="1418"/>
      <c r="AJ56" s="1418"/>
      <c r="AK56" s="1418"/>
      <c r="AL56" s="1418"/>
      <c r="AM56" s="1418"/>
      <c r="AN56" s="1418"/>
      <c r="AO56" s="1418"/>
      <c r="AP56" s="1418"/>
      <c r="AQ56" s="1418"/>
      <c r="AR56" s="1418"/>
      <c r="AS56" s="1418"/>
      <c r="AT56" s="1418"/>
      <c r="AU56" s="1419"/>
      <c r="AW56" s="506"/>
      <c r="AX56" s="506" t="str">
        <f>IF(T56="","",T56)</f>
        <v>Добавить группу потребителей</v>
      </c>
      <c r="AY56" s="506"/>
      <c r="AZ56" s="506"/>
    </row>
    <row s="2610" customFormat="1" customHeight="1" ht="0">
      <c r="A57" s="1373" t="s">
        <v>205</v>
      </c>
      <c r="B57" s="1373" t="s">
        <v>206</v>
      </c>
      <c r="C57" s="1373" t="s">
        <v>207</v>
      </c>
      <c r="D57" s="1373" t="s">
        <v>208</v>
      </c>
      <c r="E57" s="2108"/>
      <c r="F57" s="2108"/>
      <c r="G57" s="2108"/>
      <c r="H57" s="2107"/>
      <c r="I57" s="1373"/>
      <c r="J57" s="1373"/>
      <c r="K57" s="1373"/>
      <c r="L57" s="1376"/>
      <c r="M57" s="1345"/>
      <c r="N57" s="1345"/>
      <c r="O57" s="524"/>
      <c r="P57" s="385"/>
      <c r="Q57" s="1374"/>
      <c r="R57" s="1430"/>
      <c r="S57" s="1416"/>
      <c r="T57" s="1417"/>
      <c r="U57" s="1418"/>
      <c r="V57" s="1418"/>
      <c r="W57" s="1418"/>
      <c r="X57" s="1418"/>
      <c r="Y57" s="1418"/>
      <c r="Z57" s="1418"/>
      <c r="AA57" s="1418"/>
      <c r="AB57" s="1418"/>
      <c r="AC57" s="1418"/>
      <c r="AD57" s="1418"/>
      <c r="AE57" s="1418"/>
      <c r="AF57" s="1418"/>
      <c r="AG57" s="1418"/>
      <c r="AH57" s="1418"/>
      <c r="AI57" s="1418"/>
      <c r="AJ57" s="1418"/>
      <c r="AK57" s="1418"/>
      <c r="AL57" s="1418"/>
      <c r="AM57" s="1418"/>
      <c r="AN57" s="1418"/>
      <c r="AO57" s="1418"/>
      <c r="AP57" s="1418"/>
      <c r="AQ57" s="1418"/>
      <c r="AR57" s="1418"/>
      <c r="AS57" s="1418"/>
      <c r="AT57" s="1418"/>
      <c r="AU57" s="1419"/>
      <c r="AV57" s="517"/>
      <c r="AW57" s="506"/>
      <c r="AX57" s="506" t="str">
        <f>IF(T57="","",T57)</f>
        <v/>
      </c>
      <c r="AY57" s="506"/>
      <c r="AZ57" s="506"/>
    </row>
    <row s="3273" customFormat="1" customHeight="1" ht="0">
      <c r="A58" s="1373" t="s">
        <v>205</v>
      </c>
      <c r="B58" s="1373" t="s">
        <v>206</v>
      </c>
      <c r="C58" s="1373" t="s">
        <v>207</v>
      </c>
      <c r="D58" s="1344"/>
      <c r="E58" s="2108"/>
      <c r="F58" s="2108"/>
      <c r="G58" s="2107"/>
      <c r="H58" s="1344"/>
      <c r="I58" s="1344"/>
      <c r="J58" s="1344"/>
      <c r="K58" s="1344"/>
      <c r="L58" s="1369"/>
      <c r="M58" s="1345"/>
      <c r="N58" s="1345"/>
      <c r="P58" s="1346"/>
      <c r="Q58" s="1347"/>
      <c r="R58" s="1346"/>
      <c r="S58" s="1352"/>
      <c r="T58" s="1355" t="s">
        <v>181</v>
      </c>
      <c r="U58" s="1354"/>
      <c r="V58" s="1354"/>
      <c r="W58" s="1354"/>
      <c r="X58" s="1354"/>
      <c r="Y58" s="1354"/>
      <c r="Z58" s="1354"/>
      <c r="AA58" s="1354"/>
      <c r="AB58" s="1354"/>
      <c r="AC58" s="1354"/>
      <c r="AD58" s="1354"/>
      <c r="AE58" s="1354"/>
      <c r="AF58" s="1354"/>
      <c r="AG58" s="1354"/>
      <c r="AH58" s="1354"/>
      <c r="AI58" s="1354"/>
      <c r="AJ58" s="1354"/>
      <c r="AK58" s="1354"/>
      <c r="AL58" s="1354"/>
      <c r="AM58" s="1354"/>
      <c r="AN58" s="1354"/>
      <c r="AO58" s="1354"/>
      <c r="AP58" s="1354"/>
      <c r="AQ58" s="1354"/>
      <c r="AR58" s="1354"/>
      <c r="AS58" s="1354"/>
      <c r="AT58" s="1354"/>
      <c r="AU58" s="1354"/>
      <c r="AW58" s="795"/>
      <c r="AX58" s="795" t="str">
        <f>IF(T58="","",T58)</f>
        <v>Добавить источник для дифференциации</v>
      </c>
      <c r="AY58" s="795"/>
      <c r="AZ58" s="795"/>
    </row>
    <row s="3273" customFormat="1" customHeight="1" ht="0">
      <c r="A59" s="1373" t="s">
        <v>205</v>
      </c>
      <c r="B59" s="1373" t="s">
        <v>206</v>
      </c>
      <c r="C59" s="1344"/>
      <c r="D59" s="1344"/>
      <c r="E59" s="2108"/>
      <c r="F59" s="2107"/>
      <c r="G59" s="1344"/>
      <c r="H59" s="1344"/>
      <c r="I59" s="1344"/>
      <c r="J59" s="1344"/>
      <c r="K59" s="1344"/>
      <c r="L59" s="1369"/>
      <c r="M59" s="1351"/>
      <c r="N59" s="1351"/>
      <c r="P59" s="1346"/>
      <c r="Q59" s="1347"/>
      <c r="R59" s="1346"/>
      <c r="S59" s="1352"/>
      <c r="T59" s="1355" t="s">
        <v>182</v>
      </c>
      <c r="U59" s="1354"/>
      <c r="V59" s="1354"/>
      <c r="W59" s="1354"/>
      <c r="X59" s="1354"/>
      <c r="Y59" s="1354"/>
      <c r="Z59" s="1354"/>
      <c r="AA59" s="1354"/>
      <c r="AB59" s="1354"/>
      <c r="AC59" s="1354"/>
      <c r="AD59" s="1354"/>
      <c r="AE59" s="1354"/>
      <c r="AF59" s="1354"/>
      <c r="AG59" s="1354"/>
      <c r="AH59" s="1354"/>
      <c r="AI59" s="1354"/>
      <c r="AJ59" s="1354"/>
      <c r="AK59" s="1354"/>
      <c r="AL59" s="1354"/>
      <c r="AM59" s="1354"/>
      <c r="AN59" s="1354"/>
      <c r="AO59" s="1354"/>
      <c r="AP59" s="1354"/>
      <c r="AQ59" s="1354"/>
      <c r="AR59" s="1354"/>
      <c r="AS59" s="1354"/>
      <c r="AT59" s="1354"/>
      <c r="AU59" s="1354"/>
      <c r="AW59" s="795"/>
      <c r="AX59" s="795" t="str">
        <f>IF(T59="","",T59)</f>
        <v>Добавить централизованную систему для дифференциации</v>
      </c>
      <c r="AY59" s="795"/>
      <c r="AZ59" s="795"/>
    </row>
    <row s="2611" customFormat="1" customHeight="1" ht="0">
      <c r="A60" s="1373" t="s">
        <v>205</v>
      </c>
      <c r="B60" s="1373"/>
      <c r="C60" s="1373"/>
      <c r="D60" s="1373"/>
      <c r="E60" s="2108"/>
      <c r="F60" s="1373"/>
      <c r="G60" s="1373"/>
      <c r="H60" s="1373"/>
      <c r="I60" s="1373"/>
      <c r="J60" s="1373"/>
      <c r="K60" s="1373"/>
      <c r="L60" s="1376"/>
      <c r="M60" s="1351"/>
      <c r="N60" s="1351"/>
      <c r="O60" s="524"/>
      <c r="P60" s="385"/>
      <c r="Q60" s="1374"/>
      <c r="R60" s="385"/>
      <c r="S60" s="1352"/>
      <c r="T60" s="1355" t="s">
        <v>183</v>
      </c>
      <c r="U60" s="1354"/>
      <c r="V60" s="1354"/>
      <c r="W60" s="1354"/>
      <c r="X60" s="1354"/>
      <c r="Y60" s="1354"/>
      <c r="Z60" s="1354"/>
      <c r="AA60" s="1354"/>
      <c r="AB60" s="1354"/>
      <c r="AC60" s="1354"/>
      <c r="AD60" s="1354"/>
      <c r="AE60" s="1354"/>
      <c r="AF60" s="1354"/>
      <c r="AG60" s="1354"/>
      <c r="AH60" s="1354"/>
      <c r="AI60" s="1354"/>
      <c r="AJ60" s="1354"/>
      <c r="AK60" s="1354"/>
      <c r="AL60" s="1354"/>
      <c r="AM60" s="1354"/>
      <c r="AN60" s="1354"/>
      <c r="AO60" s="1354"/>
      <c r="AP60" s="1354"/>
      <c r="AQ60" s="1354"/>
      <c r="AR60" s="1354"/>
      <c r="AS60" s="1354"/>
      <c r="AT60" s="1354"/>
      <c r="AU60" s="1354"/>
      <c r="AW60" s="506"/>
      <c r="AX60" s="506" t="str">
        <f>IF(T60="","",T60)</f>
        <v>Добавить территорию для дифференциации</v>
      </c>
      <c r="AY60" s="506"/>
      <c r="AZ60" s="506"/>
    </row>
    <row s="2611" customFormat="1" customHeight="1" ht="0">
      <c r="A61" s="1373" t="s">
        <v>205</v>
      </c>
      <c r="B61" s="1373"/>
      <c r="C61" s="1373"/>
      <c r="D61" s="1373"/>
      <c r="E61" s="2107"/>
      <c r="F61" s="1373"/>
      <c r="G61" s="1373"/>
      <c r="H61" s="1373"/>
      <c r="I61" s="1373"/>
      <c r="J61" s="1373"/>
      <c r="K61" s="1373"/>
      <c r="L61" s="1376"/>
      <c r="M61" s="1351"/>
      <c r="N61" s="1351"/>
      <c r="O61" s="524"/>
      <c r="P61" s="385"/>
      <c r="Q61" s="1374"/>
      <c r="R61" s="385"/>
      <c r="S61" s="1352"/>
      <c r="T61" s="1355" t="s">
        <v>183</v>
      </c>
      <c r="U61" s="1354"/>
      <c r="V61" s="1354"/>
      <c r="W61" s="1354"/>
      <c r="X61" s="1354"/>
      <c r="Y61" s="1354"/>
      <c r="Z61" s="1354"/>
      <c r="AA61" s="1354"/>
      <c r="AB61" s="1354"/>
      <c r="AC61" s="1354"/>
      <c r="AD61" s="1354"/>
      <c r="AE61" s="1354"/>
      <c r="AF61" s="1354"/>
      <c r="AG61" s="1354"/>
      <c r="AH61" s="1354"/>
      <c r="AI61" s="1354"/>
      <c r="AJ61" s="1354"/>
      <c r="AK61" s="1354"/>
      <c r="AL61" s="1354"/>
      <c r="AM61" s="1354"/>
      <c r="AN61" s="1354"/>
      <c r="AO61" s="1354"/>
      <c r="AP61" s="1354"/>
      <c r="AQ61" s="1354"/>
      <c r="AR61" s="1354"/>
      <c r="AS61" s="1354"/>
      <c r="AT61" s="1354"/>
      <c r="AU61" s="1354"/>
      <c r="AW61" s="506"/>
      <c r="AX61" s="506" t="str">
        <f>IF(T61="","",T61)</f>
        <v>Добавить территорию для дифференциации</v>
      </c>
      <c r="AY61" s="506"/>
      <c r="AZ61" s="506"/>
    </row>
    <row s="3273" customFormat="1" customHeight="1" ht="0">
      <c r="A62" s="1344"/>
      <c r="B62" s="1344"/>
      <c r="C62" s="1344"/>
      <c r="D62" s="1344"/>
      <c r="E62" s="1373"/>
      <c r="F62" s="1344"/>
      <c r="G62" s="1344"/>
      <c r="H62" s="1344"/>
      <c r="I62" s="1344"/>
      <c r="J62" s="1344"/>
      <c r="K62" s="1344"/>
      <c r="L62" s="1369"/>
      <c r="M62" s="1351"/>
      <c r="N62" s="1351"/>
      <c r="P62" s="1346"/>
      <c r="Q62" s="1347"/>
      <c r="R62" s="1346"/>
      <c r="S62" s="1352"/>
      <c r="T62" s="1355" t="s">
        <v>184</v>
      </c>
      <c r="U62" s="1354"/>
      <c r="V62" s="1354"/>
      <c r="W62" s="1354"/>
      <c r="X62" s="1354"/>
      <c r="Y62" s="1354"/>
      <c r="Z62" s="1354"/>
      <c r="AA62" s="1354"/>
      <c r="AB62" s="1354"/>
      <c r="AC62" s="1354"/>
      <c r="AD62" s="1354"/>
      <c r="AE62" s="1354"/>
      <c r="AF62" s="1354"/>
      <c r="AG62" s="1354"/>
      <c r="AH62" s="1354"/>
      <c r="AI62" s="1354"/>
      <c r="AJ62" s="1354"/>
      <c r="AK62" s="1354"/>
      <c r="AL62" s="1354"/>
      <c r="AM62" s="1354"/>
      <c r="AN62" s="1354"/>
      <c r="AO62" s="1354"/>
      <c r="AP62" s="1354"/>
      <c r="AQ62" s="1354"/>
      <c r="AR62" s="1354"/>
      <c r="AS62" s="1354"/>
      <c r="AT62" s="1354"/>
      <c r="AU62" s="1354"/>
      <c r="AW62" s="795"/>
      <c r="AX62" s="795" t="str">
        <f>IF(T62="","",T62)</f>
        <v>Добавить наименование тарифа</v>
      </c>
      <c r="AY62" s="795"/>
      <c r="AZ62" s="795"/>
    </row>
    <row customHeight="1" ht="11.25">
      <c r="M63" s="1168"/>
      <c r="N63" s="1168"/>
      <c r="O63" s="543"/>
      <c r="P63" s="1168"/>
      <c r="Q63" s="1168"/>
      <c r="R63" s="1163"/>
      <c r="S63" s="1163"/>
      <c r="AV63" s="1163"/>
      <c r="AW63" s="1163"/>
      <c r="AX63" s="1163"/>
      <c r="AY63" s="1163"/>
      <c r="AZ63" s="1163"/>
    </row>
    <row customHeight="1" ht="18.75">
      <c r="O64" s="543"/>
      <c r="S64" s="1273"/>
      <c r="T64" s="2106"/>
      <c r="U64" s="2106"/>
      <c r="V64" s="2106"/>
      <c r="W64" s="2106"/>
      <c r="X64" s="2106"/>
      <c r="Y64" s="2106"/>
      <c r="Z64" s="2106"/>
      <c r="AA64" s="2106"/>
      <c r="AB64" s="2106"/>
      <c r="AC64" s="2106"/>
      <c r="AD64" s="2106"/>
      <c r="AE64" s="2106"/>
      <c r="AF64" s="2106"/>
      <c r="AG64" s="2106"/>
      <c r="AH64" s="2106"/>
      <c r="AI64" s="2106"/>
      <c r="AJ64" s="2106"/>
      <c r="AK64" s="2106"/>
      <c r="AL64" s="2106"/>
      <c r="AM64" s="2106"/>
      <c r="AN64" s="2106"/>
      <c r="AO64" s="2106"/>
      <c r="AP64" s="2106"/>
      <c r="AQ64" s="2106"/>
      <c r="AR64" s="2106"/>
      <c r="AS64" s="2106"/>
      <c r="AT64" s="2106"/>
      <c r="AU64" s="2106"/>
    </row>
    <row customHeight="1" ht="19.5">
      <c r="O65" s="543"/>
      <c r="T65" s="2106"/>
      <c r="U65" s="2106"/>
      <c r="V65" s="2106"/>
      <c r="W65" s="2106"/>
      <c r="X65" s="2106"/>
      <c r="Y65" s="2106"/>
      <c r="Z65" s="2106"/>
      <c r="AA65" s="2106"/>
      <c r="AB65" s="2106"/>
      <c r="AC65" s="2106"/>
      <c r="AD65" s="2106"/>
      <c r="AE65" s="2106"/>
      <c r="AF65" s="2106"/>
      <c r="AG65" s="2106"/>
      <c r="AH65" s="2106"/>
      <c r="AI65" s="2106"/>
      <c r="AJ65" s="2106"/>
      <c r="AK65" s="2106"/>
      <c r="AL65" s="2106"/>
      <c r="AM65" s="2106"/>
      <c r="AN65" s="2106"/>
      <c r="AO65" s="2106"/>
      <c r="AP65" s="2106"/>
      <c r="AQ65" s="2106"/>
      <c r="AR65" s="2106"/>
      <c r="AS65" s="2106"/>
      <c r="AT65" s="2106"/>
      <c r="AU65" s="2106"/>
    </row>
    <row customHeight="1" ht="14.25">
      <c r="O66" s="543"/>
      <c r="T66" s="1363"/>
      <c r="U66" s="1363"/>
      <c r="V66" s="1363"/>
      <c r="W66" s="1363"/>
      <c r="X66" s="1363"/>
      <c r="Y66" s="1363"/>
      <c r="Z66" s="1363"/>
      <c r="AA66" s="1363"/>
      <c r="AB66" s="1363"/>
      <c r="AC66" s="1363"/>
      <c r="AD66" s="1363"/>
      <c r="AE66" s="1363"/>
      <c r="AF66" s="1363"/>
      <c r="AG66" s="1363"/>
      <c r="AH66" s="1363"/>
      <c r="AI66" s="1363"/>
      <c r="AJ66" s="1363"/>
      <c r="AK66" s="1363"/>
      <c r="AL66" s="1363"/>
      <c r="AM66" s="1363"/>
      <c r="AN66" s="1363"/>
      <c r="AO66" s="1363"/>
      <c r="AP66" s="1363"/>
      <c r="AQ66" s="1363"/>
      <c r="AR66" s="1363"/>
      <c r="AS66" s="1363"/>
      <c r="AT66" s="1363"/>
      <c r="AU66" s="1363"/>
    </row>
    <row customHeight="1" ht="18.75">
      <c r="O67" s="543"/>
      <c r="T67" s="2106"/>
      <c r="U67" s="2106"/>
      <c r="V67" s="2106"/>
      <c r="W67" s="2106"/>
      <c r="X67" s="2106"/>
      <c r="Y67" s="2106"/>
      <c r="Z67" s="2106"/>
      <c r="AA67" s="2106"/>
      <c r="AB67" s="2106"/>
      <c r="AC67" s="2106"/>
      <c r="AD67" s="2106"/>
      <c r="AE67" s="2106"/>
      <c r="AF67" s="2106"/>
      <c r="AG67" s="2106"/>
      <c r="AH67" s="2106"/>
      <c r="AI67" s="2106"/>
      <c r="AJ67" s="2106"/>
      <c r="AK67" s="2106"/>
      <c r="AL67" s="2106"/>
      <c r="AM67" s="2106"/>
      <c r="AN67" s="2106"/>
      <c r="AO67" s="2106"/>
      <c r="AP67" s="2106"/>
      <c r="AQ67" s="2106"/>
      <c r="AR67" s="2106"/>
      <c r="AS67" s="2106"/>
      <c r="AT67" s="2106"/>
      <c r="AU67" s="2106"/>
    </row>
    <row customHeight="1" ht="15.75">
      <c r="O68" s="543"/>
      <c r="T68" s="2106"/>
      <c r="U68" s="2106"/>
      <c r="V68" s="2106"/>
      <c r="W68" s="2106"/>
      <c r="X68" s="2106"/>
      <c r="Y68" s="2106"/>
      <c r="Z68" s="2106"/>
      <c r="AA68" s="2106"/>
      <c r="AB68" s="2106"/>
      <c r="AC68" s="2106"/>
      <c r="AD68" s="2106"/>
      <c r="AE68" s="2106"/>
      <c r="AF68" s="2106"/>
      <c r="AG68" s="2106"/>
      <c r="AH68" s="2106"/>
      <c r="AI68" s="2106"/>
      <c r="AJ68" s="2106"/>
      <c r="AK68" s="2106"/>
      <c r="AL68" s="2106"/>
      <c r="AM68" s="2106"/>
      <c r="AN68" s="2106"/>
      <c r="AO68" s="2106"/>
      <c r="AP68" s="2106"/>
      <c r="AQ68" s="2106"/>
      <c r="AR68" s="2106"/>
      <c r="AS68" s="2106"/>
      <c r="AT68" s="2106"/>
      <c r="AU68" s="2106"/>
    </row>
    <row customHeight="1" ht="14.25">
      <c r="O69" s="543"/>
    </row>
  </sheetData>
  <sheetProtection formatColumns="0" formatRows="0" autoFilter="0" sort="0" insertRows="0" insertColumns="1" deleteRows="0" deleteColumns="0"/>
  <mergeCells count="118">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Q43:AR43"/>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s>
  <dataValidations count="9">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A005952-247E-8297-1D6F-80ED3F38F2E8}"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92" width="10.57421875" hidden="1"/>
    <col min="2" max="2" style="3292" width="11.00390625" hidden="1" customWidth="1"/>
    <col min="3" max="3" style="3292" width="10.57421875" hidden="1"/>
    <col min="4" max="4" style="3292" width="11.8515625" hidden="1" customWidth="1"/>
    <col min="5" max="5" style="3292" width="10.00390625" hidden="1" customWidth="1"/>
    <col min="6" max="6" style="3292" width="8.7109375" hidden="1" customWidth="1"/>
    <col min="7" max="7" style="3292" width="7.57421875" hidden="1" customWidth="1"/>
    <col min="8" max="8" style="3292" width="11.421875" hidden="1" customWidth="1"/>
    <col min="9" max="9" style="3292" width="14.140625" hidden="1" customWidth="1"/>
    <col min="10" max="10" style="3292" width="9.8515625" hidden="1" customWidth="1"/>
    <col min="11" max="11" style="3292" width="14.7109375" hidden="1" customWidth="1"/>
    <col min="12" max="12" style="3774" width="19.140625" hidden="1" customWidth="1"/>
    <col min="13" max="14" style="3294" width="12.28125" hidden="1" customWidth="1"/>
    <col min="15" max="15" style="3294" width="23.421875" hidden="1" customWidth="1"/>
    <col min="16" max="16" style="3784" width="3.7109375" customWidth="1"/>
    <col min="17" max="18" style="3371" width="3.7109375" customWidth="1"/>
    <col min="19" max="19" style="3372" width="12.7109375" customWidth="1"/>
    <col min="20" max="20" style="2939" width="35.7109375" customWidth="1"/>
    <col min="21" max="21" style="2939" width="0.140625" customWidth="1"/>
    <col min="22" max="24" style="2939" width="24.7109375" hidden="1" customWidth="1"/>
    <col min="25" max="25" style="2939" width="11.7109375" hidden="1" customWidth="1"/>
    <col min="26" max="26" style="2939" width="3.7109375" hidden="1" customWidth="1"/>
    <col min="27" max="27" style="2939" width="11.7109375" hidden="1" customWidth="1"/>
    <col min="28" max="28" style="2939" width="8.57421875" hidden="1" customWidth="1"/>
    <col min="29" max="31" style="2939" width="24.7109375" customWidth="1"/>
    <col min="32" max="32" style="2939" width="11.7109375" customWidth="1"/>
    <col min="33" max="33" style="2939" width="3.7109375" customWidth="1"/>
    <col min="34" max="34" style="2939" width="11.7109375" customWidth="1"/>
    <col min="35" max="35" style="2939" width="8.57421875" hidden="1" customWidth="1"/>
    <col min="36" max="36" style="2939" width="4.7109375" customWidth="1"/>
    <col min="37" max="37" style="2939" width="115.7109375" customWidth="1"/>
    <col min="38" max="39" style="2611" width="10.57421875"/>
    <col min="40" max="40" style="2611" width="11.140625" customWidth="1"/>
    <col min="41" max="42" style="2611"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455">
        <f>INDEX(PT_DIFFERENTIATION_NUM_NTAR,MATCH(A2,PT_DIFFERENTIATION_NTAR_ID,0))</f>
      </c>
      <c r="T2" s="286" t="s">
        <v>124</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453"/>
      <c r="Q3" s="348"/>
      <c r="R3" s="349"/>
      <c r="S3" s="1455">
        <f>INDEX(PT_DIFFERENTIATION_NUM_TER,MATCH(B3,PT_DIFFERENTIATION_TER_ID,0))</f>
      </c>
      <c r="T3" s="298" t="s">
        <v>392</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393</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455">
        <f>INDEX(PT_DIFFERENTIATION_NUM_CS,MATCH(C4,PT_DIFFERENTIATION_CS_ID,0))</f>
      </c>
      <c r="T4" s="299" t="s">
        <v>477</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478</v>
      </c>
      <c r="AM4" s="506"/>
      <c r="AN4" s="506" t="str">
        <f>IF(T4="","",T4)</f>
        <v>Наименование централизованной системы холодного водоснабжения</v>
      </c>
      <c r="AO4" s="506"/>
      <c r="AP4" s="506"/>
    </row>
    <row customHeight="1" ht="23.25" hidden="1">
      <c r="A5" s="1393"/>
      <c r="B5" s="1393"/>
      <c r="C5" s="1393"/>
      <c r="D5" s="1393"/>
      <c r="E5" s="2108"/>
      <c r="F5" s="2108"/>
      <c r="G5" s="2108"/>
      <c r="H5" s="2108"/>
      <c r="I5" s="2109">
        <f>S4&amp;".1"</f>
      </c>
      <c r="J5" s="1393"/>
      <c r="K5" s="1393"/>
      <c r="L5" s="1394"/>
      <c r="P5" s="2111">
        <v>1</v>
      </c>
      <c r="Q5" s="1452"/>
      <c r="R5" s="352"/>
      <c r="S5" s="1455">
        <f>$I5</f>
      </c>
      <c r="T5" s="273" t="s">
        <v>479</v>
      </c>
      <c r="U5" s="288"/>
      <c r="V5" s="2194"/>
      <c r="W5" s="2195"/>
      <c r="X5" s="2195"/>
      <c r="Y5" s="2195"/>
      <c r="Z5" s="2195"/>
      <c r="AA5" s="2195"/>
      <c r="AB5" s="2196"/>
      <c r="AC5" s="2197"/>
      <c r="AD5" s="2198"/>
      <c r="AE5" s="2198"/>
      <c r="AF5" s="2198"/>
      <c r="AG5" s="2198"/>
      <c r="AH5" s="2198"/>
      <c r="AI5" s="2198"/>
      <c r="AJ5" s="2199"/>
      <c r="AK5" s="1286" t="s">
        <v>480</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401</v>
      </c>
      <c r="P6" s="2111"/>
      <c r="Q6" s="2111">
        <v>1</v>
      </c>
      <c r="R6" s="353"/>
      <c r="S6" s="1455">
        <f>$J6</f>
      </c>
      <c r="T6" s="274" t="s">
        <v>402</v>
      </c>
      <c r="U6" s="288"/>
      <c r="V6" s="2095"/>
      <c r="W6" s="2096"/>
      <c r="X6" s="2096"/>
      <c r="Y6" s="2096"/>
      <c r="Z6" s="2096"/>
      <c r="AA6" s="2096"/>
      <c r="AB6" s="2097"/>
      <c r="AC6" s="2095"/>
      <c r="AD6" s="2096"/>
      <c r="AE6" s="2096"/>
      <c r="AF6" s="2096"/>
      <c r="AG6" s="2096"/>
      <c r="AH6" s="2096"/>
      <c r="AI6" s="2096"/>
      <c r="AJ6" s="2097"/>
      <c r="AK6" s="1337" t="s">
        <v>481</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455">
        <f>$K7</f>
      </c>
      <c r="T7" s="1467"/>
      <c r="U7" s="288"/>
      <c r="V7" s="757"/>
      <c r="W7" s="757"/>
      <c r="X7" s="1285"/>
      <c r="Y7" s="2112"/>
      <c r="Z7" s="1981" t="s">
        <v>62</v>
      </c>
      <c r="AA7" s="2112"/>
      <c r="AB7" s="1981" t="s">
        <v>62</v>
      </c>
      <c r="AC7" s="757"/>
      <c r="AD7" s="757"/>
      <c r="AE7" s="1285"/>
      <c r="AF7" s="2112"/>
      <c r="AG7" s="1981" t="s">
        <v>62</v>
      </c>
      <c r="AH7" s="2114"/>
      <c r="AI7" s="1981" t="s">
        <v>62</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454"/>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482</v>
      </c>
      <c r="U9" s="367"/>
      <c r="V9" s="367"/>
      <c r="W9" s="367"/>
      <c r="X9" s="367"/>
      <c r="Y9" s="367"/>
      <c r="Z9" s="367"/>
      <c r="AA9" s="367"/>
      <c r="AB9" s="367"/>
      <c r="AC9" s="367"/>
      <c r="AD9" s="367"/>
      <c r="AE9" s="367"/>
      <c r="AF9" s="367"/>
      <c r="AG9" s="367"/>
      <c r="AH9" s="367"/>
      <c r="AI9" s="367"/>
      <c r="AJ9" s="367"/>
      <c r="AK9" s="1286" t="s">
        <v>483</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452"/>
      <c r="R10" s="352"/>
      <c r="S10" s="1308"/>
      <c r="T10" s="364" t="s">
        <v>407</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14.25" hidden="1">
      <c r="A11" s="1393"/>
      <c r="B11" s="1393"/>
      <c r="C11" s="1393"/>
      <c r="D11" s="1393"/>
      <c r="E11" s="2108"/>
      <c r="F11" s="2108"/>
      <c r="G11" s="2108"/>
      <c r="H11" s="2107"/>
      <c r="I11" s="1393"/>
      <c r="J11" s="1393"/>
      <c r="K11" s="1393"/>
      <c r="L11" s="1394"/>
      <c r="M11" s="1395"/>
      <c r="N11" s="1395"/>
      <c r="O11" s="543"/>
      <c r="P11" s="356"/>
      <c r="Q11" s="376"/>
      <c r="R11" s="351"/>
      <c r="S11" s="1308"/>
      <c r="T11" s="372" t="s">
        <v>484</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73" customFormat="1" customHeight="1" ht="14.25" hidden="1">
      <c r="A12" s="1373"/>
      <c r="B12" s="1373"/>
      <c r="C12" s="1344"/>
      <c r="D12" s="1344"/>
      <c r="E12" s="2108"/>
      <c r="F12" s="2107"/>
      <c r="G12" s="1344"/>
      <c r="H12" s="1344"/>
      <c r="I12" s="1344"/>
      <c r="J12" s="1344"/>
      <c r="K12" s="1344"/>
      <c r="L12" s="1456"/>
      <c r="M12" s="1351"/>
      <c r="N12" s="1351"/>
      <c r="P12" s="1346"/>
      <c r="Q12" s="1347"/>
      <c r="R12" s="1346"/>
      <c r="S12" s="1352"/>
      <c r="T12" s="1355" t="s">
        <v>182</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1"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183</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62</v>
      </c>
      <c r="AH15" s="2105"/>
      <c r="AI15" s="2104" t="s">
        <v>62</v>
      </c>
    </row>
    <row customHeight="1" ht="14.25" hidden="1">
      <c r="AC16" s="1390"/>
      <c r="AD16" s="1390"/>
      <c r="AE16" s="324" t="str">
        <f>AF15&amp;"-"&amp;AH15</f>
        <v>-</v>
      </c>
      <c r="AF16" s="2104"/>
      <c r="AG16" s="2104"/>
      <c r="AH16" s="2104"/>
      <c r="AI16" s="2104"/>
    </row>
    <row customHeight="1" ht="14.25" hidden="1">
      <c r="AI17" s="323"/>
    </row>
    <row s="3292" customFormat="1" customHeight="1" ht="22.5" hidden="1">
      <c r="L18" s="1451"/>
      <c r="M18" s="1392"/>
      <c r="N18" s="1392"/>
      <c r="O18" s="1397" t="s">
        <v>409</v>
      </c>
      <c r="P18" s="1392"/>
      <c r="Q18" s="1401"/>
      <c r="R18" s="1401"/>
      <c r="S18" s="735"/>
      <c r="Y18" s="1397"/>
      <c r="AA18" s="1397"/>
      <c r="AB18" s="1396"/>
      <c r="AF18" s="1397"/>
      <c r="AH18" s="1397"/>
      <c r="AI18" s="1396"/>
      <c r="AL18" s="517"/>
      <c r="AM18" s="517"/>
      <c r="AN18" s="517"/>
      <c r="AO18" s="517"/>
      <c r="AP18" s="517"/>
    </row>
    <row s="3292" customFormat="1" customHeight="1" ht="14.25" hidden="1">
      <c r="L19" s="1451"/>
      <c r="M19" s="1392"/>
      <c r="N19" s="1392"/>
      <c r="O19" s="1392"/>
      <c r="P19" s="1392"/>
      <c r="Q19" s="1401"/>
      <c r="R19" s="1401"/>
      <c r="S19" s="735"/>
      <c r="AB19" s="1396"/>
      <c r="AI19" s="1396"/>
      <c r="AL19" s="517"/>
      <c r="AM19" s="517"/>
      <c r="AN19" s="517"/>
      <c r="AO19" s="517"/>
      <c r="AP19" s="517"/>
    </row>
    <row s="3292" customFormat="1" customHeight="1" ht="12" hidden="1">
      <c r="L20" s="1451"/>
      <c r="M20" s="1392"/>
      <c r="N20" s="1392"/>
      <c r="O20" s="1394" t="s">
        <v>410</v>
      </c>
      <c r="P20" s="1392"/>
      <c r="Q20" s="1472"/>
      <c r="R20" s="1472"/>
      <c r="S20" s="735"/>
      <c r="T20" s="1168" t="s">
        <v>411</v>
      </c>
      <c r="Z20" s="172" t="s">
        <v>412</v>
      </c>
      <c r="AB20" s="172" t="s">
        <v>413</v>
      </c>
      <c r="AC20" s="1168" t="s">
        <v>411</v>
      </c>
      <c r="AG20" s="172" t="s">
        <v>414</v>
      </c>
      <c r="AI20" s="172" t="s">
        <v>413</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ЗАО "Байкалэнерго"</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305" customFormat="1" customHeight="1" ht="25.5">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Служба по тарифам Иркутской области</v>
      </c>
      <c r="W27" s="2100"/>
      <c r="X27" s="2100"/>
      <c r="Y27" s="2100"/>
      <c r="Z27" s="2100"/>
      <c r="AA27" s="2100"/>
      <c r="AB27" s="322"/>
      <c r="AC27" s="2100" t="str">
        <f>IF(TITLE_NAME_OR_PR_CHANGE="",IF(TITLE_NAME_OR_PR="","",TITLE_NAME_OR_PR),TITLE_NAME_OR_PR_CHANGE)</f>
        <v>Служба по тарифам Иркутской области</v>
      </c>
      <c r="AD27" s="2100"/>
      <c r="AE27" s="2100"/>
      <c r="AF27" s="2100"/>
      <c r="AG27" s="2100"/>
      <c r="AH27" s="2100"/>
      <c r="AI27" s="322"/>
      <c r="AJ27" s="322"/>
      <c r="AK27" s="268"/>
      <c r="AL27" s="368"/>
      <c r="AM27" s="368"/>
      <c r="AN27" s="368"/>
      <c r="AO27" s="368"/>
      <c r="AP27" s="368"/>
    </row>
    <row s="3305" customFormat="1" customHeight="1" ht="18.75">
      <c r="A28" s="1398"/>
      <c r="B28" s="1398"/>
      <c r="C28" s="1398"/>
      <c r="D28" s="1398"/>
      <c r="E28" s="1398"/>
      <c r="F28" s="1398"/>
      <c r="G28" s="1398"/>
      <c r="H28" s="1398"/>
      <c r="I28" s="1398"/>
      <c r="J28" s="1398"/>
      <c r="K28" s="1398"/>
      <c r="L28" s="1399"/>
      <c r="M28" s="1398"/>
      <c r="N28" s="1398"/>
      <c r="O28" s="1398"/>
      <c r="S28" s="2098" t="s">
        <v>415</v>
      </c>
      <c r="T28" s="2098"/>
      <c r="U28" s="1402"/>
      <c r="V28" s="2099" t="str">
        <f>IF(TITLE_DATE_PR_CHANGE="",IF(TITLE_DATE_PR="","",TITLE_DATE_PR),TITLE_DATE_PR_CHANGE)</f>
        <v>45280.56123842593</v>
      </c>
      <c r="W28" s="2099"/>
      <c r="X28" s="2099"/>
      <c r="Y28" s="2099"/>
      <c r="Z28" s="2099"/>
      <c r="AA28" s="2099"/>
      <c r="AB28" s="322"/>
      <c r="AC28" s="2099" t="str">
        <f>IF(TITLE_DATE_PR_CHANGE="",IF(TITLE_DATE_PR="","",TITLE_DATE_PR),TITLE_DATE_PR_CHANGE)</f>
        <v>45280.56123842593</v>
      </c>
      <c r="AD28" s="2099"/>
      <c r="AE28" s="2099"/>
      <c r="AF28" s="2099"/>
      <c r="AG28" s="2099"/>
      <c r="AH28" s="2099"/>
      <c r="AI28" s="322"/>
      <c r="AJ28" s="322"/>
      <c r="AK28" s="268"/>
      <c r="AL28" s="368"/>
      <c r="AM28" s="368"/>
      <c r="AN28" s="368"/>
      <c r="AO28" s="368"/>
      <c r="AP28" s="368"/>
    </row>
    <row s="3305" customFormat="1" customHeight="1" ht="18.75">
      <c r="A29" s="1398"/>
      <c r="B29" s="1398"/>
      <c r="C29" s="1398"/>
      <c r="D29" s="1398"/>
      <c r="E29" s="1398"/>
      <c r="F29" s="1398"/>
      <c r="G29" s="1398"/>
      <c r="H29" s="1398"/>
      <c r="I29" s="1398"/>
      <c r="J29" s="1398"/>
      <c r="K29" s="1398"/>
      <c r="L29" s="1399"/>
      <c r="M29" s="1398"/>
      <c r="N29" s="1398"/>
      <c r="O29" s="1398"/>
      <c r="S29" s="2098" t="s">
        <v>416</v>
      </c>
      <c r="T29" s="2098"/>
      <c r="U29" s="1402"/>
      <c r="V29" s="2100" t="str">
        <f>IF(TITLE_NUMBER_PR_CHANGE="",IF(TITLE_NUMBER_PR="","",TITLE_NUMBER_PR),TITLE_NUMBER_PR_CHANGE)</f>
        <v>79-477-спр</v>
      </c>
      <c r="W29" s="2100"/>
      <c r="X29" s="2100"/>
      <c r="Y29" s="2100"/>
      <c r="Z29" s="2100"/>
      <c r="AA29" s="2100"/>
      <c r="AB29" s="322"/>
      <c r="AC29" s="2100" t="str">
        <f>IF(TITLE_NUMBER_PR_CHANGE="",IF(TITLE_NUMBER_PR="","",TITLE_NUMBER_PR),TITLE_NUMBER_PR_CHANGE)</f>
        <v>79-477-спр</v>
      </c>
      <c r="AD29" s="2100"/>
      <c r="AE29" s="2100"/>
      <c r="AF29" s="2100"/>
      <c r="AG29" s="2100"/>
      <c r="AH29" s="2100"/>
      <c r="AI29" s="322"/>
      <c r="AJ29" s="322"/>
      <c r="AK29" s="268"/>
      <c r="AL29" s="368"/>
      <c r="AM29" s="368"/>
      <c r="AN29" s="368"/>
      <c r="AO29" s="368"/>
      <c r="AP29" s="368"/>
    </row>
    <row s="3305" customFormat="1" customHeight="1" ht="18.75">
      <c r="A30" s="1398"/>
      <c r="B30" s="1398"/>
      <c r="C30" s="1398"/>
      <c r="D30" s="1398"/>
      <c r="E30" s="1398"/>
      <c r="F30" s="1398"/>
      <c r="G30" s="1398"/>
      <c r="H30" s="1398"/>
      <c r="I30" s="1398"/>
      <c r="J30" s="1398"/>
      <c r="K30" s="1398"/>
      <c r="L30" s="1399"/>
      <c r="M30" s="1398"/>
      <c r="N30" s="1398"/>
      <c r="O30" s="1398"/>
      <c r="S30" s="2098" t="s">
        <v>40</v>
      </c>
      <c r="T30" s="2098"/>
      <c r="U30" s="1402"/>
      <c r="V30" s="2100" t="str">
        <f>IF(TITLE_IST_PUB_CHANGE="",IF(TITLE_IST_PUB="","",TITLE_IST_PUB),TITLE_IST_PUB_CHANGE)</f>
        <v>Официальный сайт службы по тарифам Иркутской области http://irkobl.ru</v>
      </c>
      <c r="W30" s="2100"/>
      <c r="X30" s="2100"/>
      <c r="Y30" s="2100"/>
      <c r="Z30" s="2100"/>
      <c r="AA30" s="2100"/>
      <c r="AB30" s="322"/>
      <c r="AC30" s="2100" t="str">
        <f>IF(TITLE_IST_PUB_CHANGE="",IF(TITLE_IST_PUB="","",TITLE_IST_PUB),TITLE_IST_PUB_CHANGE)</f>
        <v>Официальный сайт службы по тарифам Иркутской области http://irkobl.ru</v>
      </c>
      <c r="AD30" s="2100"/>
      <c r="AE30" s="2100"/>
      <c r="AF30" s="2100"/>
      <c r="AG30" s="2100"/>
      <c r="AH30" s="2100"/>
      <c r="AI30" s="322"/>
      <c r="AJ30" s="322"/>
      <c r="AK30" s="268"/>
      <c r="AL30" s="368"/>
      <c r="AM30" s="368"/>
      <c r="AN30" s="368"/>
      <c r="AO30" s="368"/>
      <c r="AP30" s="368"/>
    </row>
    <row customHeight="1" ht="14.25" hidden="1">
      <c r="Q31" s="377"/>
      <c r="R31" s="377"/>
      <c r="S31" s="1305"/>
      <c r="T31" s="361"/>
      <c r="U31" s="361"/>
      <c r="V31" s="316"/>
      <c r="W31" s="316"/>
      <c r="X31" s="316"/>
      <c r="Y31" s="316"/>
      <c r="Z31" s="316"/>
      <c r="AA31" s="316"/>
      <c r="AB31" s="316"/>
      <c r="AC31" s="316"/>
      <c r="AD31" s="316"/>
      <c r="AE31" s="316"/>
      <c r="AF31" s="316"/>
      <c r="AG31" s="316"/>
      <c r="AH31" s="316"/>
      <c r="AI31" s="316"/>
      <c r="AJ31" s="515"/>
    </row>
    <row s="3305" customFormat="1" customHeight="1" ht="18.75" hidden="1">
      <c r="A32" s="1398"/>
      <c r="B32" s="1398"/>
      <c r="C32" s="1398"/>
      <c r="D32" s="1398"/>
      <c r="E32" s="1398"/>
      <c r="F32" s="1398"/>
      <c r="G32" s="1398"/>
      <c r="H32" s="1398"/>
      <c r="I32" s="1398"/>
      <c r="J32" s="1398"/>
      <c r="K32" s="1398"/>
      <c r="L32" s="1399"/>
      <c r="M32" s="1398"/>
      <c r="N32" s="1398"/>
      <c r="O32" s="1398"/>
      <c r="S32" s="2098" t="s">
        <v>417</v>
      </c>
      <c r="T32" s="2098"/>
      <c r="U32" s="1402"/>
      <c r="V32" s="2099" t="str">
        <f>IF(TITLE_DATE_PR_CHANGE="",IF(TITLE_DATE_PR="","",TITLE_DATE_PR),TITLE_DATE_PR_CHANGE)</f>
        <v>45280.56123842593</v>
      </c>
      <c r="W32" s="2099"/>
      <c r="X32" s="2099"/>
      <c r="Y32" s="2099"/>
      <c r="Z32" s="2099"/>
      <c r="AA32" s="2099"/>
      <c r="AB32" s="322"/>
      <c r="AC32" s="2099" t="str">
        <f>IF(TITLE_DATE_PR_CHANGE="",IF(TITLE_DATE_PR="","",TITLE_DATE_PR),TITLE_DATE_PR_CHANGE)</f>
        <v>45280.56123842593</v>
      </c>
      <c r="AD32" s="2099"/>
      <c r="AE32" s="2099"/>
      <c r="AF32" s="2099"/>
      <c r="AG32" s="2099"/>
      <c r="AH32" s="2099"/>
      <c r="AI32" s="322"/>
      <c r="AJ32" s="322"/>
      <c r="AK32" s="268"/>
      <c r="AL32" s="368"/>
      <c r="AM32" s="368"/>
      <c r="AN32" s="368"/>
      <c r="AO32" s="368"/>
      <c r="AP32" s="368"/>
    </row>
    <row s="3305" customFormat="1" customHeight="1" ht="18.75" hidden="1">
      <c r="A33" s="1398"/>
      <c r="B33" s="1398"/>
      <c r="C33" s="1398"/>
      <c r="D33" s="1398"/>
      <c r="E33" s="1398"/>
      <c r="F33" s="1398"/>
      <c r="G33" s="1398"/>
      <c r="H33" s="1398"/>
      <c r="I33" s="1398"/>
      <c r="J33" s="1398"/>
      <c r="K33" s="1398"/>
      <c r="L33" s="1399"/>
      <c r="M33" s="1398"/>
      <c r="N33" s="1398"/>
      <c r="O33" s="1398"/>
      <c r="S33" s="2098" t="s">
        <v>418</v>
      </c>
      <c r="T33" s="2098"/>
      <c r="U33" s="1402"/>
      <c r="V33" s="2100" t="str">
        <f>IF(TITLE_NUMBER_PR_CHANGE="",IF(TITLE_NUMBER_PR="","",TITLE_NUMBER_PR),TITLE_NUMBER_PR_CHANGE)</f>
        <v>79-477-спр</v>
      </c>
      <c r="W33" s="2100"/>
      <c r="X33" s="2100"/>
      <c r="Y33" s="2100"/>
      <c r="Z33" s="2100"/>
      <c r="AA33" s="2100"/>
      <c r="AB33" s="322"/>
      <c r="AC33" s="2100" t="str">
        <f>IF(TITLE_NUMBER_PR_CHANGE="",IF(TITLE_NUMBER_PR="","",TITLE_NUMBER_PR),TITLE_NUMBER_PR_CHANGE)</f>
        <v>79-477-спр</v>
      </c>
      <c r="AD33" s="2100"/>
      <c r="AE33" s="2100"/>
      <c r="AF33" s="2100"/>
      <c r="AG33" s="2100"/>
      <c r="AH33" s="2100"/>
      <c r="AI33" s="322"/>
      <c r="AJ33" s="322"/>
      <c r="AK33" s="268"/>
      <c r="AL33" s="368"/>
      <c r="AM33" s="368"/>
      <c r="AN33" s="368"/>
      <c r="AO33" s="368"/>
      <c r="AP33" s="368"/>
    </row>
    <row s="3305" customFormat="1" customHeight="1" ht="0.75">
      <c r="A34" s="1398"/>
      <c r="B34" s="1398"/>
      <c r="C34" s="1398"/>
      <c r="D34" s="1398"/>
      <c r="E34" s="1398"/>
      <c r="F34" s="1398"/>
      <c r="G34" s="1398"/>
      <c r="H34" s="1398"/>
      <c r="I34" s="1398"/>
      <c r="J34" s="1398"/>
      <c r="K34" s="1398"/>
      <c r="L34" s="1399"/>
      <c r="M34" s="1398"/>
      <c r="N34" s="1398"/>
      <c r="O34" s="1398"/>
      <c r="S34" s="318"/>
      <c r="T34" s="318"/>
      <c r="U34" s="1385"/>
      <c r="V34" s="322"/>
      <c r="W34" s="322"/>
      <c r="X34" s="322"/>
      <c r="Y34" s="322"/>
      <c r="Z34" s="322"/>
      <c r="AA34" s="322"/>
      <c r="AB34" s="266" t="s">
        <v>419</v>
      </c>
      <c r="AC34" s="322"/>
      <c r="AD34" s="322"/>
      <c r="AE34" s="322"/>
      <c r="AF34" s="322"/>
      <c r="AG34" s="322"/>
      <c r="AH34" s="322"/>
      <c r="AI34" s="266" t="s">
        <v>419</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293</v>
      </c>
      <c r="T36" s="1971"/>
      <c r="U36" s="1971"/>
      <c r="V36" s="1971"/>
      <c r="W36" s="1971"/>
      <c r="X36" s="1971"/>
      <c r="Y36" s="1971"/>
      <c r="Z36" s="1971"/>
      <c r="AA36" s="1971"/>
      <c r="AB36" s="1971"/>
      <c r="AC36" s="1971"/>
      <c r="AD36" s="1971"/>
      <c r="AE36" s="1971"/>
      <c r="AF36" s="1971"/>
      <c r="AG36" s="1971"/>
      <c r="AH36" s="1971"/>
      <c r="AI36" s="1971"/>
      <c r="AJ36" s="1971"/>
      <c r="AK36" s="1971" t="s">
        <v>294</v>
      </c>
    </row>
    <row customHeight="1" ht="14.25">
      <c r="Q37" s="377"/>
      <c r="R37" s="377"/>
      <c r="S37" s="2125" t="s">
        <v>88</v>
      </c>
      <c r="T37" s="2062" t="s">
        <v>420</v>
      </c>
      <c r="U37" s="289"/>
      <c r="V37" s="2126" t="s">
        <v>421</v>
      </c>
      <c r="W37" s="2127"/>
      <c r="X37" s="2127"/>
      <c r="Y37" s="2127"/>
      <c r="Z37" s="2127"/>
      <c r="AA37" s="2128"/>
      <c r="AB37" s="2129" t="s">
        <v>422</v>
      </c>
      <c r="AC37" s="2126" t="s">
        <v>421</v>
      </c>
      <c r="AD37" s="2127"/>
      <c r="AE37" s="2127"/>
      <c r="AF37" s="2127"/>
      <c r="AG37" s="2127"/>
      <c r="AH37" s="2128"/>
      <c r="AI37" s="2129" t="s">
        <v>423</v>
      </c>
      <c r="AJ37" s="2132" t="s">
        <v>424</v>
      </c>
      <c r="AK37" s="1971"/>
    </row>
    <row customHeight="1" ht="33.75">
      <c r="Q38" s="377"/>
      <c r="R38" s="377"/>
      <c r="S38" s="2125"/>
      <c r="T38" s="2062"/>
      <c r="U38" s="1038"/>
      <c r="V38" s="1382" t="s">
        <v>485</v>
      </c>
      <c r="W38" s="2118" t="s">
        <v>427</v>
      </c>
      <c r="X38" s="2120"/>
      <c r="Y38" s="2118" t="s">
        <v>428</v>
      </c>
      <c r="Z38" s="2119"/>
      <c r="AA38" s="2120"/>
      <c r="AB38" s="2130"/>
      <c r="AC38" s="1382" t="s">
        <v>485</v>
      </c>
      <c r="AD38" s="2118" t="s">
        <v>427</v>
      </c>
      <c r="AE38" s="2120"/>
      <c r="AF38" s="2118" t="s">
        <v>428</v>
      </c>
      <c r="AG38" s="2119"/>
      <c r="AH38" s="2120"/>
      <c r="AI38" s="2130"/>
      <c r="AJ38" s="2133"/>
      <c r="AK38" s="1971"/>
    </row>
    <row customHeight="1" ht="33.75">
      <c r="A39" s="1400"/>
      <c r="B39" s="1400" t="s">
        <v>136</v>
      </c>
      <c r="C39" s="1400" t="s">
        <v>137</v>
      </c>
      <c r="D39" s="1400" t="s">
        <v>138</v>
      </c>
      <c r="E39" s="1394" t="s">
        <v>429</v>
      </c>
      <c r="F39" s="1394" t="s">
        <v>430</v>
      </c>
      <c r="G39" s="1394" t="s">
        <v>431</v>
      </c>
      <c r="H39" s="1394"/>
      <c r="I39" s="1394" t="s">
        <v>486</v>
      </c>
      <c r="J39" s="1394" t="s">
        <v>434</v>
      </c>
      <c r="K39" s="1394" t="s">
        <v>487</v>
      </c>
      <c r="L39" s="1394" t="s">
        <v>410</v>
      </c>
      <c r="Q39" s="377"/>
      <c r="R39" s="377"/>
      <c r="S39" s="2125"/>
      <c r="T39" s="2062"/>
      <c r="U39" s="290"/>
      <c r="V39" s="1382" t="s">
        <v>488</v>
      </c>
      <c r="W39" s="1237" t="s">
        <v>489</v>
      </c>
      <c r="X39" s="1237" t="s">
        <v>490</v>
      </c>
      <c r="Y39" s="1387" t="s">
        <v>438</v>
      </c>
      <c r="Z39" s="2121" t="s">
        <v>439</v>
      </c>
      <c r="AA39" s="2122"/>
      <c r="AB39" s="2131"/>
      <c r="AC39" s="1382" t="s">
        <v>488</v>
      </c>
      <c r="AD39" s="1237" t="s">
        <v>489</v>
      </c>
      <c r="AE39" s="1237" t="s">
        <v>490</v>
      </c>
      <c r="AF39" s="1387" t="s">
        <v>438</v>
      </c>
      <c r="AG39" s="2121" t="s">
        <v>439</v>
      </c>
      <c r="AH39" s="2122"/>
      <c r="AI39" s="2131"/>
      <c r="AJ39" s="2134"/>
      <c r="AK39" s="1971"/>
    </row>
    <row s="2610" customFormat="1" customHeight="1" ht="11.25" hidden="1">
      <c r="A40" s="1400"/>
      <c r="B40" s="1400"/>
      <c r="C40" s="1400"/>
      <c r="D40" s="1400"/>
      <c r="E40" s="1400"/>
      <c r="F40" s="1400"/>
      <c r="G40" s="1400"/>
      <c r="H40" s="1400"/>
      <c r="I40" s="1400"/>
      <c r="J40" s="1400"/>
      <c r="K40" s="1400"/>
      <c r="L40" s="1394"/>
      <c r="M40" s="1392"/>
      <c r="N40" s="1392"/>
      <c r="O40" s="1392"/>
      <c r="P40" s="1264"/>
      <c r="Q40" s="1265"/>
      <c r="R40" s="1280">
        <v>1</v>
      </c>
      <c r="S40" s="1307" t="s">
        <v>110</v>
      </c>
      <c r="T40" s="1281" t="s">
        <v>111</v>
      </c>
      <c r="U40" s="1263" t="str">
        <f>OFFSET(U40,0,-1)</f>
        <v>2</v>
      </c>
      <c r="V40" s="1383">
        <f>OFFSET(V40,0,-1)+1</f>
        <v>3</v>
      </c>
      <c r="W40" s="1383">
        <f>OFFSET(W40,0,-1)+1</f>
        <v>4</v>
      </c>
      <c r="X40" s="1383">
        <f>OFFSET(X40,0,-1)+1</f>
        <v>5</v>
      </c>
      <c r="Y40" s="1383">
        <f>OFFSET(Y40,0,-1)+1</f>
        <v>6</v>
      </c>
      <c r="Z40" s="2123">
        <f>OFFSET(Z40,0,-1)+1</f>
        <v>7</v>
      </c>
      <c r="AA40" s="2123"/>
      <c r="AB40" s="1383">
        <f>OFFSET(AB40,0,-2)+1</f>
        <v>8</v>
      </c>
      <c r="AC40" s="1383">
        <f>OFFSET(AC40,0,-1)+1</f>
        <v>9</v>
      </c>
      <c r="AD40" s="1383">
        <f>OFFSET(AD40,0,-1)+1</f>
        <v>10</v>
      </c>
      <c r="AE40" s="1383">
        <f>OFFSET(AE40,0,-1)+1</f>
        <v>11</v>
      </c>
      <c r="AF40" s="1383">
        <f>OFFSET(AF40,0,-1)+1</f>
        <v>12</v>
      </c>
      <c r="AG40" s="2123">
        <f>OFFSET(AG40,0,-1)+1</f>
        <v>13</v>
      </c>
      <c r="AH40" s="2123"/>
      <c r="AI40" s="1383">
        <f>OFFSET(AI40,0,-2)+1</f>
        <v>14</v>
      </c>
      <c r="AJ40" s="1263">
        <f>OFFSET(AJ40,0,-1)</f>
        <v>14</v>
      </c>
      <c r="AK40" s="1383">
        <f>OFFSET(AK40,0,-1)+1</f>
        <v>15</v>
      </c>
      <c r="AL40" s="517"/>
      <c r="AM40" s="517"/>
      <c r="AN40" s="517"/>
      <c r="AO40" s="517"/>
      <c r="AP40" s="517"/>
    </row>
    <row customHeight="1" ht="23.25">
      <c r="A41" s="1393" t="s">
        <v>219</v>
      </c>
      <c r="B41" s="1393"/>
      <c r="C41" s="1393"/>
      <c r="D41" s="1393"/>
      <c r="E41" s="2107">
        <v>1</v>
      </c>
      <c r="F41" s="1393"/>
      <c r="G41" s="1393"/>
      <c r="H41" s="1393"/>
      <c r="I41" s="1393"/>
      <c r="J41" s="1393"/>
      <c r="K41" s="1393"/>
      <c r="L41" s="1394"/>
      <c r="M41" s="1395"/>
      <c r="N41" s="1395"/>
      <c r="O41" s="1395"/>
      <c r="P41" s="357"/>
      <c r="Q41" s="356"/>
      <c r="R41" s="351"/>
      <c r="S41" s="1388">
        <f>INDEX(PT_DIFFERENTIATION_NUM_NTAR,MATCH(A41,PT_DIFFERENTIATION_NTAR_ID,0))</f>
        <v>0</v>
      </c>
      <c r="T41" s="286" t="s">
        <v>124</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219</v>
      </c>
      <c r="B42" s="1393" t="s">
        <v>220</v>
      </c>
      <c r="C42" s="1393"/>
      <c r="D42" s="1393"/>
      <c r="E42" s="2108"/>
      <c r="F42" s="2107">
        <v>1</v>
      </c>
      <c r="G42" s="1393"/>
      <c r="H42" s="1393"/>
      <c r="I42" s="1393"/>
      <c r="J42" s="1393"/>
      <c r="K42" s="1393"/>
      <c r="L42" s="1394"/>
      <c r="M42" s="1395"/>
      <c r="N42" s="1395"/>
      <c r="O42" s="1395"/>
      <c r="P42" s="1386"/>
      <c r="Q42" s="348"/>
      <c r="R42" s="349"/>
      <c r="S42" s="1388" t="str">
        <f>INDEX(PT_DIFFERENTIATION_NUM_TER,MATCH(B42,PT_DIFFERENTIATION_TER_ID,0))</f>
        <v>.</v>
      </c>
      <c r="T42" s="298" t="s">
        <v>392</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393</v>
      </c>
      <c r="AM42" s="506"/>
      <c r="AN42" s="506" t="str">
        <f>IF(T42="","",T42)</f>
        <v>Территория действия тарифа</v>
      </c>
      <c r="AO42" s="506"/>
      <c r="AP42" s="506"/>
    </row>
    <row customHeight="1" ht="23.25">
      <c r="A43" s="1393" t="s">
        <v>219</v>
      </c>
      <c r="B43" s="1393" t="s">
        <v>220</v>
      </c>
      <c r="C43" s="1393" t="s">
        <v>221</v>
      </c>
      <c r="D43" s="1393"/>
      <c r="E43" s="2108"/>
      <c r="F43" s="2108"/>
      <c r="G43" s="2107">
        <v>1</v>
      </c>
      <c r="H43" s="1393"/>
      <c r="I43" s="1393"/>
      <c r="J43" s="1393"/>
      <c r="K43" s="1393"/>
      <c r="L43" s="1394"/>
      <c r="M43" s="1395"/>
      <c r="N43" s="1395"/>
      <c r="O43" s="1395"/>
      <c r="P43" s="350"/>
      <c r="Q43" s="348"/>
      <c r="R43" s="349"/>
      <c r="S43" s="1388" t="str">
        <f>INDEX(PT_DIFFERENTIATION_NUM_CS,MATCH(C43,PT_DIFFERENTIATION_CS_ID,0))</f>
        <v>..</v>
      </c>
      <c r="T43" s="299" t="s">
        <v>477</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478</v>
      </c>
      <c r="AM43" s="506"/>
      <c r="AN43" s="506" t="str">
        <f>IF(T43="","",T43)</f>
        <v>Наименование централизованной системы холодного водоснабжения</v>
      </c>
      <c r="AO43" s="506"/>
      <c r="AP43" s="506"/>
    </row>
    <row customHeight="1" ht="23.25">
      <c r="A44" s="1393" t="s">
        <v>219</v>
      </c>
      <c r="B44" s="1393" t="s">
        <v>220</v>
      </c>
      <c r="C44" s="1393" t="s">
        <v>221</v>
      </c>
      <c r="D44" s="1393" t="s">
        <v>491</v>
      </c>
      <c r="E44" s="2108"/>
      <c r="F44" s="2108"/>
      <c r="G44" s="2108"/>
      <c r="H44" s="2108"/>
      <c r="I44" s="2109" t="str">
        <f>S43&amp;".1"</f>
        <v>...1</v>
      </c>
      <c r="J44" s="1393"/>
      <c r="K44" s="1393"/>
      <c r="L44" s="1394"/>
      <c r="P44" s="2111">
        <v>1</v>
      </c>
      <c r="Q44" s="1384"/>
      <c r="R44" s="352"/>
      <c r="S44" s="1388" t="str">
        <f>$I44</f>
        <v>...1</v>
      </c>
      <c r="T44" s="273" t="s">
        <v>479</v>
      </c>
      <c r="U44" s="288"/>
      <c r="V44" s="2194"/>
      <c r="W44" s="2195"/>
      <c r="X44" s="2195"/>
      <c r="Y44" s="2195"/>
      <c r="Z44" s="2195"/>
      <c r="AA44" s="2195"/>
      <c r="AB44" s="2196"/>
      <c r="AC44" s="2197"/>
      <c r="AD44" s="2198"/>
      <c r="AE44" s="2198"/>
      <c r="AF44" s="2198"/>
      <c r="AG44" s="2198"/>
      <c r="AH44" s="2198"/>
      <c r="AI44" s="2198"/>
      <c r="AJ44" s="2199"/>
      <c r="AK44" s="1286" t="s">
        <v>480</v>
      </c>
      <c r="AM44" s="506"/>
      <c r="AN44" s="506" t="str">
        <f>IF(T44="","",T44)</f>
        <v>Наименование признака дифференциации</v>
      </c>
      <c r="AO44" s="506"/>
      <c r="AP44" s="506"/>
    </row>
    <row customHeight="1" ht="23.25">
      <c r="A45" s="1393" t="s">
        <v>219</v>
      </c>
      <c r="B45" s="1393" t="s">
        <v>220</v>
      </c>
      <c r="C45" s="1393" t="s">
        <v>221</v>
      </c>
      <c r="D45" s="1393" t="s">
        <v>491</v>
      </c>
      <c r="E45" s="2108"/>
      <c r="F45" s="2108"/>
      <c r="G45" s="2108"/>
      <c r="H45" s="2108"/>
      <c r="I45" s="2110"/>
      <c r="J45" s="2109" t="str">
        <f>I44&amp;".1"</f>
        <v>...1.1</v>
      </c>
      <c r="K45" s="1393"/>
      <c r="L45" s="1394" t="s">
        <v>401</v>
      </c>
      <c r="P45" s="2111"/>
      <c r="Q45" s="2111">
        <v>1</v>
      </c>
      <c r="R45" s="353"/>
      <c r="S45" s="1388" t="str">
        <f>$J45</f>
        <v>...1.1</v>
      </c>
      <c r="T45" s="274" t="s">
        <v>402</v>
      </c>
      <c r="U45" s="288"/>
      <c r="V45" s="2095"/>
      <c r="W45" s="2096"/>
      <c r="X45" s="2096"/>
      <c r="Y45" s="2096"/>
      <c r="Z45" s="2096"/>
      <c r="AA45" s="2096"/>
      <c r="AB45" s="2097"/>
      <c r="AC45" s="2095"/>
      <c r="AD45" s="2096"/>
      <c r="AE45" s="2096"/>
      <c r="AF45" s="2096"/>
      <c r="AG45" s="2096"/>
      <c r="AH45" s="2096"/>
      <c r="AI45" s="2096"/>
      <c r="AJ45" s="2097"/>
      <c r="AK45" s="1337" t="s">
        <v>481</v>
      </c>
      <c r="AM45" s="506"/>
      <c r="AN45" s="506" t="str">
        <f>IF(T45="","",T45)</f>
        <v>Группа потребителей</v>
      </c>
      <c r="AO45" s="506"/>
      <c r="AP45" s="506"/>
    </row>
    <row customHeight="1" ht="23.25">
      <c r="A46" s="1393" t="s">
        <v>219</v>
      </c>
      <c r="B46" s="1393" t="s">
        <v>220</v>
      </c>
      <c r="C46" s="1393" t="s">
        <v>221</v>
      </c>
      <c r="D46" s="1393" t="s">
        <v>491</v>
      </c>
      <c r="E46" s="2108"/>
      <c r="F46" s="2108"/>
      <c r="G46" s="2108"/>
      <c r="H46" s="2108"/>
      <c r="I46" s="2110"/>
      <c r="J46" s="2110"/>
      <c r="K46" s="2109" t="str">
        <f>J45&amp;".1"</f>
        <v>...1.1.1</v>
      </c>
      <c r="L46" s="1394"/>
      <c r="P46" s="2111"/>
      <c r="Q46" s="2111"/>
      <c r="R46" s="353">
        <v>1</v>
      </c>
      <c r="S46" s="1388" t="str">
        <f>$K46</f>
        <v>...1.1.1</v>
      </c>
      <c r="T46" s="1467"/>
      <c r="U46" s="288"/>
      <c r="V46" s="1390"/>
      <c r="W46" s="1390"/>
      <c r="X46" s="1391"/>
      <c r="Y46" s="2105"/>
      <c r="Z46" s="2104" t="s">
        <v>62</v>
      </c>
      <c r="AA46" s="2105"/>
      <c r="AB46" s="2104" t="s">
        <v>62</v>
      </c>
      <c r="AC46" s="757"/>
      <c r="AD46" s="757"/>
      <c r="AE46" s="1285"/>
      <c r="AF46" s="2112"/>
      <c r="AG46" s="1981" t="s">
        <v>62</v>
      </c>
      <c r="AH46" s="2114"/>
      <c r="AI46" s="1981" t="s">
        <v>57</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219</v>
      </c>
      <c r="B47" s="1393" t="s">
        <v>220</v>
      </c>
      <c r="C47" s="1393" t="s">
        <v>221</v>
      </c>
      <c r="D47" s="1393" t="s">
        <v>491</v>
      </c>
      <c r="E47" s="2108"/>
      <c r="F47" s="2108"/>
      <c r="G47" s="2108"/>
      <c r="H47" s="2108"/>
      <c r="I47" s="2110"/>
      <c r="J47" s="2110"/>
      <c r="K47" s="2109"/>
      <c r="L47" s="1394"/>
      <c r="P47" s="2111"/>
      <c r="Q47" s="2111"/>
      <c r="R47" s="353"/>
      <c r="S47" s="1389"/>
      <c r="T47" s="288"/>
      <c r="U47" s="288"/>
      <c r="V47" s="1390"/>
      <c r="W47" s="1390"/>
      <c r="X47" s="324" t="str">
        <f>Y46&amp;"-"&amp;AA46</f>
        <v>-</v>
      </c>
      <c r="Y47" s="2104"/>
      <c r="Z47" s="2104"/>
      <c r="AA47" s="2104"/>
      <c r="AB47" s="2104"/>
      <c r="AC47" s="320"/>
      <c r="AD47" s="320"/>
      <c r="AE47" s="324" t="str">
        <f>AF46&amp;"-"&amp;AH46</f>
        <v>-</v>
      </c>
      <c r="AF47" s="2113"/>
      <c r="AG47" s="1981"/>
      <c r="AH47" s="2115"/>
      <c r="AI47" s="1981"/>
      <c r="AJ47" s="1469"/>
      <c r="AK47" s="2200"/>
      <c r="AM47" s="506"/>
      <c r="AN47" s="506" t="str">
        <f>IF(T47="","",T47)</f>
        <v/>
      </c>
      <c r="AO47" s="506"/>
      <c r="AP47" s="506"/>
    </row>
    <row customHeight="1" ht="21">
      <c r="A48" s="1393" t="s">
        <v>219</v>
      </c>
      <c r="B48" s="1393" t="s">
        <v>220</v>
      </c>
      <c r="C48" s="1393" t="s">
        <v>221</v>
      </c>
      <c r="D48" s="1393" t="s">
        <v>491</v>
      </c>
      <c r="E48" s="2108"/>
      <c r="F48" s="2108"/>
      <c r="G48" s="2108"/>
      <c r="H48" s="2108"/>
      <c r="I48" s="2110"/>
      <c r="J48" s="2109"/>
      <c r="K48" s="1393"/>
      <c r="L48" s="1394"/>
      <c r="P48" s="2111"/>
      <c r="Q48" s="2111"/>
      <c r="R48" s="352"/>
      <c r="S48" s="1308"/>
      <c r="T48" s="275" t="s">
        <v>482</v>
      </c>
      <c r="U48" s="367"/>
      <c r="V48" s="367"/>
      <c r="W48" s="367"/>
      <c r="X48" s="367"/>
      <c r="Y48" s="367"/>
      <c r="Z48" s="367"/>
      <c r="AA48" s="367"/>
      <c r="AB48" s="367"/>
      <c r="AC48" s="367"/>
      <c r="AD48" s="367"/>
      <c r="AE48" s="367"/>
      <c r="AF48" s="367"/>
      <c r="AG48" s="367"/>
      <c r="AH48" s="367"/>
      <c r="AI48" s="367"/>
      <c r="AJ48" s="367"/>
      <c r="AK48" s="1286" t="s">
        <v>483</v>
      </c>
      <c r="AM48" s="506"/>
      <c r="AN48" s="506" t="str">
        <f>IF(T48="","",T48)</f>
        <v>Добавить значение признака дифференциации</v>
      </c>
      <c r="AO48" s="506"/>
      <c r="AP48" s="506"/>
    </row>
    <row customHeight="1" ht="21">
      <c r="A49" s="1393" t="s">
        <v>219</v>
      </c>
      <c r="B49" s="1393" t="s">
        <v>220</v>
      </c>
      <c r="C49" s="1393" t="s">
        <v>221</v>
      </c>
      <c r="D49" s="1393" t="s">
        <v>491</v>
      </c>
      <c r="E49" s="2108"/>
      <c r="F49" s="2108"/>
      <c r="G49" s="2108"/>
      <c r="H49" s="2108"/>
      <c r="I49" s="2109"/>
      <c r="J49" s="1393"/>
      <c r="K49" s="1393"/>
      <c r="L49" s="1394"/>
      <c r="P49" s="2111"/>
      <c r="Q49" s="1384"/>
      <c r="R49" s="352"/>
      <c r="S49" s="1308"/>
      <c r="T49" s="364" t="s">
        <v>407</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219</v>
      </c>
      <c r="B50" s="1393" t="s">
        <v>220</v>
      </c>
      <c r="C50" s="1393" t="s">
        <v>221</v>
      </c>
      <c r="D50" s="1393" t="s">
        <v>491</v>
      </c>
      <c r="E50" s="2108"/>
      <c r="F50" s="2108"/>
      <c r="G50" s="2108"/>
      <c r="H50" s="2107"/>
      <c r="I50" s="1393"/>
      <c r="J50" s="1393"/>
      <c r="K50" s="1393"/>
      <c r="L50" s="1394"/>
      <c r="M50" s="1395"/>
      <c r="N50" s="1395"/>
      <c r="O50" s="543"/>
      <c r="P50" s="356"/>
      <c r="Q50" s="376"/>
      <c r="R50" s="351"/>
      <c r="S50" s="1308"/>
      <c r="T50" s="372" t="s">
        <v>484</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73" customFormat="1" customHeight="1" ht="0">
      <c r="A51" s="1373" t="s">
        <v>219</v>
      </c>
      <c r="B51" s="1373" t="s">
        <v>220</v>
      </c>
      <c r="C51" s="1344"/>
      <c r="D51" s="1344"/>
      <c r="E51" s="2108"/>
      <c r="F51" s="2107"/>
      <c r="G51" s="1344"/>
      <c r="H51" s="1344"/>
      <c r="I51" s="1344"/>
      <c r="J51" s="1344"/>
      <c r="K51" s="1344"/>
      <c r="L51" s="1456"/>
      <c r="M51" s="1351"/>
      <c r="N51" s="1351"/>
      <c r="P51" s="1346"/>
      <c r="Q51" s="1347"/>
      <c r="R51" s="1346"/>
      <c r="S51" s="1352"/>
      <c r="T51" s="1355" t="s">
        <v>182</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1" customFormat="1" customHeight="1" ht="0">
      <c r="A52" s="1373" t="s">
        <v>219</v>
      </c>
      <c r="B52" s="1373"/>
      <c r="C52" s="1373"/>
      <c r="D52" s="1373"/>
      <c r="E52" s="2107"/>
      <c r="F52" s="1373"/>
      <c r="G52" s="1373"/>
      <c r="H52" s="1373"/>
      <c r="I52" s="1373"/>
      <c r="J52" s="1373"/>
      <c r="K52" s="1373"/>
      <c r="L52" s="1376"/>
      <c r="M52" s="1351"/>
      <c r="N52" s="1351"/>
      <c r="O52" s="524"/>
      <c r="P52" s="385"/>
      <c r="Q52" s="1374"/>
      <c r="R52" s="385"/>
      <c r="S52" s="1352"/>
      <c r="T52" s="1355" t="s">
        <v>183</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73" customFormat="1" customHeight="1" ht="0">
      <c r="A53" s="1344"/>
      <c r="B53" s="1344"/>
      <c r="C53" s="1344"/>
      <c r="D53" s="1344"/>
      <c r="E53" s="1373"/>
      <c r="F53" s="1344"/>
      <c r="G53" s="1344"/>
      <c r="H53" s="1344"/>
      <c r="I53" s="1344"/>
      <c r="J53" s="1344"/>
      <c r="K53" s="1344"/>
      <c r="L53" s="1456"/>
      <c r="M53" s="1351"/>
      <c r="N53" s="1351"/>
      <c r="P53" s="1346"/>
      <c r="Q53" s="1347"/>
      <c r="R53" s="1346"/>
      <c r="S53" s="1352"/>
      <c r="T53" s="1355" t="s">
        <v>184</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62C18F2-F2C6-F3A8-B231-BF39603B3341}"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92" width="10.57421875" hidden="1"/>
    <col min="2" max="2" style="3292" width="11.00390625" hidden="1" customWidth="1"/>
    <col min="3" max="3" style="3292" width="10.57421875" hidden="1"/>
    <col min="4" max="4" style="3292" width="11.8515625" hidden="1" customWidth="1"/>
    <col min="5" max="5" style="3292" width="10.00390625" hidden="1" customWidth="1"/>
    <col min="6" max="6" style="3292" width="8.7109375" hidden="1" customWidth="1"/>
    <col min="7" max="7" style="3292" width="7.57421875" hidden="1" customWidth="1"/>
    <col min="8" max="8" style="3292" width="11.421875" hidden="1" customWidth="1"/>
    <col min="9" max="9" style="3292" width="14.140625" hidden="1" customWidth="1"/>
    <col min="10" max="10" style="3292" width="9.8515625" hidden="1" customWidth="1"/>
    <col min="11" max="11" style="3292" width="14.7109375" hidden="1" customWidth="1"/>
    <col min="12" max="12" style="3790" width="19.140625" hidden="1" customWidth="1"/>
    <col min="13" max="14" style="3294" width="12.28125" hidden="1" customWidth="1"/>
    <col min="15" max="15" style="3294" width="23.421875" hidden="1" customWidth="1"/>
    <col min="16" max="16" style="3795" width="3.7109375" customWidth="1"/>
    <col min="17" max="18" style="3371" width="3.7109375" customWidth="1"/>
    <col min="19" max="19" style="3372" width="12.7109375" customWidth="1"/>
    <col min="20" max="20" style="2939" width="35.7109375" customWidth="1"/>
    <col min="21" max="21" style="2939" width="0.140625" customWidth="1"/>
    <col min="22" max="24" style="2939" width="24.7109375" hidden="1" customWidth="1"/>
    <col min="25" max="25" style="2939" width="11.7109375" hidden="1" customWidth="1"/>
    <col min="26" max="26" style="2939" width="3.7109375" hidden="1" customWidth="1"/>
    <col min="27" max="27" style="2939" width="11.7109375" hidden="1" customWidth="1"/>
    <col min="28" max="28" style="2939" width="8.57421875" hidden="1" customWidth="1"/>
    <col min="29" max="31" style="2939" width="24.7109375" customWidth="1"/>
    <col min="32" max="32" style="2939" width="11.7109375" customWidth="1"/>
    <col min="33" max="33" style="2939" width="3.7109375" customWidth="1"/>
    <col min="34" max="34" style="2939" width="11.7109375" customWidth="1"/>
    <col min="35" max="35" style="2939" width="8.57421875" hidden="1" customWidth="1"/>
    <col min="36" max="36" style="2939" width="4.7109375" customWidth="1"/>
    <col min="37" max="37" style="2939" width="115.7109375" customWidth="1"/>
    <col min="38" max="39" style="2611" width="10.57421875"/>
    <col min="40" max="40" style="2611" width="11.140625" customWidth="1"/>
    <col min="41" max="42" style="2611"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487">
        <f>INDEX(PT_DIFFERENTIATION_NUM_NTAR,MATCH(A2,PT_DIFFERENTIATION_NTAR_ID,0))</f>
      </c>
      <c r="T2" s="286" t="s">
        <v>124</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483"/>
      <c r="Q3" s="348"/>
      <c r="R3" s="349"/>
      <c r="S3" s="1487">
        <f>INDEX(PT_DIFFERENTIATION_NUM_TER,MATCH(B3,PT_DIFFERENTIATION_TER_ID,0))</f>
      </c>
      <c r="T3" s="298" t="s">
        <v>392</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393</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487">
        <f>INDEX(PT_DIFFERENTIATION_NUM_CS,MATCH(C4,PT_DIFFERENTIATION_CS_ID,0))</f>
      </c>
      <c r="T4" s="299" t="s">
        <v>477</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478</v>
      </c>
      <c r="AM4" s="506"/>
      <c r="AN4" s="506" t="str">
        <f>IF(T4="","",T4)</f>
        <v>Наименование централизованной системы холодного водоснабжения</v>
      </c>
      <c r="AO4" s="506"/>
      <c r="AP4" s="506"/>
    </row>
    <row customHeight="1" ht="23.25" hidden="1">
      <c r="A5" s="1393"/>
      <c r="B5" s="1393"/>
      <c r="C5" s="1393"/>
      <c r="D5" s="1393"/>
      <c r="E5" s="2108"/>
      <c r="F5" s="2108"/>
      <c r="G5" s="2108"/>
      <c r="H5" s="2108"/>
      <c r="I5" s="2109">
        <f>S4&amp;".1"</f>
      </c>
      <c r="J5" s="1393"/>
      <c r="K5" s="1393"/>
      <c r="L5" s="1394"/>
      <c r="P5" s="2111">
        <v>1</v>
      </c>
      <c r="Q5" s="1480"/>
      <c r="R5" s="352"/>
      <c r="S5" s="1487">
        <f>$I5</f>
      </c>
      <c r="T5" s="273" t="s">
        <v>479</v>
      </c>
      <c r="U5" s="288"/>
      <c r="V5" s="2194"/>
      <c r="W5" s="2195"/>
      <c r="X5" s="2195"/>
      <c r="Y5" s="2195"/>
      <c r="Z5" s="2195"/>
      <c r="AA5" s="2195"/>
      <c r="AB5" s="2196"/>
      <c r="AC5" s="2197"/>
      <c r="AD5" s="2198"/>
      <c r="AE5" s="2198"/>
      <c r="AF5" s="2198"/>
      <c r="AG5" s="2198"/>
      <c r="AH5" s="2198"/>
      <c r="AI5" s="2198"/>
      <c r="AJ5" s="2199"/>
      <c r="AK5" s="1286" t="s">
        <v>480</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401</v>
      </c>
      <c r="P6" s="2111"/>
      <c r="Q6" s="2111">
        <v>1</v>
      </c>
      <c r="R6" s="353"/>
      <c r="S6" s="1487">
        <f>$J6</f>
      </c>
      <c r="T6" s="274" t="s">
        <v>402</v>
      </c>
      <c r="U6" s="288"/>
      <c r="V6" s="2095"/>
      <c r="W6" s="2096"/>
      <c r="X6" s="2096"/>
      <c r="Y6" s="2096"/>
      <c r="Z6" s="2096"/>
      <c r="AA6" s="2096"/>
      <c r="AB6" s="2097"/>
      <c r="AC6" s="2095"/>
      <c r="AD6" s="2096"/>
      <c r="AE6" s="2096"/>
      <c r="AF6" s="2096"/>
      <c r="AG6" s="2096"/>
      <c r="AH6" s="2096"/>
      <c r="AI6" s="2096"/>
      <c r="AJ6" s="2097"/>
      <c r="AK6" s="1337" t="s">
        <v>481</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487">
        <f>$K7</f>
      </c>
      <c r="T7" s="1467"/>
      <c r="U7" s="288"/>
      <c r="V7" s="757"/>
      <c r="W7" s="757"/>
      <c r="X7" s="1285"/>
      <c r="Y7" s="2112"/>
      <c r="Z7" s="1981" t="s">
        <v>62</v>
      </c>
      <c r="AA7" s="2112"/>
      <c r="AB7" s="1981" t="s">
        <v>62</v>
      </c>
      <c r="AC7" s="757"/>
      <c r="AD7" s="757"/>
      <c r="AE7" s="1285"/>
      <c r="AF7" s="2112"/>
      <c r="AG7" s="1981" t="s">
        <v>62</v>
      </c>
      <c r="AH7" s="2114"/>
      <c r="AI7" s="1981" t="s">
        <v>62</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486"/>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482</v>
      </c>
      <c r="U9" s="367"/>
      <c r="V9" s="367"/>
      <c r="W9" s="367"/>
      <c r="X9" s="367"/>
      <c r="Y9" s="367"/>
      <c r="Z9" s="367"/>
      <c r="AA9" s="367"/>
      <c r="AB9" s="367"/>
      <c r="AC9" s="367"/>
      <c r="AD9" s="367"/>
      <c r="AE9" s="367"/>
      <c r="AF9" s="367"/>
      <c r="AG9" s="367"/>
      <c r="AH9" s="367"/>
      <c r="AI9" s="367"/>
      <c r="AJ9" s="367"/>
      <c r="AK9" s="1286" t="s">
        <v>483</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480"/>
      <c r="R10" s="352"/>
      <c r="S10" s="1308"/>
      <c r="T10" s="364" t="s">
        <v>407</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484</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73" customFormat="1" customHeight="1" ht="14.25" hidden="1">
      <c r="A12" s="1373"/>
      <c r="B12" s="1373"/>
      <c r="C12" s="1344"/>
      <c r="D12" s="1344"/>
      <c r="E12" s="2108"/>
      <c r="F12" s="2107"/>
      <c r="G12" s="1344"/>
      <c r="H12" s="1344"/>
      <c r="I12" s="1344"/>
      <c r="J12" s="1344"/>
      <c r="K12" s="1344"/>
      <c r="L12" s="1488"/>
      <c r="M12" s="1351"/>
      <c r="N12" s="1351"/>
      <c r="P12" s="1346"/>
      <c r="Q12" s="1347"/>
      <c r="R12" s="1346"/>
      <c r="S12" s="1352"/>
      <c r="T12" s="1355" t="s">
        <v>182</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1"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183</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62</v>
      </c>
      <c r="AH15" s="2105"/>
      <c r="AI15" s="2104" t="s">
        <v>62</v>
      </c>
    </row>
    <row customHeight="1" ht="14.25" hidden="1">
      <c r="AC16" s="1390"/>
      <c r="AD16" s="1390"/>
      <c r="AE16" s="324" t="str">
        <f>AF15&amp;"-"&amp;AH15</f>
        <v>-</v>
      </c>
      <c r="AF16" s="2104"/>
      <c r="AG16" s="2104"/>
      <c r="AH16" s="2104"/>
      <c r="AI16" s="2104"/>
    </row>
    <row customHeight="1" ht="14.25" hidden="1">
      <c r="AI17" s="323"/>
    </row>
    <row s="3292" customFormat="1" customHeight="1" ht="22.5" hidden="1">
      <c r="L18" s="1477"/>
      <c r="M18" s="1392"/>
      <c r="N18" s="1392"/>
      <c r="O18" s="1397" t="s">
        <v>409</v>
      </c>
      <c r="P18" s="1392"/>
      <c r="Q18" s="1401"/>
      <c r="R18" s="1401"/>
      <c r="S18" s="735"/>
      <c r="Y18" s="1397"/>
      <c r="AA18" s="1397"/>
      <c r="AB18" s="1396"/>
      <c r="AF18" s="1397"/>
      <c r="AH18" s="1397"/>
      <c r="AI18" s="1396"/>
      <c r="AL18" s="517"/>
      <c r="AM18" s="517"/>
      <c r="AN18" s="517"/>
      <c r="AO18" s="517"/>
      <c r="AP18" s="517"/>
    </row>
    <row s="3292" customFormat="1" customHeight="1" ht="14.25" hidden="1">
      <c r="L19" s="1477"/>
      <c r="M19" s="1392"/>
      <c r="N19" s="1392"/>
      <c r="O19" s="1392"/>
      <c r="P19" s="1392"/>
      <c r="Q19" s="1401"/>
      <c r="R19" s="1401"/>
      <c r="S19" s="735"/>
      <c r="AB19" s="1396"/>
      <c r="AI19" s="1396"/>
      <c r="AL19" s="517"/>
      <c r="AM19" s="517"/>
      <c r="AN19" s="517"/>
      <c r="AO19" s="517"/>
      <c r="AP19" s="517"/>
    </row>
    <row s="3292" customFormat="1" customHeight="1" ht="12" hidden="1">
      <c r="L20" s="1477"/>
      <c r="M20" s="1392"/>
      <c r="N20" s="1392"/>
      <c r="O20" s="1394" t="s">
        <v>410</v>
      </c>
      <c r="P20" s="1392"/>
      <c r="Q20" s="1472"/>
      <c r="R20" s="1472"/>
      <c r="S20" s="735"/>
      <c r="T20" s="1168" t="s">
        <v>411</v>
      </c>
      <c r="Z20" s="172" t="s">
        <v>412</v>
      </c>
      <c r="AB20" s="172" t="s">
        <v>413</v>
      </c>
      <c r="AC20" s="1168" t="s">
        <v>411</v>
      </c>
      <c r="AG20" s="172" t="s">
        <v>414</v>
      </c>
      <c r="AI20" s="172" t="s">
        <v>413</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ЗАО "Байкалэнерго"</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305" customFormat="1" customHeight="1" ht="25.5">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Служба по тарифам Иркутской области</v>
      </c>
      <c r="W27" s="2100"/>
      <c r="X27" s="2100"/>
      <c r="Y27" s="2100"/>
      <c r="Z27" s="2100"/>
      <c r="AA27" s="2100"/>
      <c r="AB27" s="322"/>
      <c r="AC27" s="2100" t="str">
        <f>IF(TITLE_NAME_OR_PR_CHANGE="",IF(TITLE_NAME_OR_PR="","",TITLE_NAME_OR_PR),TITLE_NAME_OR_PR_CHANGE)</f>
        <v>Служба по тарифам Иркутской области</v>
      </c>
      <c r="AD27" s="2100"/>
      <c r="AE27" s="2100"/>
      <c r="AF27" s="2100"/>
      <c r="AG27" s="2100"/>
      <c r="AH27" s="2100"/>
      <c r="AI27" s="322"/>
      <c r="AJ27" s="322"/>
      <c r="AK27" s="268"/>
      <c r="AL27" s="368"/>
      <c r="AM27" s="368"/>
      <c r="AN27" s="368"/>
      <c r="AO27" s="368"/>
      <c r="AP27" s="368"/>
    </row>
    <row s="3305" customFormat="1" customHeight="1" ht="18.75">
      <c r="A28" s="1398"/>
      <c r="B28" s="1398"/>
      <c r="C28" s="1398"/>
      <c r="D28" s="1398"/>
      <c r="E28" s="1398"/>
      <c r="F28" s="1398"/>
      <c r="G28" s="1398"/>
      <c r="H28" s="1398"/>
      <c r="I28" s="1398"/>
      <c r="J28" s="1398"/>
      <c r="K28" s="1398"/>
      <c r="L28" s="1399"/>
      <c r="M28" s="1398"/>
      <c r="N28" s="1398"/>
      <c r="O28" s="1398"/>
      <c r="S28" s="2098" t="s">
        <v>415</v>
      </c>
      <c r="T28" s="2098"/>
      <c r="U28" s="1402"/>
      <c r="V28" s="2099" t="str">
        <f>IF(TITLE_DATE_PR_CHANGE="",IF(TITLE_DATE_PR="","",TITLE_DATE_PR),TITLE_DATE_PR_CHANGE)</f>
        <v>45280.56123842593</v>
      </c>
      <c r="W28" s="2099"/>
      <c r="X28" s="2099"/>
      <c r="Y28" s="2099"/>
      <c r="Z28" s="2099"/>
      <c r="AA28" s="2099"/>
      <c r="AB28" s="322"/>
      <c r="AC28" s="2099" t="str">
        <f>IF(TITLE_DATE_PR_CHANGE="",IF(TITLE_DATE_PR="","",TITLE_DATE_PR),TITLE_DATE_PR_CHANGE)</f>
        <v>45280.56123842593</v>
      </c>
      <c r="AD28" s="2099"/>
      <c r="AE28" s="2099"/>
      <c r="AF28" s="2099"/>
      <c r="AG28" s="2099"/>
      <c r="AH28" s="2099"/>
      <c r="AI28" s="322"/>
      <c r="AJ28" s="322"/>
      <c r="AK28" s="268"/>
      <c r="AL28" s="368"/>
      <c r="AM28" s="368"/>
      <c r="AN28" s="368"/>
      <c r="AO28" s="368"/>
      <c r="AP28" s="368"/>
    </row>
    <row s="3305" customFormat="1" customHeight="1" ht="18.75">
      <c r="A29" s="1398"/>
      <c r="B29" s="1398"/>
      <c r="C29" s="1398"/>
      <c r="D29" s="1398"/>
      <c r="E29" s="1398"/>
      <c r="F29" s="1398"/>
      <c r="G29" s="1398"/>
      <c r="H29" s="1398"/>
      <c r="I29" s="1398"/>
      <c r="J29" s="1398"/>
      <c r="K29" s="1398"/>
      <c r="L29" s="1399"/>
      <c r="M29" s="1398"/>
      <c r="N29" s="1398"/>
      <c r="O29" s="1398"/>
      <c r="S29" s="2098" t="s">
        <v>416</v>
      </c>
      <c r="T29" s="2098"/>
      <c r="U29" s="1402"/>
      <c r="V29" s="2100" t="str">
        <f>IF(TITLE_NUMBER_PR_CHANGE="",IF(TITLE_NUMBER_PR="","",TITLE_NUMBER_PR),TITLE_NUMBER_PR_CHANGE)</f>
        <v>79-477-спр</v>
      </c>
      <c r="W29" s="2100"/>
      <c r="X29" s="2100"/>
      <c r="Y29" s="2100"/>
      <c r="Z29" s="2100"/>
      <c r="AA29" s="2100"/>
      <c r="AB29" s="322"/>
      <c r="AC29" s="2100" t="str">
        <f>IF(TITLE_NUMBER_PR_CHANGE="",IF(TITLE_NUMBER_PR="","",TITLE_NUMBER_PR),TITLE_NUMBER_PR_CHANGE)</f>
        <v>79-477-спр</v>
      </c>
      <c r="AD29" s="2100"/>
      <c r="AE29" s="2100"/>
      <c r="AF29" s="2100"/>
      <c r="AG29" s="2100"/>
      <c r="AH29" s="2100"/>
      <c r="AI29" s="322"/>
      <c r="AJ29" s="322"/>
      <c r="AK29" s="268"/>
      <c r="AL29" s="368"/>
      <c r="AM29" s="368"/>
      <c r="AN29" s="368"/>
      <c r="AO29" s="368"/>
      <c r="AP29" s="368"/>
    </row>
    <row s="3305" customFormat="1" customHeight="1" ht="18.75">
      <c r="A30" s="1398"/>
      <c r="B30" s="1398"/>
      <c r="C30" s="1398"/>
      <c r="D30" s="1398"/>
      <c r="E30" s="1398"/>
      <c r="F30" s="1398"/>
      <c r="G30" s="1398"/>
      <c r="H30" s="1398"/>
      <c r="I30" s="1398"/>
      <c r="J30" s="1398"/>
      <c r="K30" s="1398"/>
      <c r="L30" s="1399"/>
      <c r="M30" s="1398"/>
      <c r="N30" s="1398"/>
      <c r="O30" s="1398"/>
      <c r="S30" s="2098" t="s">
        <v>40</v>
      </c>
      <c r="T30" s="2098"/>
      <c r="U30" s="1402"/>
      <c r="V30" s="2100" t="str">
        <f>IF(TITLE_IST_PUB_CHANGE="",IF(TITLE_IST_PUB="","",TITLE_IST_PUB),TITLE_IST_PUB_CHANGE)</f>
        <v>Официальный сайт службы по тарифам Иркутской области http://irkobl.ru</v>
      </c>
      <c r="W30" s="2100"/>
      <c r="X30" s="2100"/>
      <c r="Y30" s="2100"/>
      <c r="Z30" s="2100"/>
      <c r="AA30" s="2100"/>
      <c r="AB30" s="322"/>
      <c r="AC30" s="2100" t="str">
        <f>IF(TITLE_IST_PUB_CHANGE="",IF(TITLE_IST_PUB="","",TITLE_IST_PUB),TITLE_IST_PUB_CHANGE)</f>
        <v>Официальный сайт службы по тарифам Иркутской области http://irkobl.ru</v>
      </c>
      <c r="AD30" s="2100"/>
      <c r="AE30" s="2100"/>
      <c r="AF30" s="2100"/>
      <c r="AG30" s="2100"/>
      <c r="AH30" s="2100"/>
      <c r="AI30" s="322"/>
      <c r="AJ30" s="322"/>
      <c r="AK30" s="268"/>
      <c r="AL30" s="368"/>
      <c r="AM30" s="368"/>
      <c r="AN30" s="368"/>
      <c r="AO30" s="368"/>
      <c r="AP30" s="368"/>
    </row>
    <row customHeight="1" ht="14.25" hidden="1">
      <c r="Q31" s="377"/>
      <c r="R31" s="377"/>
      <c r="S31" s="1305"/>
      <c r="T31" s="361"/>
      <c r="U31" s="361"/>
      <c r="V31" s="316"/>
      <c r="W31" s="316"/>
      <c r="X31" s="316"/>
      <c r="Y31" s="316"/>
      <c r="Z31" s="316"/>
      <c r="AA31" s="316"/>
      <c r="AB31" s="316"/>
      <c r="AC31" s="316"/>
      <c r="AD31" s="316"/>
      <c r="AE31" s="316"/>
      <c r="AF31" s="316"/>
      <c r="AG31" s="316"/>
      <c r="AH31" s="316"/>
      <c r="AI31" s="316"/>
      <c r="AJ31" s="515"/>
    </row>
    <row s="3305" customFormat="1" customHeight="1" ht="18.75" hidden="1">
      <c r="A32" s="1398"/>
      <c r="B32" s="1398"/>
      <c r="C32" s="1398"/>
      <c r="D32" s="1398"/>
      <c r="E32" s="1398"/>
      <c r="F32" s="1398"/>
      <c r="G32" s="1398"/>
      <c r="H32" s="1398"/>
      <c r="I32" s="1398"/>
      <c r="J32" s="1398"/>
      <c r="K32" s="1398"/>
      <c r="L32" s="1399"/>
      <c r="M32" s="1398"/>
      <c r="N32" s="1398"/>
      <c r="O32" s="1398"/>
      <c r="S32" s="2098" t="s">
        <v>417</v>
      </c>
      <c r="T32" s="2098"/>
      <c r="U32" s="1402"/>
      <c r="V32" s="2099" t="str">
        <f>IF(TITLE_DATE_PR_CHANGE="",IF(TITLE_DATE_PR="","",TITLE_DATE_PR),TITLE_DATE_PR_CHANGE)</f>
        <v>45280.56123842593</v>
      </c>
      <c r="W32" s="2099"/>
      <c r="X32" s="2099"/>
      <c r="Y32" s="2099"/>
      <c r="Z32" s="2099"/>
      <c r="AA32" s="2099"/>
      <c r="AB32" s="322"/>
      <c r="AC32" s="2099" t="str">
        <f>IF(TITLE_DATE_PR_CHANGE="",IF(TITLE_DATE_PR="","",TITLE_DATE_PR),TITLE_DATE_PR_CHANGE)</f>
        <v>45280.56123842593</v>
      </c>
      <c r="AD32" s="2099"/>
      <c r="AE32" s="2099"/>
      <c r="AF32" s="2099"/>
      <c r="AG32" s="2099"/>
      <c r="AH32" s="2099"/>
      <c r="AI32" s="322"/>
      <c r="AJ32" s="322"/>
      <c r="AK32" s="268"/>
      <c r="AL32" s="368"/>
      <c r="AM32" s="368"/>
      <c r="AN32" s="368"/>
      <c r="AO32" s="368"/>
      <c r="AP32" s="368"/>
    </row>
    <row s="3305" customFormat="1" customHeight="1" ht="18.75" hidden="1">
      <c r="A33" s="1398"/>
      <c r="B33" s="1398"/>
      <c r="C33" s="1398"/>
      <c r="D33" s="1398"/>
      <c r="E33" s="1398"/>
      <c r="F33" s="1398"/>
      <c r="G33" s="1398"/>
      <c r="H33" s="1398"/>
      <c r="I33" s="1398"/>
      <c r="J33" s="1398"/>
      <c r="K33" s="1398"/>
      <c r="L33" s="1399"/>
      <c r="M33" s="1398"/>
      <c r="N33" s="1398"/>
      <c r="O33" s="1398"/>
      <c r="S33" s="2098" t="s">
        <v>418</v>
      </c>
      <c r="T33" s="2098"/>
      <c r="U33" s="1402"/>
      <c r="V33" s="2100" t="str">
        <f>IF(TITLE_NUMBER_PR_CHANGE="",IF(TITLE_NUMBER_PR="","",TITLE_NUMBER_PR),TITLE_NUMBER_PR_CHANGE)</f>
        <v>79-477-спр</v>
      </c>
      <c r="W33" s="2100"/>
      <c r="X33" s="2100"/>
      <c r="Y33" s="2100"/>
      <c r="Z33" s="2100"/>
      <c r="AA33" s="2100"/>
      <c r="AB33" s="322"/>
      <c r="AC33" s="2100" t="str">
        <f>IF(TITLE_NUMBER_PR_CHANGE="",IF(TITLE_NUMBER_PR="","",TITLE_NUMBER_PR),TITLE_NUMBER_PR_CHANGE)</f>
        <v>79-477-спр</v>
      </c>
      <c r="AD33" s="2100"/>
      <c r="AE33" s="2100"/>
      <c r="AF33" s="2100"/>
      <c r="AG33" s="2100"/>
      <c r="AH33" s="2100"/>
      <c r="AI33" s="322"/>
      <c r="AJ33" s="322"/>
      <c r="AK33" s="268"/>
      <c r="AL33" s="368"/>
      <c r="AM33" s="368"/>
      <c r="AN33" s="368"/>
      <c r="AO33" s="368"/>
      <c r="AP33" s="368"/>
    </row>
    <row s="3305" customFormat="1" customHeight="1" ht="0.75">
      <c r="A34" s="1398"/>
      <c r="B34" s="1398"/>
      <c r="C34" s="1398"/>
      <c r="D34" s="1398"/>
      <c r="E34" s="1398"/>
      <c r="F34" s="1398"/>
      <c r="G34" s="1398"/>
      <c r="H34" s="1398"/>
      <c r="I34" s="1398"/>
      <c r="J34" s="1398"/>
      <c r="K34" s="1398"/>
      <c r="L34" s="1399"/>
      <c r="M34" s="1398"/>
      <c r="N34" s="1398"/>
      <c r="O34" s="1398"/>
      <c r="S34" s="318"/>
      <c r="T34" s="318"/>
      <c r="U34" s="1484"/>
      <c r="V34" s="322"/>
      <c r="W34" s="322"/>
      <c r="X34" s="322"/>
      <c r="Y34" s="322"/>
      <c r="Z34" s="322"/>
      <c r="AA34" s="322"/>
      <c r="AB34" s="266" t="s">
        <v>419</v>
      </c>
      <c r="AC34" s="322"/>
      <c r="AD34" s="322"/>
      <c r="AE34" s="322"/>
      <c r="AF34" s="322"/>
      <c r="AG34" s="322"/>
      <c r="AH34" s="322"/>
      <c r="AI34" s="266" t="s">
        <v>419</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293</v>
      </c>
      <c r="T36" s="1971"/>
      <c r="U36" s="1971"/>
      <c r="V36" s="1971"/>
      <c r="W36" s="1971"/>
      <c r="X36" s="1971"/>
      <c r="Y36" s="1971"/>
      <c r="Z36" s="1971"/>
      <c r="AA36" s="1971"/>
      <c r="AB36" s="1971"/>
      <c r="AC36" s="1971"/>
      <c r="AD36" s="1971"/>
      <c r="AE36" s="1971"/>
      <c r="AF36" s="1971"/>
      <c r="AG36" s="1971"/>
      <c r="AH36" s="1971"/>
      <c r="AI36" s="1971"/>
      <c r="AJ36" s="1971"/>
      <c r="AK36" s="1971" t="s">
        <v>294</v>
      </c>
    </row>
    <row customHeight="1" ht="14.25">
      <c r="Q37" s="377"/>
      <c r="R37" s="377"/>
      <c r="S37" s="2125" t="s">
        <v>88</v>
      </c>
      <c r="T37" s="2062" t="s">
        <v>420</v>
      </c>
      <c r="U37" s="289"/>
      <c r="V37" s="2126" t="s">
        <v>421</v>
      </c>
      <c r="W37" s="2127"/>
      <c r="X37" s="2127"/>
      <c r="Y37" s="2127"/>
      <c r="Z37" s="2127"/>
      <c r="AA37" s="2128"/>
      <c r="AB37" s="2129" t="s">
        <v>422</v>
      </c>
      <c r="AC37" s="2126" t="s">
        <v>421</v>
      </c>
      <c r="AD37" s="2127"/>
      <c r="AE37" s="2127"/>
      <c r="AF37" s="2127"/>
      <c r="AG37" s="2127"/>
      <c r="AH37" s="2128"/>
      <c r="AI37" s="2129" t="s">
        <v>423</v>
      </c>
      <c r="AJ37" s="2132" t="s">
        <v>424</v>
      </c>
      <c r="AK37" s="1971"/>
    </row>
    <row customHeight="1" ht="33.75">
      <c r="Q38" s="377"/>
      <c r="R38" s="377"/>
      <c r="S38" s="2125"/>
      <c r="T38" s="2062"/>
      <c r="U38" s="1038"/>
      <c r="V38" s="1482" t="s">
        <v>485</v>
      </c>
      <c r="W38" s="2118" t="s">
        <v>427</v>
      </c>
      <c r="X38" s="2120"/>
      <c r="Y38" s="2118" t="s">
        <v>428</v>
      </c>
      <c r="Z38" s="2119"/>
      <c r="AA38" s="2120"/>
      <c r="AB38" s="2130"/>
      <c r="AC38" s="1482" t="s">
        <v>485</v>
      </c>
      <c r="AD38" s="2118" t="s">
        <v>427</v>
      </c>
      <c r="AE38" s="2120"/>
      <c r="AF38" s="2118" t="s">
        <v>428</v>
      </c>
      <c r="AG38" s="2119"/>
      <c r="AH38" s="2120"/>
      <c r="AI38" s="2130"/>
      <c r="AJ38" s="2133"/>
      <c r="AK38" s="1971"/>
    </row>
    <row customHeight="1" ht="33.75">
      <c r="A39" s="1400"/>
      <c r="B39" s="1400" t="s">
        <v>136</v>
      </c>
      <c r="C39" s="1400" t="s">
        <v>137</v>
      </c>
      <c r="D39" s="1400" t="s">
        <v>138</v>
      </c>
      <c r="E39" s="1394" t="s">
        <v>429</v>
      </c>
      <c r="F39" s="1394" t="s">
        <v>430</v>
      </c>
      <c r="G39" s="1394" t="s">
        <v>431</v>
      </c>
      <c r="H39" s="1394"/>
      <c r="I39" s="1394" t="s">
        <v>486</v>
      </c>
      <c r="J39" s="1394" t="s">
        <v>434</v>
      </c>
      <c r="K39" s="1394" t="s">
        <v>487</v>
      </c>
      <c r="L39" s="1394" t="s">
        <v>410</v>
      </c>
      <c r="Q39" s="377"/>
      <c r="R39" s="377"/>
      <c r="S39" s="2125"/>
      <c r="T39" s="2062"/>
      <c r="U39" s="290"/>
      <c r="V39" s="1482" t="s">
        <v>488</v>
      </c>
      <c r="W39" s="1237" t="s">
        <v>489</v>
      </c>
      <c r="X39" s="1237" t="s">
        <v>490</v>
      </c>
      <c r="Y39" s="1485" t="s">
        <v>438</v>
      </c>
      <c r="Z39" s="2121" t="s">
        <v>439</v>
      </c>
      <c r="AA39" s="2122"/>
      <c r="AB39" s="2131"/>
      <c r="AC39" s="1482" t="s">
        <v>488</v>
      </c>
      <c r="AD39" s="1237" t="s">
        <v>489</v>
      </c>
      <c r="AE39" s="1237" t="s">
        <v>490</v>
      </c>
      <c r="AF39" s="1485" t="s">
        <v>438</v>
      </c>
      <c r="AG39" s="2121" t="s">
        <v>439</v>
      </c>
      <c r="AH39" s="2122"/>
      <c r="AI39" s="2131"/>
      <c r="AJ39" s="2134"/>
      <c r="AK39" s="1971"/>
    </row>
    <row s="2610" customFormat="1" customHeight="1" ht="0">
      <c r="A40" s="1400"/>
      <c r="B40" s="1400"/>
      <c r="C40" s="1400"/>
      <c r="D40" s="1400"/>
      <c r="E40" s="1400"/>
      <c r="F40" s="1400"/>
      <c r="G40" s="1400"/>
      <c r="H40" s="1400"/>
      <c r="I40" s="1400"/>
      <c r="J40" s="1400"/>
      <c r="K40" s="1400"/>
      <c r="L40" s="1394"/>
      <c r="M40" s="1392"/>
      <c r="N40" s="1392"/>
      <c r="O40" s="1392"/>
      <c r="P40" s="1264"/>
      <c r="Q40" s="1265"/>
      <c r="R40" s="1280">
        <v>1</v>
      </c>
      <c r="S40" s="1307" t="s">
        <v>110</v>
      </c>
      <c r="T40" s="1281" t="s">
        <v>111</v>
      </c>
      <c r="U40" s="1263" t="str">
        <f>OFFSET(U40,0,-1)</f>
        <v>2</v>
      </c>
      <c r="V40" s="1481">
        <f>OFFSET(V40,0,-1)+1</f>
        <v>3</v>
      </c>
      <c r="W40" s="1481">
        <f>OFFSET(W40,0,-1)+1</f>
        <v>4</v>
      </c>
      <c r="X40" s="1481">
        <f>OFFSET(X40,0,-1)+1</f>
        <v>5</v>
      </c>
      <c r="Y40" s="1481">
        <f>OFFSET(Y40,0,-1)+1</f>
        <v>6</v>
      </c>
      <c r="Z40" s="2123">
        <f>OFFSET(Z40,0,-1)+1</f>
        <v>7</v>
      </c>
      <c r="AA40" s="2123"/>
      <c r="AB40" s="1481">
        <f>OFFSET(AB40,0,-2)+1</f>
        <v>8</v>
      </c>
      <c r="AC40" s="1481">
        <f>OFFSET(AC40,0,-1)+1</f>
        <v>9</v>
      </c>
      <c r="AD40" s="1481">
        <f>OFFSET(AD40,0,-1)+1</f>
        <v>10</v>
      </c>
      <c r="AE40" s="1481">
        <f>OFFSET(AE40,0,-1)+1</f>
        <v>11</v>
      </c>
      <c r="AF40" s="1481">
        <f>OFFSET(AF40,0,-1)+1</f>
        <v>12</v>
      </c>
      <c r="AG40" s="2123">
        <f>OFFSET(AG40,0,-1)+1</f>
        <v>13</v>
      </c>
      <c r="AH40" s="2123"/>
      <c r="AI40" s="1481">
        <f>OFFSET(AI40,0,-2)+1</f>
        <v>14</v>
      </c>
      <c r="AJ40" s="1263">
        <f>OFFSET(AJ40,0,-1)</f>
        <v>14</v>
      </c>
      <c r="AK40" s="1481">
        <f>OFFSET(AK40,0,-1)+1</f>
        <v>15</v>
      </c>
      <c r="AL40" s="517"/>
      <c r="AM40" s="517"/>
      <c r="AN40" s="517"/>
      <c r="AO40" s="517"/>
      <c r="AP40" s="517"/>
    </row>
    <row customHeight="1" ht="23.25">
      <c r="A41" s="1393" t="s">
        <v>224</v>
      </c>
      <c r="B41" s="1393"/>
      <c r="C41" s="1393"/>
      <c r="D41" s="1393"/>
      <c r="E41" s="2107">
        <v>1</v>
      </c>
      <c r="F41" s="1393"/>
      <c r="G41" s="1393"/>
      <c r="H41" s="1393"/>
      <c r="I41" s="1393"/>
      <c r="J41" s="1393"/>
      <c r="K41" s="1393"/>
      <c r="L41" s="1394"/>
      <c r="M41" s="1395"/>
      <c r="N41" s="1395"/>
      <c r="O41" s="1395"/>
      <c r="P41" s="357"/>
      <c r="Q41" s="356"/>
      <c r="R41" s="351"/>
      <c r="S41" s="1487">
        <f>INDEX(PT_DIFFERENTIATION_NUM_NTAR,MATCH(A41,PT_DIFFERENTIATION_NTAR_ID,0))</f>
        <v>0</v>
      </c>
      <c r="T41" s="286" t="s">
        <v>124</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224</v>
      </c>
      <c r="B42" s="1393" t="s">
        <v>225</v>
      </c>
      <c r="C42" s="1393"/>
      <c r="D42" s="1393"/>
      <c r="E42" s="2108"/>
      <c r="F42" s="2107">
        <v>1</v>
      </c>
      <c r="G42" s="1393"/>
      <c r="H42" s="1393"/>
      <c r="I42" s="1393"/>
      <c r="J42" s="1393"/>
      <c r="K42" s="1393"/>
      <c r="L42" s="1394"/>
      <c r="M42" s="1395"/>
      <c r="N42" s="1395"/>
      <c r="O42" s="1395"/>
      <c r="P42" s="1483"/>
      <c r="Q42" s="348"/>
      <c r="R42" s="349"/>
      <c r="S42" s="1487" t="str">
        <f>INDEX(PT_DIFFERENTIATION_NUM_TER,MATCH(B42,PT_DIFFERENTIATION_TER_ID,0))</f>
        <v>.</v>
      </c>
      <c r="T42" s="298" t="s">
        <v>392</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393</v>
      </c>
      <c r="AM42" s="506"/>
      <c r="AN42" s="506" t="str">
        <f>IF(T42="","",T42)</f>
        <v>Территория действия тарифа</v>
      </c>
      <c r="AO42" s="506"/>
      <c r="AP42" s="506"/>
    </row>
    <row customHeight="1" ht="23.25">
      <c r="A43" s="1393" t="s">
        <v>224</v>
      </c>
      <c r="B43" s="1393" t="s">
        <v>225</v>
      </c>
      <c r="C43" s="1393" t="s">
        <v>226</v>
      </c>
      <c r="D43" s="1393"/>
      <c r="E43" s="2108"/>
      <c r="F43" s="2108"/>
      <c r="G43" s="2107">
        <v>1</v>
      </c>
      <c r="H43" s="1393"/>
      <c r="I43" s="1393"/>
      <c r="J43" s="1393"/>
      <c r="K43" s="1393"/>
      <c r="L43" s="1394"/>
      <c r="M43" s="1395"/>
      <c r="N43" s="1395"/>
      <c r="O43" s="1395"/>
      <c r="P43" s="350"/>
      <c r="Q43" s="348"/>
      <c r="R43" s="349"/>
      <c r="S43" s="1487" t="str">
        <f>INDEX(PT_DIFFERENTIATION_NUM_CS,MATCH(C43,PT_DIFFERENTIATION_CS_ID,0))</f>
        <v>..</v>
      </c>
      <c r="T43" s="299" t="s">
        <v>477</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478</v>
      </c>
      <c r="AM43" s="506"/>
      <c r="AN43" s="506" t="str">
        <f>IF(T43="","",T43)</f>
        <v>Наименование централизованной системы холодного водоснабжения</v>
      </c>
      <c r="AO43" s="506"/>
      <c r="AP43" s="506"/>
    </row>
    <row customHeight="1" ht="23.25">
      <c r="A44" s="1393" t="s">
        <v>224</v>
      </c>
      <c r="B44" s="1393" t="s">
        <v>225</v>
      </c>
      <c r="C44" s="1393" t="s">
        <v>226</v>
      </c>
      <c r="D44" s="1393" t="s">
        <v>492</v>
      </c>
      <c r="E44" s="2108"/>
      <c r="F44" s="2108"/>
      <c r="G44" s="2108"/>
      <c r="H44" s="2108"/>
      <c r="I44" s="2109" t="str">
        <f>S43&amp;".1"</f>
        <v>...1</v>
      </c>
      <c r="J44" s="1393"/>
      <c r="K44" s="1393"/>
      <c r="L44" s="1394"/>
      <c r="P44" s="2111">
        <v>1</v>
      </c>
      <c r="Q44" s="1480"/>
      <c r="R44" s="352"/>
      <c r="S44" s="1487" t="str">
        <f>$I44</f>
        <v>...1</v>
      </c>
      <c r="T44" s="273" t="s">
        <v>479</v>
      </c>
      <c r="U44" s="288"/>
      <c r="V44" s="2194"/>
      <c r="W44" s="2195"/>
      <c r="X44" s="2195"/>
      <c r="Y44" s="2195"/>
      <c r="Z44" s="2195"/>
      <c r="AA44" s="2195"/>
      <c r="AB44" s="2196"/>
      <c r="AC44" s="2197"/>
      <c r="AD44" s="2198"/>
      <c r="AE44" s="2198"/>
      <c r="AF44" s="2198"/>
      <c r="AG44" s="2198"/>
      <c r="AH44" s="2198"/>
      <c r="AI44" s="2198"/>
      <c r="AJ44" s="2199"/>
      <c r="AK44" s="1286" t="s">
        <v>480</v>
      </c>
      <c r="AM44" s="506"/>
      <c r="AN44" s="506" t="str">
        <f>IF(T44="","",T44)</f>
        <v>Наименование признака дифференциации</v>
      </c>
      <c r="AO44" s="506"/>
      <c r="AP44" s="506"/>
    </row>
    <row customHeight="1" ht="23.25">
      <c r="A45" s="1393" t="s">
        <v>224</v>
      </c>
      <c r="B45" s="1393" t="s">
        <v>225</v>
      </c>
      <c r="C45" s="1393" t="s">
        <v>226</v>
      </c>
      <c r="D45" s="1393" t="s">
        <v>492</v>
      </c>
      <c r="E45" s="2108"/>
      <c r="F45" s="2108"/>
      <c r="G45" s="2108"/>
      <c r="H45" s="2108"/>
      <c r="I45" s="2110"/>
      <c r="J45" s="2109" t="str">
        <f>I44&amp;".1"</f>
        <v>...1.1</v>
      </c>
      <c r="K45" s="1393"/>
      <c r="L45" s="1394" t="s">
        <v>401</v>
      </c>
      <c r="P45" s="2111"/>
      <c r="Q45" s="2111">
        <v>1</v>
      </c>
      <c r="R45" s="353"/>
      <c r="S45" s="1487" t="str">
        <f>$J45</f>
        <v>...1.1</v>
      </c>
      <c r="T45" s="274" t="s">
        <v>402</v>
      </c>
      <c r="U45" s="288"/>
      <c r="V45" s="2095"/>
      <c r="W45" s="2096"/>
      <c r="X45" s="2096"/>
      <c r="Y45" s="2096"/>
      <c r="Z45" s="2096"/>
      <c r="AA45" s="2096"/>
      <c r="AB45" s="2097"/>
      <c r="AC45" s="2095"/>
      <c r="AD45" s="2096"/>
      <c r="AE45" s="2096"/>
      <c r="AF45" s="2096"/>
      <c r="AG45" s="2096"/>
      <c r="AH45" s="2096"/>
      <c r="AI45" s="2096"/>
      <c r="AJ45" s="2097"/>
      <c r="AK45" s="1337" t="s">
        <v>481</v>
      </c>
      <c r="AM45" s="506"/>
      <c r="AN45" s="506" t="str">
        <f>IF(T45="","",T45)</f>
        <v>Группа потребителей</v>
      </c>
      <c r="AO45" s="506"/>
      <c r="AP45" s="506"/>
    </row>
    <row customHeight="1" ht="23.25">
      <c r="A46" s="1393" t="s">
        <v>224</v>
      </c>
      <c r="B46" s="1393" t="s">
        <v>225</v>
      </c>
      <c r="C46" s="1393" t="s">
        <v>226</v>
      </c>
      <c r="D46" s="1393" t="s">
        <v>492</v>
      </c>
      <c r="E46" s="2108"/>
      <c r="F46" s="2108"/>
      <c r="G46" s="2108"/>
      <c r="H46" s="2108"/>
      <c r="I46" s="2110"/>
      <c r="J46" s="2110"/>
      <c r="K46" s="2109" t="str">
        <f>J45&amp;".1"</f>
        <v>...1.1.1</v>
      </c>
      <c r="L46" s="1394"/>
      <c r="P46" s="2111"/>
      <c r="Q46" s="2111"/>
      <c r="R46" s="353">
        <v>1</v>
      </c>
      <c r="S46" s="1487" t="str">
        <f>$K46</f>
        <v>...1.1.1</v>
      </c>
      <c r="T46" s="1467"/>
      <c r="U46" s="288"/>
      <c r="V46" s="757"/>
      <c r="W46" s="757"/>
      <c r="X46" s="1285"/>
      <c r="Y46" s="2112"/>
      <c r="Z46" s="1981" t="s">
        <v>62</v>
      </c>
      <c r="AA46" s="2112"/>
      <c r="AB46" s="1981" t="s">
        <v>62</v>
      </c>
      <c r="AC46" s="757"/>
      <c r="AD46" s="757"/>
      <c r="AE46" s="1285"/>
      <c r="AF46" s="2112"/>
      <c r="AG46" s="1981" t="s">
        <v>62</v>
      </c>
      <c r="AH46" s="2114"/>
      <c r="AI46" s="1981" t="s">
        <v>62</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224</v>
      </c>
      <c r="B47" s="1393" t="s">
        <v>225</v>
      </c>
      <c r="C47" s="1393" t="s">
        <v>226</v>
      </c>
      <c r="D47" s="1393" t="s">
        <v>492</v>
      </c>
      <c r="E47" s="2108"/>
      <c r="F47" s="2108"/>
      <c r="G47" s="2108"/>
      <c r="H47" s="2108"/>
      <c r="I47" s="2110"/>
      <c r="J47" s="2110"/>
      <c r="K47" s="2109"/>
      <c r="L47" s="1394"/>
      <c r="P47" s="2111"/>
      <c r="Q47" s="2111"/>
      <c r="R47" s="353"/>
      <c r="S47" s="1486"/>
      <c r="T47" s="288"/>
      <c r="U47" s="288"/>
      <c r="V47" s="320"/>
      <c r="W47" s="320"/>
      <c r="X47" s="324" t="str">
        <f>Y46&amp;"-"&amp;AA46</f>
        <v>-</v>
      </c>
      <c r="Y47" s="2113"/>
      <c r="Z47" s="1981"/>
      <c r="AA47" s="2113"/>
      <c r="AB47" s="1981"/>
      <c r="AC47" s="320"/>
      <c r="AD47" s="320"/>
      <c r="AE47" s="324" t="str">
        <f>AF46&amp;"-"&amp;AH46</f>
        <v>-</v>
      </c>
      <c r="AF47" s="2113"/>
      <c r="AG47" s="1981"/>
      <c r="AH47" s="2115"/>
      <c r="AI47" s="1981"/>
      <c r="AJ47" s="1469"/>
      <c r="AK47" s="2200"/>
      <c r="AM47" s="506"/>
      <c r="AN47" s="506" t="str">
        <f>IF(T47="","",T47)</f>
        <v/>
      </c>
      <c r="AO47" s="506"/>
      <c r="AP47" s="506"/>
    </row>
    <row customHeight="1" ht="21">
      <c r="A48" s="1393" t="s">
        <v>224</v>
      </c>
      <c r="B48" s="1393" t="s">
        <v>225</v>
      </c>
      <c r="C48" s="1393" t="s">
        <v>226</v>
      </c>
      <c r="D48" s="1393" t="s">
        <v>492</v>
      </c>
      <c r="E48" s="2108"/>
      <c r="F48" s="2108"/>
      <c r="G48" s="2108"/>
      <c r="H48" s="2108"/>
      <c r="I48" s="2110"/>
      <c r="J48" s="2109"/>
      <c r="K48" s="1393"/>
      <c r="L48" s="1394"/>
      <c r="P48" s="2111"/>
      <c r="Q48" s="2111"/>
      <c r="R48" s="352"/>
      <c r="S48" s="1308"/>
      <c r="T48" s="275" t="s">
        <v>482</v>
      </c>
      <c r="U48" s="367"/>
      <c r="V48" s="367"/>
      <c r="W48" s="367"/>
      <c r="X48" s="367"/>
      <c r="Y48" s="367"/>
      <c r="Z48" s="367"/>
      <c r="AA48" s="367"/>
      <c r="AB48" s="367"/>
      <c r="AC48" s="367"/>
      <c r="AD48" s="367"/>
      <c r="AE48" s="367"/>
      <c r="AF48" s="367"/>
      <c r="AG48" s="367"/>
      <c r="AH48" s="367"/>
      <c r="AI48" s="367"/>
      <c r="AJ48" s="367"/>
      <c r="AK48" s="1286" t="s">
        <v>483</v>
      </c>
      <c r="AM48" s="506"/>
      <c r="AN48" s="506" t="str">
        <f>IF(T48="","",T48)</f>
        <v>Добавить значение признака дифференциации</v>
      </c>
      <c r="AO48" s="506"/>
      <c r="AP48" s="506"/>
    </row>
    <row customHeight="1" ht="21">
      <c r="A49" s="1393" t="s">
        <v>224</v>
      </c>
      <c r="B49" s="1393" t="s">
        <v>225</v>
      </c>
      <c r="C49" s="1393" t="s">
        <v>226</v>
      </c>
      <c r="D49" s="1393" t="s">
        <v>492</v>
      </c>
      <c r="E49" s="2108"/>
      <c r="F49" s="2108"/>
      <c r="G49" s="2108"/>
      <c r="H49" s="2108"/>
      <c r="I49" s="2109"/>
      <c r="J49" s="1393"/>
      <c r="K49" s="1393"/>
      <c r="L49" s="1394"/>
      <c r="P49" s="2111"/>
      <c r="Q49" s="1480"/>
      <c r="R49" s="352"/>
      <c r="S49" s="1308"/>
      <c r="T49" s="364" t="s">
        <v>407</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224</v>
      </c>
      <c r="B50" s="1393" t="s">
        <v>225</v>
      </c>
      <c r="C50" s="1393" t="s">
        <v>226</v>
      </c>
      <c r="D50" s="1393" t="s">
        <v>492</v>
      </c>
      <c r="E50" s="2108"/>
      <c r="F50" s="2108"/>
      <c r="G50" s="2108"/>
      <c r="H50" s="2107"/>
      <c r="I50" s="1393"/>
      <c r="J50" s="1393"/>
      <c r="K50" s="1393"/>
      <c r="L50" s="1394"/>
      <c r="M50" s="1395"/>
      <c r="N50" s="1395"/>
      <c r="O50" s="543"/>
      <c r="P50" s="356"/>
      <c r="Q50" s="376"/>
      <c r="R50" s="351"/>
      <c r="S50" s="1308"/>
      <c r="T50" s="372" t="s">
        <v>484</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73" customFormat="1" customHeight="1" ht="0">
      <c r="A51" s="1373" t="s">
        <v>224</v>
      </c>
      <c r="B51" s="1373" t="s">
        <v>225</v>
      </c>
      <c r="C51" s="1344"/>
      <c r="D51" s="1344"/>
      <c r="E51" s="2108"/>
      <c r="F51" s="2107"/>
      <c r="G51" s="1344"/>
      <c r="H51" s="1344"/>
      <c r="I51" s="1344"/>
      <c r="J51" s="1344"/>
      <c r="K51" s="1344"/>
      <c r="L51" s="1488"/>
      <c r="M51" s="1351"/>
      <c r="N51" s="1351"/>
      <c r="P51" s="1346"/>
      <c r="Q51" s="1347"/>
      <c r="R51" s="1346"/>
      <c r="S51" s="1352"/>
      <c r="T51" s="1355" t="s">
        <v>182</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1" customFormat="1" customHeight="1" ht="0">
      <c r="A52" s="1373" t="s">
        <v>224</v>
      </c>
      <c r="B52" s="1373"/>
      <c r="C52" s="1373"/>
      <c r="D52" s="1373"/>
      <c r="E52" s="2107"/>
      <c r="F52" s="1373"/>
      <c r="G52" s="1373"/>
      <c r="H52" s="1373"/>
      <c r="I52" s="1373"/>
      <c r="J52" s="1373"/>
      <c r="K52" s="1373"/>
      <c r="L52" s="1376"/>
      <c r="M52" s="1351"/>
      <c r="N52" s="1351"/>
      <c r="O52" s="524"/>
      <c r="P52" s="385"/>
      <c r="Q52" s="1374"/>
      <c r="R52" s="385"/>
      <c r="S52" s="1352"/>
      <c r="T52" s="1355" t="s">
        <v>183</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73" customFormat="1" customHeight="1" ht="0">
      <c r="A53" s="1344"/>
      <c r="B53" s="1344"/>
      <c r="C53" s="1344"/>
      <c r="D53" s="1344"/>
      <c r="E53" s="1373"/>
      <c r="F53" s="1344"/>
      <c r="G53" s="1344"/>
      <c r="H53" s="1344"/>
      <c r="I53" s="1344"/>
      <c r="J53" s="1344"/>
      <c r="K53" s="1344"/>
      <c r="L53" s="1488"/>
      <c r="M53" s="1351"/>
      <c r="N53" s="1351"/>
      <c r="P53" s="1346"/>
      <c r="Q53" s="1347"/>
      <c r="R53" s="1346"/>
      <c r="S53" s="1352"/>
      <c r="T53" s="1355" t="s">
        <v>184</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72BEB7F-212F-877C-D6E1-AE311412E924}"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92" width="10.57421875" hidden="1"/>
    <col min="2" max="2" style="3292" width="11.00390625" hidden="1" customWidth="1"/>
    <col min="3" max="3" style="3292" width="10.57421875" hidden="1"/>
    <col min="4" max="4" style="3292" width="11.8515625" hidden="1" customWidth="1"/>
    <col min="5" max="5" style="3292" width="10.00390625" hidden="1" customWidth="1"/>
    <col min="6" max="6" style="3292" width="8.7109375" hidden="1" customWidth="1"/>
    <col min="7" max="7" style="3292" width="7.57421875" hidden="1" customWidth="1"/>
    <col min="8" max="8" style="3292" width="11.421875" hidden="1" customWidth="1"/>
    <col min="9" max="9" style="3292" width="14.140625" hidden="1" customWidth="1"/>
    <col min="10" max="10" style="3292" width="9.8515625" hidden="1" customWidth="1"/>
    <col min="11" max="11" style="3292" width="14.7109375" hidden="1" customWidth="1"/>
    <col min="12" max="12" style="3790" width="19.140625" hidden="1" customWidth="1"/>
    <col min="13" max="14" style="3294" width="12.28125" hidden="1" customWidth="1"/>
    <col min="15" max="15" style="3294" width="23.421875" hidden="1" customWidth="1"/>
    <col min="16" max="16" style="3795" width="3.7109375" customWidth="1"/>
    <col min="17" max="18" style="3371" width="3.7109375" customWidth="1"/>
    <col min="19" max="19" style="3372" width="12.7109375" customWidth="1"/>
    <col min="20" max="20" style="2939" width="35.7109375" customWidth="1"/>
    <col min="21" max="21" style="2939" width="0.140625" customWidth="1"/>
    <col min="22" max="24" style="2939" width="24.7109375" hidden="1" customWidth="1"/>
    <col min="25" max="25" style="2939" width="11.7109375" hidden="1" customWidth="1"/>
    <col min="26" max="26" style="2939" width="3.7109375" hidden="1" customWidth="1"/>
    <col min="27" max="27" style="2939" width="11.7109375" hidden="1" customWidth="1"/>
    <col min="28" max="28" style="2939" width="8.57421875" hidden="1" customWidth="1"/>
    <col min="29" max="31" style="2939" width="24.7109375" customWidth="1"/>
    <col min="32" max="32" style="2939" width="11.7109375" customWidth="1"/>
    <col min="33" max="33" style="2939" width="3.7109375" customWidth="1"/>
    <col min="34" max="34" style="2939" width="11.7109375" customWidth="1"/>
    <col min="35" max="35" style="2939" width="8.57421875" hidden="1" customWidth="1"/>
    <col min="36" max="36" style="2939" width="4.7109375" customWidth="1"/>
    <col min="37" max="37" style="2939" width="115.7109375" customWidth="1"/>
    <col min="38" max="39" style="2611" width="10.57421875"/>
    <col min="40" max="40" style="2611" width="11.140625" customWidth="1"/>
    <col min="41" max="42" style="2611"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487">
        <f>INDEX(PT_DIFFERENTIATION_NUM_NTAR,MATCH(A2,PT_DIFFERENTIATION_NTAR_ID,0))</f>
      </c>
      <c r="T2" s="286" t="s">
        <v>124</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483"/>
      <c r="Q3" s="348"/>
      <c r="R3" s="349"/>
      <c r="S3" s="1487">
        <f>INDEX(PT_DIFFERENTIATION_NUM_TER,MATCH(B3,PT_DIFFERENTIATION_TER_ID,0))</f>
      </c>
      <c r="T3" s="298" t="s">
        <v>392</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393</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487">
        <f>INDEX(PT_DIFFERENTIATION_NUM_CS,MATCH(C4,PT_DIFFERENTIATION_CS_ID,0))</f>
      </c>
      <c r="T4" s="299" t="s">
        <v>477</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478</v>
      </c>
      <c r="AM4" s="506"/>
      <c r="AN4" s="506" t="str">
        <f>IF(T4="","",T4)</f>
        <v>Наименование централизованной системы холодного водоснабжения</v>
      </c>
      <c r="AO4" s="506"/>
      <c r="AP4" s="506"/>
    </row>
    <row customHeight="1" ht="23.25" hidden="1">
      <c r="A5" s="1393"/>
      <c r="B5" s="1393"/>
      <c r="C5" s="1393"/>
      <c r="D5" s="1393"/>
      <c r="E5" s="2108"/>
      <c r="F5" s="2108"/>
      <c r="G5" s="2108"/>
      <c r="H5" s="2108"/>
      <c r="I5" s="2109">
        <f>S4&amp;".1"</f>
      </c>
      <c r="J5" s="1393"/>
      <c r="K5" s="1393"/>
      <c r="L5" s="1394"/>
      <c r="P5" s="2111">
        <v>1</v>
      </c>
      <c r="Q5" s="1480"/>
      <c r="R5" s="352"/>
      <c r="S5" s="1487">
        <f>$I5</f>
      </c>
      <c r="T5" s="273" t="s">
        <v>479</v>
      </c>
      <c r="U5" s="288"/>
      <c r="V5" s="2194"/>
      <c r="W5" s="2195"/>
      <c r="X5" s="2195"/>
      <c r="Y5" s="2195"/>
      <c r="Z5" s="2195"/>
      <c r="AA5" s="2195"/>
      <c r="AB5" s="2196"/>
      <c r="AC5" s="2197"/>
      <c r="AD5" s="2198"/>
      <c r="AE5" s="2198"/>
      <c r="AF5" s="2198"/>
      <c r="AG5" s="2198"/>
      <c r="AH5" s="2198"/>
      <c r="AI5" s="2198"/>
      <c r="AJ5" s="2199"/>
      <c r="AK5" s="1286" t="s">
        <v>480</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401</v>
      </c>
      <c r="P6" s="2111"/>
      <c r="Q6" s="2111">
        <v>1</v>
      </c>
      <c r="R6" s="353"/>
      <c r="S6" s="1487">
        <f>$J6</f>
      </c>
      <c r="T6" s="274" t="s">
        <v>402</v>
      </c>
      <c r="U6" s="288"/>
      <c r="V6" s="2095"/>
      <c r="W6" s="2096"/>
      <c r="X6" s="2096"/>
      <c r="Y6" s="2096"/>
      <c r="Z6" s="2096"/>
      <c r="AA6" s="2096"/>
      <c r="AB6" s="2097"/>
      <c r="AC6" s="2095"/>
      <c r="AD6" s="2096"/>
      <c r="AE6" s="2096"/>
      <c r="AF6" s="2096"/>
      <c r="AG6" s="2096"/>
      <c r="AH6" s="2096"/>
      <c r="AI6" s="2096"/>
      <c r="AJ6" s="2097"/>
      <c r="AK6" s="1337" t="s">
        <v>481</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487">
        <f>$K7</f>
      </c>
      <c r="T7" s="1467"/>
      <c r="U7" s="288"/>
      <c r="V7" s="757"/>
      <c r="W7" s="757"/>
      <c r="X7" s="1285"/>
      <c r="Y7" s="2112"/>
      <c r="Z7" s="1981" t="s">
        <v>62</v>
      </c>
      <c r="AA7" s="2112"/>
      <c r="AB7" s="1981" t="s">
        <v>62</v>
      </c>
      <c r="AC7" s="757"/>
      <c r="AD7" s="757"/>
      <c r="AE7" s="1285"/>
      <c r="AF7" s="2112"/>
      <c r="AG7" s="1981" t="s">
        <v>62</v>
      </c>
      <c r="AH7" s="2114"/>
      <c r="AI7" s="1981" t="s">
        <v>62</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486"/>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482</v>
      </c>
      <c r="U9" s="367"/>
      <c r="V9" s="367"/>
      <c r="W9" s="367"/>
      <c r="X9" s="367"/>
      <c r="Y9" s="367"/>
      <c r="Z9" s="367"/>
      <c r="AA9" s="367"/>
      <c r="AB9" s="367"/>
      <c r="AC9" s="367"/>
      <c r="AD9" s="367"/>
      <c r="AE9" s="367"/>
      <c r="AF9" s="367"/>
      <c r="AG9" s="367"/>
      <c r="AH9" s="367"/>
      <c r="AI9" s="367"/>
      <c r="AJ9" s="367"/>
      <c r="AK9" s="1286" t="s">
        <v>483</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480"/>
      <c r="R10" s="352"/>
      <c r="S10" s="1308"/>
      <c r="T10" s="364" t="s">
        <v>407</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484</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73" customFormat="1" customHeight="1" ht="14.25" hidden="1">
      <c r="A12" s="1373"/>
      <c r="B12" s="1373"/>
      <c r="C12" s="1344"/>
      <c r="D12" s="1344"/>
      <c r="E12" s="2108"/>
      <c r="F12" s="2107"/>
      <c r="G12" s="1344"/>
      <c r="H12" s="1344"/>
      <c r="I12" s="1344"/>
      <c r="J12" s="1344"/>
      <c r="K12" s="1344"/>
      <c r="L12" s="1488"/>
      <c r="M12" s="1351"/>
      <c r="N12" s="1351"/>
      <c r="P12" s="1346"/>
      <c r="Q12" s="1347"/>
      <c r="R12" s="1346"/>
      <c r="S12" s="1352"/>
      <c r="T12" s="1355" t="s">
        <v>182</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1"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183</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62</v>
      </c>
      <c r="AH15" s="2105"/>
      <c r="AI15" s="2104" t="s">
        <v>62</v>
      </c>
    </row>
    <row customHeight="1" ht="14.25" hidden="1">
      <c r="AC16" s="1390"/>
      <c r="AD16" s="1390"/>
      <c r="AE16" s="324" t="str">
        <f>AF15&amp;"-"&amp;AH15</f>
        <v>-</v>
      </c>
      <c r="AF16" s="2104"/>
      <c r="AG16" s="2104"/>
      <c r="AH16" s="2104"/>
      <c r="AI16" s="2104"/>
    </row>
    <row customHeight="1" ht="14.25" hidden="1">
      <c r="AI17" s="323"/>
    </row>
    <row s="3292" customFormat="1" customHeight="1" ht="22.5" hidden="1">
      <c r="L18" s="1477"/>
      <c r="M18" s="1392"/>
      <c r="N18" s="1392"/>
      <c r="O18" s="1397" t="s">
        <v>409</v>
      </c>
      <c r="P18" s="1392"/>
      <c r="Q18" s="1401"/>
      <c r="R18" s="1401"/>
      <c r="S18" s="735"/>
      <c r="Y18" s="1397"/>
      <c r="AA18" s="1397"/>
      <c r="AB18" s="1396"/>
      <c r="AF18" s="1397"/>
      <c r="AH18" s="1397"/>
      <c r="AI18" s="1396"/>
      <c r="AL18" s="517"/>
      <c r="AM18" s="517"/>
      <c r="AN18" s="517"/>
      <c r="AO18" s="517"/>
      <c r="AP18" s="517"/>
    </row>
    <row s="3292" customFormat="1" customHeight="1" ht="14.25" hidden="1">
      <c r="L19" s="1477"/>
      <c r="M19" s="1392"/>
      <c r="N19" s="1392"/>
      <c r="O19" s="1392"/>
      <c r="P19" s="1392"/>
      <c r="Q19" s="1401"/>
      <c r="R19" s="1401"/>
      <c r="S19" s="735"/>
      <c r="AB19" s="1396"/>
      <c r="AI19" s="1396"/>
      <c r="AL19" s="517"/>
      <c r="AM19" s="517"/>
      <c r="AN19" s="517"/>
      <c r="AO19" s="517"/>
      <c r="AP19" s="517"/>
    </row>
    <row s="3292" customFormat="1" customHeight="1" ht="12" hidden="1">
      <c r="L20" s="1477"/>
      <c r="M20" s="1392"/>
      <c r="N20" s="1392"/>
      <c r="O20" s="1394" t="s">
        <v>410</v>
      </c>
      <c r="P20" s="1392"/>
      <c r="Q20" s="1472"/>
      <c r="R20" s="1472"/>
      <c r="S20" s="735"/>
      <c r="T20" s="1168" t="s">
        <v>411</v>
      </c>
      <c r="Z20" s="172" t="s">
        <v>412</v>
      </c>
      <c r="AB20" s="172" t="s">
        <v>413</v>
      </c>
      <c r="AC20" s="1168" t="s">
        <v>411</v>
      </c>
      <c r="AG20" s="172" t="s">
        <v>414</v>
      </c>
      <c r="AI20" s="172" t="s">
        <v>413</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ЗАО "Байкалэнерго"</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305" customFormat="1" customHeight="1" ht="25.5">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Служба по тарифам Иркутской области</v>
      </c>
      <c r="W27" s="2100"/>
      <c r="X27" s="2100"/>
      <c r="Y27" s="2100"/>
      <c r="Z27" s="2100"/>
      <c r="AA27" s="2100"/>
      <c r="AB27" s="322"/>
      <c r="AC27" s="2100" t="str">
        <f>IF(TITLE_NAME_OR_PR_CHANGE="",IF(TITLE_NAME_OR_PR="","",TITLE_NAME_OR_PR),TITLE_NAME_OR_PR_CHANGE)</f>
        <v>Служба по тарифам Иркутской области</v>
      </c>
      <c r="AD27" s="2100"/>
      <c r="AE27" s="2100"/>
      <c r="AF27" s="2100"/>
      <c r="AG27" s="2100"/>
      <c r="AH27" s="2100"/>
      <c r="AI27" s="322"/>
      <c r="AJ27" s="322"/>
      <c r="AK27" s="268"/>
      <c r="AL27" s="368"/>
      <c r="AM27" s="368"/>
      <c r="AN27" s="368"/>
      <c r="AO27" s="368"/>
      <c r="AP27" s="368"/>
    </row>
    <row s="3305" customFormat="1" customHeight="1" ht="18.75">
      <c r="A28" s="1398"/>
      <c r="B28" s="1398"/>
      <c r="C28" s="1398"/>
      <c r="D28" s="1398"/>
      <c r="E28" s="1398"/>
      <c r="F28" s="1398"/>
      <c r="G28" s="1398"/>
      <c r="H28" s="1398"/>
      <c r="I28" s="1398"/>
      <c r="J28" s="1398"/>
      <c r="K28" s="1398"/>
      <c r="L28" s="1399"/>
      <c r="M28" s="1398"/>
      <c r="N28" s="1398"/>
      <c r="O28" s="1398"/>
      <c r="S28" s="2098" t="s">
        <v>415</v>
      </c>
      <c r="T28" s="2098"/>
      <c r="U28" s="1402"/>
      <c r="V28" s="2099" t="str">
        <f>IF(TITLE_DATE_PR_CHANGE="",IF(TITLE_DATE_PR="","",TITLE_DATE_PR),TITLE_DATE_PR_CHANGE)</f>
        <v>45280.56123842593</v>
      </c>
      <c r="W28" s="2099"/>
      <c r="X28" s="2099"/>
      <c r="Y28" s="2099"/>
      <c r="Z28" s="2099"/>
      <c r="AA28" s="2099"/>
      <c r="AB28" s="322"/>
      <c r="AC28" s="2099" t="str">
        <f>IF(TITLE_DATE_PR_CHANGE="",IF(TITLE_DATE_PR="","",TITLE_DATE_PR),TITLE_DATE_PR_CHANGE)</f>
        <v>45280.56123842593</v>
      </c>
      <c r="AD28" s="2099"/>
      <c r="AE28" s="2099"/>
      <c r="AF28" s="2099"/>
      <c r="AG28" s="2099"/>
      <c r="AH28" s="2099"/>
      <c r="AI28" s="322"/>
      <c r="AJ28" s="322"/>
      <c r="AK28" s="268"/>
      <c r="AL28" s="368"/>
      <c r="AM28" s="368"/>
      <c r="AN28" s="368"/>
      <c r="AO28" s="368"/>
      <c r="AP28" s="368"/>
    </row>
    <row s="3305" customFormat="1" customHeight="1" ht="18.75">
      <c r="A29" s="1398"/>
      <c r="B29" s="1398"/>
      <c r="C29" s="1398"/>
      <c r="D29" s="1398"/>
      <c r="E29" s="1398"/>
      <c r="F29" s="1398"/>
      <c r="G29" s="1398"/>
      <c r="H29" s="1398"/>
      <c r="I29" s="1398"/>
      <c r="J29" s="1398"/>
      <c r="K29" s="1398"/>
      <c r="L29" s="1399"/>
      <c r="M29" s="1398"/>
      <c r="N29" s="1398"/>
      <c r="O29" s="1398"/>
      <c r="S29" s="2098" t="s">
        <v>416</v>
      </c>
      <c r="T29" s="2098"/>
      <c r="U29" s="1402"/>
      <c r="V29" s="2100" t="str">
        <f>IF(TITLE_NUMBER_PR_CHANGE="",IF(TITLE_NUMBER_PR="","",TITLE_NUMBER_PR),TITLE_NUMBER_PR_CHANGE)</f>
        <v>79-477-спр</v>
      </c>
      <c r="W29" s="2100"/>
      <c r="X29" s="2100"/>
      <c r="Y29" s="2100"/>
      <c r="Z29" s="2100"/>
      <c r="AA29" s="2100"/>
      <c r="AB29" s="322"/>
      <c r="AC29" s="2100" t="str">
        <f>IF(TITLE_NUMBER_PR_CHANGE="",IF(TITLE_NUMBER_PR="","",TITLE_NUMBER_PR),TITLE_NUMBER_PR_CHANGE)</f>
        <v>79-477-спр</v>
      </c>
      <c r="AD29" s="2100"/>
      <c r="AE29" s="2100"/>
      <c r="AF29" s="2100"/>
      <c r="AG29" s="2100"/>
      <c r="AH29" s="2100"/>
      <c r="AI29" s="322"/>
      <c r="AJ29" s="322"/>
      <c r="AK29" s="268"/>
      <c r="AL29" s="368"/>
      <c r="AM29" s="368"/>
      <c r="AN29" s="368"/>
      <c r="AO29" s="368"/>
      <c r="AP29" s="368"/>
    </row>
    <row s="3305" customFormat="1" customHeight="1" ht="18.75">
      <c r="A30" s="1398"/>
      <c r="B30" s="1398"/>
      <c r="C30" s="1398"/>
      <c r="D30" s="1398"/>
      <c r="E30" s="1398"/>
      <c r="F30" s="1398"/>
      <c r="G30" s="1398"/>
      <c r="H30" s="1398"/>
      <c r="I30" s="1398"/>
      <c r="J30" s="1398"/>
      <c r="K30" s="1398"/>
      <c r="L30" s="1399"/>
      <c r="M30" s="1398"/>
      <c r="N30" s="1398"/>
      <c r="O30" s="1398"/>
      <c r="S30" s="2098" t="s">
        <v>40</v>
      </c>
      <c r="T30" s="2098"/>
      <c r="U30" s="1402"/>
      <c r="V30" s="2100" t="str">
        <f>IF(TITLE_IST_PUB_CHANGE="",IF(TITLE_IST_PUB="","",TITLE_IST_PUB),TITLE_IST_PUB_CHANGE)</f>
        <v>Официальный сайт службы по тарифам Иркутской области http://irkobl.ru</v>
      </c>
      <c r="W30" s="2100"/>
      <c r="X30" s="2100"/>
      <c r="Y30" s="2100"/>
      <c r="Z30" s="2100"/>
      <c r="AA30" s="2100"/>
      <c r="AB30" s="322"/>
      <c r="AC30" s="2100" t="str">
        <f>IF(TITLE_IST_PUB_CHANGE="",IF(TITLE_IST_PUB="","",TITLE_IST_PUB),TITLE_IST_PUB_CHANGE)</f>
        <v>Официальный сайт службы по тарифам Иркутской области http://irkobl.ru</v>
      </c>
      <c r="AD30" s="2100"/>
      <c r="AE30" s="2100"/>
      <c r="AF30" s="2100"/>
      <c r="AG30" s="2100"/>
      <c r="AH30" s="2100"/>
      <c r="AI30" s="322"/>
      <c r="AJ30" s="322"/>
      <c r="AK30" s="268"/>
      <c r="AL30" s="368"/>
      <c r="AM30" s="368"/>
      <c r="AN30" s="368"/>
      <c r="AO30" s="368"/>
      <c r="AP30" s="368"/>
    </row>
    <row customHeight="1" ht="14.25" hidden="1">
      <c r="Q31" s="377"/>
      <c r="R31" s="377"/>
      <c r="S31" s="1305"/>
      <c r="T31" s="361"/>
      <c r="U31" s="361"/>
      <c r="V31" s="316"/>
      <c r="W31" s="316"/>
      <c r="X31" s="316"/>
      <c r="Y31" s="316"/>
      <c r="Z31" s="316"/>
      <c r="AA31" s="316"/>
      <c r="AB31" s="316"/>
      <c r="AC31" s="316"/>
      <c r="AD31" s="316"/>
      <c r="AE31" s="316"/>
      <c r="AF31" s="316"/>
      <c r="AG31" s="316"/>
      <c r="AH31" s="316"/>
      <c r="AI31" s="316"/>
      <c r="AJ31" s="515"/>
    </row>
    <row s="3305" customFormat="1" customHeight="1" ht="18.75" hidden="1">
      <c r="A32" s="1398"/>
      <c r="B32" s="1398"/>
      <c r="C32" s="1398"/>
      <c r="D32" s="1398"/>
      <c r="E32" s="1398"/>
      <c r="F32" s="1398"/>
      <c r="G32" s="1398"/>
      <c r="H32" s="1398"/>
      <c r="I32" s="1398"/>
      <c r="J32" s="1398"/>
      <c r="K32" s="1398"/>
      <c r="L32" s="1399"/>
      <c r="M32" s="1398"/>
      <c r="N32" s="1398"/>
      <c r="O32" s="1398"/>
      <c r="S32" s="2098" t="s">
        <v>417</v>
      </c>
      <c r="T32" s="2098"/>
      <c r="U32" s="1402"/>
      <c r="V32" s="2099" t="str">
        <f>IF(TITLE_DATE_PR_CHANGE="",IF(TITLE_DATE_PR="","",TITLE_DATE_PR),TITLE_DATE_PR_CHANGE)</f>
        <v>45280.56123842593</v>
      </c>
      <c r="W32" s="2099"/>
      <c r="X32" s="2099"/>
      <c r="Y32" s="2099"/>
      <c r="Z32" s="2099"/>
      <c r="AA32" s="2099"/>
      <c r="AB32" s="322"/>
      <c r="AC32" s="2099" t="str">
        <f>IF(TITLE_DATE_PR_CHANGE="",IF(TITLE_DATE_PR="","",TITLE_DATE_PR),TITLE_DATE_PR_CHANGE)</f>
        <v>45280.56123842593</v>
      </c>
      <c r="AD32" s="2099"/>
      <c r="AE32" s="2099"/>
      <c r="AF32" s="2099"/>
      <c r="AG32" s="2099"/>
      <c r="AH32" s="2099"/>
      <c r="AI32" s="322"/>
      <c r="AJ32" s="322"/>
      <c r="AK32" s="268"/>
      <c r="AL32" s="368"/>
      <c r="AM32" s="368"/>
      <c r="AN32" s="368"/>
      <c r="AO32" s="368"/>
      <c r="AP32" s="368"/>
    </row>
    <row s="3305" customFormat="1" customHeight="1" ht="18.75" hidden="1">
      <c r="A33" s="1398"/>
      <c r="B33" s="1398"/>
      <c r="C33" s="1398"/>
      <c r="D33" s="1398"/>
      <c r="E33" s="1398"/>
      <c r="F33" s="1398"/>
      <c r="G33" s="1398"/>
      <c r="H33" s="1398"/>
      <c r="I33" s="1398"/>
      <c r="J33" s="1398"/>
      <c r="K33" s="1398"/>
      <c r="L33" s="1399"/>
      <c r="M33" s="1398"/>
      <c r="N33" s="1398"/>
      <c r="O33" s="1398"/>
      <c r="S33" s="2098" t="s">
        <v>418</v>
      </c>
      <c r="T33" s="2098"/>
      <c r="U33" s="1402"/>
      <c r="V33" s="2100" t="str">
        <f>IF(TITLE_NUMBER_PR_CHANGE="",IF(TITLE_NUMBER_PR="","",TITLE_NUMBER_PR),TITLE_NUMBER_PR_CHANGE)</f>
        <v>79-477-спр</v>
      </c>
      <c r="W33" s="2100"/>
      <c r="X33" s="2100"/>
      <c r="Y33" s="2100"/>
      <c r="Z33" s="2100"/>
      <c r="AA33" s="2100"/>
      <c r="AB33" s="322"/>
      <c r="AC33" s="2100" t="str">
        <f>IF(TITLE_NUMBER_PR_CHANGE="",IF(TITLE_NUMBER_PR="","",TITLE_NUMBER_PR),TITLE_NUMBER_PR_CHANGE)</f>
        <v>79-477-спр</v>
      </c>
      <c r="AD33" s="2100"/>
      <c r="AE33" s="2100"/>
      <c r="AF33" s="2100"/>
      <c r="AG33" s="2100"/>
      <c r="AH33" s="2100"/>
      <c r="AI33" s="322"/>
      <c r="AJ33" s="322"/>
      <c r="AK33" s="268"/>
      <c r="AL33" s="368"/>
      <c r="AM33" s="368"/>
      <c r="AN33" s="368"/>
      <c r="AO33" s="368"/>
      <c r="AP33" s="368"/>
    </row>
    <row s="3305" customFormat="1" customHeight="1" ht="0.75">
      <c r="A34" s="1398"/>
      <c r="B34" s="1398"/>
      <c r="C34" s="1398"/>
      <c r="D34" s="1398"/>
      <c r="E34" s="1398"/>
      <c r="F34" s="1398"/>
      <c r="G34" s="1398"/>
      <c r="H34" s="1398"/>
      <c r="I34" s="1398"/>
      <c r="J34" s="1398"/>
      <c r="K34" s="1398"/>
      <c r="L34" s="1399"/>
      <c r="M34" s="1398"/>
      <c r="N34" s="1398"/>
      <c r="O34" s="1398"/>
      <c r="S34" s="318"/>
      <c r="T34" s="318"/>
      <c r="U34" s="1484"/>
      <c r="V34" s="322"/>
      <c r="W34" s="322"/>
      <c r="X34" s="322"/>
      <c r="Y34" s="322"/>
      <c r="Z34" s="322"/>
      <c r="AA34" s="322"/>
      <c r="AB34" s="266" t="s">
        <v>419</v>
      </c>
      <c r="AC34" s="322"/>
      <c r="AD34" s="322"/>
      <c r="AE34" s="322"/>
      <c r="AF34" s="322"/>
      <c r="AG34" s="322"/>
      <c r="AH34" s="322"/>
      <c r="AI34" s="266" t="s">
        <v>419</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293</v>
      </c>
      <c r="T36" s="1971"/>
      <c r="U36" s="1971"/>
      <c r="V36" s="1971"/>
      <c r="W36" s="1971"/>
      <c r="X36" s="1971"/>
      <c r="Y36" s="1971"/>
      <c r="Z36" s="1971"/>
      <c r="AA36" s="1971"/>
      <c r="AB36" s="1971"/>
      <c r="AC36" s="1971"/>
      <c r="AD36" s="1971"/>
      <c r="AE36" s="1971"/>
      <c r="AF36" s="1971"/>
      <c r="AG36" s="1971"/>
      <c r="AH36" s="1971"/>
      <c r="AI36" s="1971"/>
      <c r="AJ36" s="1971"/>
      <c r="AK36" s="1971" t="s">
        <v>294</v>
      </c>
    </row>
    <row customHeight="1" ht="14.25">
      <c r="Q37" s="377"/>
      <c r="R37" s="377"/>
      <c r="S37" s="2125" t="s">
        <v>88</v>
      </c>
      <c r="T37" s="2062" t="s">
        <v>420</v>
      </c>
      <c r="U37" s="289"/>
      <c r="V37" s="2126" t="s">
        <v>421</v>
      </c>
      <c r="W37" s="2127"/>
      <c r="X37" s="2127"/>
      <c r="Y37" s="2127"/>
      <c r="Z37" s="2127"/>
      <c r="AA37" s="2128"/>
      <c r="AB37" s="2129" t="s">
        <v>422</v>
      </c>
      <c r="AC37" s="2126" t="s">
        <v>421</v>
      </c>
      <c r="AD37" s="2127"/>
      <c r="AE37" s="2127"/>
      <c r="AF37" s="2127"/>
      <c r="AG37" s="2127"/>
      <c r="AH37" s="2128"/>
      <c r="AI37" s="2129" t="s">
        <v>423</v>
      </c>
      <c r="AJ37" s="2132" t="s">
        <v>424</v>
      </c>
      <c r="AK37" s="1971"/>
    </row>
    <row customHeight="1" ht="33.75">
      <c r="Q38" s="377"/>
      <c r="R38" s="377"/>
      <c r="S38" s="2125"/>
      <c r="T38" s="2062"/>
      <c r="U38" s="1038"/>
      <c r="V38" s="1482" t="s">
        <v>485</v>
      </c>
      <c r="W38" s="2118" t="s">
        <v>427</v>
      </c>
      <c r="X38" s="2120"/>
      <c r="Y38" s="2118" t="s">
        <v>428</v>
      </c>
      <c r="Z38" s="2119"/>
      <c r="AA38" s="2120"/>
      <c r="AB38" s="2130"/>
      <c r="AC38" s="1482" t="s">
        <v>485</v>
      </c>
      <c r="AD38" s="2118" t="s">
        <v>427</v>
      </c>
      <c r="AE38" s="2120"/>
      <c r="AF38" s="2118" t="s">
        <v>428</v>
      </c>
      <c r="AG38" s="2119"/>
      <c r="AH38" s="2120"/>
      <c r="AI38" s="2130"/>
      <c r="AJ38" s="2133"/>
      <c r="AK38" s="1971"/>
    </row>
    <row customHeight="1" ht="33.75">
      <c r="A39" s="1400"/>
      <c r="B39" s="1400" t="s">
        <v>136</v>
      </c>
      <c r="C39" s="1400" t="s">
        <v>137</v>
      </c>
      <c r="D39" s="1400" t="s">
        <v>138</v>
      </c>
      <c r="E39" s="1394" t="s">
        <v>429</v>
      </c>
      <c r="F39" s="1394" t="s">
        <v>430</v>
      </c>
      <c r="G39" s="1394" t="s">
        <v>431</v>
      </c>
      <c r="H39" s="1394"/>
      <c r="I39" s="1394" t="s">
        <v>486</v>
      </c>
      <c r="J39" s="1394" t="s">
        <v>434</v>
      </c>
      <c r="K39" s="1394" t="s">
        <v>487</v>
      </c>
      <c r="L39" s="1394" t="s">
        <v>410</v>
      </c>
      <c r="Q39" s="377"/>
      <c r="R39" s="377"/>
      <c r="S39" s="2125"/>
      <c r="T39" s="2062"/>
      <c r="U39" s="290"/>
      <c r="V39" s="1482" t="s">
        <v>488</v>
      </c>
      <c r="W39" s="1237" t="s">
        <v>489</v>
      </c>
      <c r="X39" s="1237" t="s">
        <v>490</v>
      </c>
      <c r="Y39" s="1485" t="s">
        <v>438</v>
      </c>
      <c r="Z39" s="2121" t="s">
        <v>439</v>
      </c>
      <c r="AA39" s="2122"/>
      <c r="AB39" s="2131"/>
      <c r="AC39" s="1482" t="s">
        <v>488</v>
      </c>
      <c r="AD39" s="1237" t="s">
        <v>489</v>
      </c>
      <c r="AE39" s="1237" t="s">
        <v>490</v>
      </c>
      <c r="AF39" s="1485" t="s">
        <v>438</v>
      </c>
      <c r="AG39" s="2121" t="s">
        <v>439</v>
      </c>
      <c r="AH39" s="2122"/>
      <c r="AI39" s="2131"/>
      <c r="AJ39" s="2134"/>
      <c r="AK39" s="1971"/>
    </row>
    <row s="2610" customFormat="1" customHeight="1" ht="0">
      <c r="A40" s="1400"/>
      <c r="B40" s="1400"/>
      <c r="C40" s="1400"/>
      <c r="D40" s="1400"/>
      <c r="E40" s="1400"/>
      <c r="F40" s="1400"/>
      <c r="G40" s="1400"/>
      <c r="H40" s="1400"/>
      <c r="I40" s="1400"/>
      <c r="J40" s="1400"/>
      <c r="K40" s="1400"/>
      <c r="L40" s="1394"/>
      <c r="M40" s="1392"/>
      <c r="N40" s="1392"/>
      <c r="O40" s="1392"/>
      <c r="P40" s="1264"/>
      <c r="Q40" s="1265"/>
      <c r="R40" s="1280">
        <v>1</v>
      </c>
      <c r="S40" s="1307" t="s">
        <v>110</v>
      </c>
      <c r="T40" s="1281" t="s">
        <v>111</v>
      </c>
      <c r="U40" s="1263" t="str">
        <f>OFFSET(U40,0,-1)</f>
        <v>2</v>
      </c>
      <c r="V40" s="1481">
        <f>OFFSET(V40,0,-1)+1</f>
        <v>3</v>
      </c>
      <c r="W40" s="1481">
        <f>OFFSET(W40,0,-1)+1</f>
        <v>4</v>
      </c>
      <c r="X40" s="1481">
        <f>OFFSET(X40,0,-1)+1</f>
        <v>5</v>
      </c>
      <c r="Y40" s="1481">
        <f>OFFSET(Y40,0,-1)+1</f>
        <v>6</v>
      </c>
      <c r="Z40" s="2123">
        <f>OFFSET(Z40,0,-1)+1</f>
        <v>7</v>
      </c>
      <c r="AA40" s="2123"/>
      <c r="AB40" s="1481">
        <f>OFFSET(AB40,0,-2)+1</f>
        <v>8</v>
      </c>
      <c r="AC40" s="1481">
        <f>OFFSET(AC40,0,-1)+1</f>
        <v>9</v>
      </c>
      <c r="AD40" s="1481">
        <f>OFFSET(AD40,0,-1)+1</f>
        <v>10</v>
      </c>
      <c r="AE40" s="1481">
        <f>OFFSET(AE40,0,-1)+1</f>
        <v>11</v>
      </c>
      <c r="AF40" s="1481">
        <f>OFFSET(AF40,0,-1)+1</f>
        <v>12</v>
      </c>
      <c r="AG40" s="2123">
        <f>OFFSET(AG40,0,-1)+1</f>
        <v>13</v>
      </c>
      <c r="AH40" s="2123"/>
      <c r="AI40" s="1481">
        <f>OFFSET(AI40,0,-2)+1</f>
        <v>14</v>
      </c>
      <c r="AJ40" s="1263">
        <f>OFFSET(AJ40,0,-1)</f>
        <v>14</v>
      </c>
      <c r="AK40" s="1481">
        <f>OFFSET(AK40,0,-1)+1</f>
        <v>15</v>
      </c>
      <c r="AL40" s="517"/>
      <c r="AM40" s="517"/>
      <c r="AN40" s="517"/>
      <c r="AO40" s="517"/>
      <c r="AP40" s="517"/>
    </row>
    <row customHeight="1" ht="23.25">
      <c r="A41" s="1393" t="s">
        <v>229</v>
      </c>
      <c r="B41" s="1393"/>
      <c r="C41" s="1393"/>
      <c r="D41" s="1393"/>
      <c r="E41" s="2107">
        <v>1</v>
      </c>
      <c r="F41" s="1393"/>
      <c r="G41" s="1393"/>
      <c r="H41" s="1393"/>
      <c r="I41" s="1393"/>
      <c r="J41" s="1393"/>
      <c r="K41" s="1393"/>
      <c r="L41" s="1394"/>
      <c r="M41" s="1395"/>
      <c r="N41" s="1395"/>
      <c r="O41" s="1395"/>
      <c r="P41" s="357"/>
      <c r="Q41" s="356"/>
      <c r="R41" s="351"/>
      <c r="S41" s="1487">
        <f>INDEX(PT_DIFFERENTIATION_NUM_NTAR,MATCH(A41,PT_DIFFERENTIATION_NTAR_ID,0))</f>
        <v>0</v>
      </c>
      <c r="T41" s="286" t="s">
        <v>124</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229</v>
      </c>
      <c r="B42" s="1393" t="s">
        <v>230</v>
      </c>
      <c r="C42" s="1393"/>
      <c r="D42" s="1393"/>
      <c r="E42" s="2108"/>
      <c r="F42" s="2107">
        <v>1</v>
      </c>
      <c r="G42" s="1393"/>
      <c r="H42" s="1393"/>
      <c r="I42" s="1393"/>
      <c r="J42" s="1393"/>
      <c r="K42" s="1393"/>
      <c r="L42" s="1394"/>
      <c r="M42" s="1395"/>
      <c r="N42" s="1395"/>
      <c r="O42" s="1395"/>
      <c r="P42" s="1483"/>
      <c r="Q42" s="348"/>
      <c r="R42" s="349"/>
      <c r="S42" s="1487" t="str">
        <f>INDEX(PT_DIFFERENTIATION_NUM_TER,MATCH(B42,PT_DIFFERENTIATION_TER_ID,0))</f>
        <v>.</v>
      </c>
      <c r="T42" s="298" t="s">
        <v>392</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393</v>
      </c>
      <c r="AM42" s="506"/>
      <c r="AN42" s="506" t="str">
        <f>IF(T42="","",T42)</f>
        <v>Территория действия тарифа</v>
      </c>
      <c r="AO42" s="506"/>
      <c r="AP42" s="506"/>
    </row>
    <row customHeight="1" ht="23.25">
      <c r="A43" s="1393" t="s">
        <v>229</v>
      </c>
      <c r="B43" s="1393" t="s">
        <v>230</v>
      </c>
      <c r="C43" s="1393" t="s">
        <v>231</v>
      </c>
      <c r="D43" s="1393"/>
      <c r="E43" s="2108"/>
      <c r="F43" s="2108"/>
      <c r="G43" s="2107">
        <v>1</v>
      </c>
      <c r="H43" s="1393"/>
      <c r="I43" s="1393"/>
      <c r="J43" s="1393"/>
      <c r="K43" s="1393"/>
      <c r="L43" s="1394"/>
      <c r="M43" s="1395"/>
      <c r="N43" s="1395"/>
      <c r="O43" s="1395"/>
      <c r="P43" s="350"/>
      <c r="Q43" s="348"/>
      <c r="R43" s="349"/>
      <c r="S43" s="1487" t="str">
        <f>INDEX(PT_DIFFERENTIATION_NUM_CS,MATCH(C43,PT_DIFFERENTIATION_CS_ID,0))</f>
        <v>..</v>
      </c>
      <c r="T43" s="299" t="s">
        <v>477</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478</v>
      </c>
      <c r="AM43" s="506"/>
      <c r="AN43" s="506" t="str">
        <f>IF(T43="","",T43)</f>
        <v>Наименование централизованной системы холодного водоснабжения</v>
      </c>
      <c r="AO43" s="506"/>
      <c r="AP43" s="506"/>
    </row>
    <row customHeight="1" ht="23.25">
      <c r="A44" s="1393" t="s">
        <v>229</v>
      </c>
      <c r="B44" s="1393" t="s">
        <v>230</v>
      </c>
      <c r="C44" s="1393" t="s">
        <v>231</v>
      </c>
      <c r="D44" s="1393" t="s">
        <v>493</v>
      </c>
      <c r="E44" s="2108"/>
      <c r="F44" s="2108"/>
      <c r="G44" s="2108"/>
      <c r="H44" s="2108"/>
      <c r="I44" s="2109" t="str">
        <f>S43&amp;".1"</f>
        <v>...1</v>
      </c>
      <c r="J44" s="1393"/>
      <c r="K44" s="1393"/>
      <c r="L44" s="1394"/>
      <c r="P44" s="2111">
        <v>1</v>
      </c>
      <c r="Q44" s="1480"/>
      <c r="R44" s="352"/>
      <c r="S44" s="1487" t="str">
        <f>$I44</f>
        <v>...1</v>
      </c>
      <c r="T44" s="273" t="s">
        <v>479</v>
      </c>
      <c r="U44" s="288"/>
      <c r="V44" s="2194"/>
      <c r="W44" s="2195"/>
      <c r="X44" s="2195"/>
      <c r="Y44" s="2195"/>
      <c r="Z44" s="2195"/>
      <c r="AA44" s="2195"/>
      <c r="AB44" s="2196"/>
      <c r="AC44" s="2197"/>
      <c r="AD44" s="2198"/>
      <c r="AE44" s="2198"/>
      <c r="AF44" s="2198"/>
      <c r="AG44" s="2198"/>
      <c r="AH44" s="2198"/>
      <c r="AI44" s="2198"/>
      <c r="AJ44" s="2199"/>
      <c r="AK44" s="1286" t="s">
        <v>480</v>
      </c>
      <c r="AM44" s="506"/>
      <c r="AN44" s="506" t="str">
        <f>IF(T44="","",T44)</f>
        <v>Наименование признака дифференциации</v>
      </c>
      <c r="AO44" s="506"/>
      <c r="AP44" s="506"/>
    </row>
    <row customHeight="1" ht="23.25">
      <c r="A45" s="1393" t="s">
        <v>229</v>
      </c>
      <c r="B45" s="1393" t="s">
        <v>230</v>
      </c>
      <c r="C45" s="1393" t="s">
        <v>231</v>
      </c>
      <c r="D45" s="1393" t="s">
        <v>493</v>
      </c>
      <c r="E45" s="2108"/>
      <c r="F45" s="2108"/>
      <c r="G45" s="2108"/>
      <c r="H45" s="2108"/>
      <c r="I45" s="2110"/>
      <c r="J45" s="2109" t="str">
        <f>I44&amp;".1"</f>
        <v>...1.1</v>
      </c>
      <c r="K45" s="1393"/>
      <c r="L45" s="1394" t="s">
        <v>401</v>
      </c>
      <c r="P45" s="2111"/>
      <c r="Q45" s="2111">
        <v>1</v>
      </c>
      <c r="R45" s="353"/>
      <c r="S45" s="1487" t="str">
        <f>$J45</f>
        <v>...1.1</v>
      </c>
      <c r="T45" s="274" t="s">
        <v>402</v>
      </c>
      <c r="U45" s="288"/>
      <c r="V45" s="2095"/>
      <c r="W45" s="2096"/>
      <c r="X45" s="2096"/>
      <c r="Y45" s="2096"/>
      <c r="Z45" s="2096"/>
      <c r="AA45" s="2096"/>
      <c r="AB45" s="2097"/>
      <c r="AC45" s="2095"/>
      <c r="AD45" s="2096"/>
      <c r="AE45" s="2096"/>
      <c r="AF45" s="2096"/>
      <c r="AG45" s="2096"/>
      <c r="AH45" s="2096"/>
      <c r="AI45" s="2096"/>
      <c r="AJ45" s="2097"/>
      <c r="AK45" s="1337" t="s">
        <v>481</v>
      </c>
      <c r="AM45" s="506"/>
      <c r="AN45" s="506" t="str">
        <f>IF(T45="","",T45)</f>
        <v>Группа потребителей</v>
      </c>
      <c r="AO45" s="506"/>
      <c r="AP45" s="506"/>
    </row>
    <row customHeight="1" ht="23.25">
      <c r="A46" s="1393" t="s">
        <v>229</v>
      </c>
      <c r="B46" s="1393" t="s">
        <v>230</v>
      </c>
      <c r="C46" s="1393" t="s">
        <v>231</v>
      </c>
      <c r="D46" s="1393" t="s">
        <v>493</v>
      </c>
      <c r="E46" s="2108"/>
      <c r="F46" s="2108"/>
      <c r="G46" s="2108"/>
      <c r="H46" s="2108"/>
      <c r="I46" s="2110"/>
      <c r="J46" s="2110"/>
      <c r="K46" s="2109" t="str">
        <f>J45&amp;".1"</f>
        <v>...1.1.1</v>
      </c>
      <c r="L46" s="1394"/>
      <c r="P46" s="2111"/>
      <c r="Q46" s="2111"/>
      <c r="R46" s="353">
        <v>1</v>
      </c>
      <c r="S46" s="1487" t="str">
        <f>$K46</f>
        <v>...1.1.1</v>
      </c>
      <c r="T46" s="1467"/>
      <c r="U46" s="288"/>
      <c r="V46" s="757"/>
      <c r="W46" s="757"/>
      <c r="X46" s="1285"/>
      <c r="Y46" s="2112"/>
      <c r="Z46" s="1981" t="s">
        <v>62</v>
      </c>
      <c r="AA46" s="2112"/>
      <c r="AB46" s="1981" t="s">
        <v>62</v>
      </c>
      <c r="AC46" s="757"/>
      <c r="AD46" s="757"/>
      <c r="AE46" s="1285"/>
      <c r="AF46" s="2112"/>
      <c r="AG46" s="1981" t="s">
        <v>62</v>
      </c>
      <c r="AH46" s="2114"/>
      <c r="AI46" s="1981" t="s">
        <v>62</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229</v>
      </c>
      <c r="B47" s="1393" t="s">
        <v>230</v>
      </c>
      <c r="C47" s="1393" t="s">
        <v>231</v>
      </c>
      <c r="D47" s="1393" t="s">
        <v>493</v>
      </c>
      <c r="E47" s="2108"/>
      <c r="F47" s="2108"/>
      <c r="G47" s="2108"/>
      <c r="H47" s="2108"/>
      <c r="I47" s="2110"/>
      <c r="J47" s="2110"/>
      <c r="K47" s="2109"/>
      <c r="L47" s="1394"/>
      <c r="P47" s="2111"/>
      <c r="Q47" s="2111"/>
      <c r="R47" s="353"/>
      <c r="S47" s="1486"/>
      <c r="T47" s="288"/>
      <c r="U47" s="288"/>
      <c r="V47" s="320"/>
      <c r="W47" s="320"/>
      <c r="X47" s="324" t="str">
        <f>Y46&amp;"-"&amp;AA46</f>
        <v>-</v>
      </c>
      <c r="Y47" s="2113"/>
      <c r="Z47" s="1981"/>
      <c r="AA47" s="2113"/>
      <c r="AB47" s="1981"/>
      <c r="AC47" s="320"/>
      <c r="AD47" s="320"/>
      <c r="AE47" s="324" t="str">
        <f>AF46&amp;"-"&amp;AH46</f>
        <v>-</v>
      </c>
      <c r="AF47" s="2113"/>
      <c r="AG47" s="1981"/>
      <c r="AH47" s="2115"/>
      <c r="AI47" s="1981"/>
      <c r="AJ47" s="1469"/>
      <c r="AK47" s="2200"/>
      <c r="AM47" s="506"/>
      <c r="AN47" s="506" t="str">
        <f>IF(T47="","",T47)</f>
        <v/>
      </c>
      <c r="AO47" s="506"/>
      <c r="AP47" s="506"/>
    </row>
    <row customHeight="1" ht="21">
      <c r="A48" s="1393" t="s">
        <v>229</v>
      </c>
      <c r="B48" s="1393" t="s">
        <v>230</v>
      </c>
      <c r="C48" s="1393" t="s">
        <v>231</v>
      </c>
      <c r="D48" s="1393" t="s">
        <v>493</v>
      </c>
      <c r="E48" s="2108"/>
      <c r="F48" s="2108"/>
      <c r="G48" s="2108"/>
      <c r="H48" s="2108"/>
      <c r="I48" s="2110"/>
      <c r="J48" s="2109"/>
      <c r="K48" s="1393"/>
      <c r="L48" s="1394"/>
      <c r="P48" s="2111"/>
      <c r="Q48" s="2111"/>
      <c r="R48" s="352"/>
      <c r="S48" s="1308"/>
      <c r="T48" s="275" t="s">
        <v>482</v>
      </c>
      <c r="U48" s="367"/>
      <c r="V48" s="367"/>
      <c r="W48" s="367"/>
      <c r="X48" s="367"/>
      <c r="Y48" s="367"/>
      <c r="Z48" s="367"/>
      <c r="AA48" s="367"/>
      <c r="AB48" s="367"/>
      <c r="AC48" s="367"/>
      <c r="AD48" s="367"/>
      <c r="AE48" s="367"/>
      <c r="AF48" s="367"/>
      <c r="AG48" s="367"/>
      <c r="AH48" s="367"/>
      <c r="AI48" s="367"/>
      <c r="AJ48" s="367"/>
      <c r="AK48" s="1286" t="s">
        <v>483</v>
      </c>
      <c r="AM48" s="506"/>
      <c r="AN48" s="506" t="str">
        <f>IF(T48="","",T48)</f>
        <v>Добавить значение признака дифференциации</v>
      </c>
      <c r="AO48" s="506"/>
      <c r="AP48" s="506"/>
    </row>
    <row customHeight="1" ht="21">
      <c r="A49" s="1393" t="s">
        <v>229</v>
      </c>
      <c r="B49" s="1393" t="s">
        <v>230</v>
      </c>
      <c r="C49" s="1393" t="s">
        <v>231</v>
      </c>
      <c r="D49" s="1393" t="s">
        <v>493</v>
      </c>
      <c r="E49" s="2108"/>
      <c r="F49" s="2108"/>
      <c r="G49" s="2108"/>
      <c r="H49" s="2108"/>
      <c r="I49" s="2109"/>
      <c r="J49" s="1393"/>
      <c r="K49" s="1393"/>
      <c r="L49" s="1394"/>
      <c r="P49" s="2111"/>
      <c r="Q49" s="1480"/>
      <c r="R49" s="352"/>
      <c r="S49" s="1308"/>
      <c r="T49" s="364" t="s">
        <v>407</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229</v>
      </c>
      <c r="B50" s="1393" t="s">
        <v>230</v>
      </c>
      <c r="C50" s="1393" t="s">
        <v>231</v>
      </c>
      <c r="D50" s="1393" t="s">
        <v>493</v>
      </c>
      <c r="E50" s="2108"/>
      <c r="F50" s="2108"/>
      <c r="G50" s="2108"/>
      <c r="H50" s="2107"/>
      <c r="I50" s="1393"/>
      <c r="J50" s="1393"/>
      <c r="K50" s="1393"/>
      <c r="L50" s="1394"/>
      <c r="M50" s="1395"/>
      <c r="N50" s="1395"/>
      <c r="O50" s="543"/>
      <c r="P50" s="356"/>
      <c r="Q50" s="376"/>
      <c r="R50" s="351"/>
      <c r="S50" s="1308"/>
      <c r="T50" s="372" t="s">
        <v>484</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73" customFormat="1" customHeight="1" ht="0">
      <c r="A51" s="1373" t="s">
        <v>229</v>
      </c>
      <c r="B51" s="1373" t="s">
        <v>230</v>
      </c>
      <c r="C51" s="1344"/>
      <c r="D51" s="1344"/>
      <c r="E51" s="2108"/>
      <c r="F51" s="2107"/>
      <c r="G51" s="1344"/>
      <c r="H51" s="1344"/>
      <c r="I51" s="1344"/>
      <c r="J51" s="1344"/>
      <c r="K51" s="1344"/>
      <c r="L51" s="1488"/>
      <c r="M51" s="1351"/>
      <c r="N51" s="1351"/>
      <c r="P51" s="1346"/>
      <c r="Q51" s="1347"/>
      <c r="R51" s="1346"/>
      <c r="S51" s="1352"/>
      <c r="T51" s="1355" t="s">
        <v>182</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1" customFormat="1" customHeight="1" ht="0">
      <c r="A52" s="1373" t="s">
        <v>229</v>
      </c>
      <c r="B52" s="1373"/>
      <c r="C52" s="1373"/>
      <c r="D52" s="1373"/>
      <c r="E52" s="2107"/>
      <c r="F52" s="1373"/>
      <c r="G52" s="1373"/>
      <c r="H52" s="1373"/>
      <c r="I52" s="1373"/>
      <c r="J52" s="1373"/>
      <c r="K52" s="1373"/>
      <c r="L52" s="1376"/>
      <c r="M52" s="1351"/>
      <c r="N52" s="1351"/>
      <c r="O52" s="524"/>
      <c r="P52" s="385"/>
      <c r="Q52" s="1374"/>
      <c r="R52" s="385"/>
      <c r="S52" s="1352"/>
      <c r="T52" s="1355" t="s">
        <v>183</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73" customFormat="1" customHeight="1" ht="0">
      <c r="A53" s="1344"/>
      <c r="B53" s="1344"/>
      <c r="C53" s="1344"/>
      <c r="D53" s="1344"/>
      <c r="E53" s="1373"/>
      <c r="F53" s="1344"/>
      <c r="G53" s="1344"/>
      <c r="H53" s="1344"/>
      <c r="I53" s="1344"/>
      <c r="J53" s="1344"/>
      <c r="K53" s="1344"/>
      <c r="L53" s="1488"/>
      <c r="M53" s="1351"/>
      <c r="N53" s="1351"/>
      <c r="P53" s="1346"/>
      <c r="Q53" s="1347"/>
      <c r="R53" s="1346"/>
      <c r="S53" s="1352"/>
      <c r="T53" s="1355" t="s">
        <v>184</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9C5CBF2-B134-5E31-A58F-5A3EC5B6FE9A}"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92" width="10.57421875" hidden="1"/>
    <col min="2" max="2" style="3292" width="11.00390625" hidden="1" customWidth="1"/>
    <col min="3" max="3" style="3292" width="10.57421875" hidden="1"/>
    <col min="4" max="4" style="3292" width="11.8515625" hidden="1" customWidth="1"/>
    <col min="5" max="5" style="3292" width="10.00390625" hidden="1" customWidth="1"/>
    <col min="6" max="6" style="3292" width="8.7109375" hidden="1" customWidth="1"/>
    <col min="7" max="7" style="3292" width="7.57421875" hidden="1" customWidth="1"/>
    <col min="8" max="8" style="3292" width="11.421875" hidden="1" customWidth="1"/>
    <col min="9" max="9" style="3292" width="14.140625" hidden="1" customWidth="1"/>
    <col min="10" max="10" style="3292" width="9.8515625" hidden="1" customWidth="1"/>
    <col min="11" max="11" style="3292" width="14.7109375" hidden="1" customWidth="1"/>
    <col min="12" max="12" style="3790" width="19.140625" hidden="1" customWidth="1"/>
    <col min="13" max="14" style="3294" width="12.28125" hidden="1" customWidth="1"/>
    <col min="15" max="15" style="3294" width="23.421875" hidden="1" customWidth="1"/>
    <col min="16" max="16" style="3795" width="3.7109375" customWidth="1"/>
    <col min="17" max="18" style="3371" width="3.7109375" customWidth="1"/>
    <col min="19" max="19" style="3372" width="12.7109375" customWidth="1"/>
    <col min="20" max="20" style="2939" width="35.7109375" customWidth="1"/>
    <col min="21" max="21" style="2939" width="0.140625" customWidth="1"/>
    <col min="22" max="24" style="2939" width="24.7109375" hidden="1" customWidth="1"/>
    <col min="25" max="25" style="2939" width="11.7109375" hidden="1" customWidth="1"/>
    <col min="26" max="26" style="2939" width="3.7109375" hidden="1" customWidth="1"/>
    <col min="27" max="27" style="2939" width="11.7109375" hidden="1" customWidth="1"/>
    <col min="28" max="28" style="2939" width="8.57421875" hidden="1" customWidth="1"/>
    <col min="29" max="31" style="2939" width="24.7109375" customWidth="1"/>
    <col min="32" max="32" style="2939" width="11.7109375" customWidth="1"/>
    <col min="33" max="33" style="2939" width="3.7109375" customWidth="1"/>
    <col min="34" max="34" style="2939" width="11.7109375" customWidth="1"/>
    <col min="35" max="35" style="2939" width="8.57421875" hidden="1" customWidth="1"/>
    <col min="36" max="36" style="2939" width="4.7109375" customWidth="1"/>
    <col min="37" max="37" style="2939" width="115.7109375" customWidth="1"/>
    <col min="38" max="39" style="2611" width="10.57421875"/>
    <col min="40" max="40" style="2611" width="11.140625" customWidth="1"/>
    <col min="41" max="42" style="2611"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487">
        <f>INDEX(PT_DIFFERENTIATION_NUM_NTAR,MATCH(A2,PT_DIFFERENTIATION_NTAR_ID,0))</f>
      </c>
      <c r="T2" s="286" t="s">
        <v>124</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483"/>
      <c r="Q3" s="348"/>
      <c r="R3" s="349"/>
      <c r="S3" s="1487">
        <f>INDEX(PT_DIFFERENTIATION_NUM_TER,MATCH(B3,PT_DIFFERENTIATION_TER_ID,0))</f>
      </c>
      <c r="T3" s="298" t="s">
        <v>392</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393</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487">
        <f>INDEX(PT_DIFFERENTIATION_NUM_CS,MATCH(C4,PT_DIFFERENTIATION_CS_ID,0))</f>
      </c>
      <c r="T4" s="299" t="s">
        <v>477</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478</v>
      </c>
      <c r="AM4" s="506"/>
      <c r="AN4" s="506" t="str">
        <f>IF(T4="","",T4)</f>
        <v>Наименование централизованной системы холодного водоснабжения</v>
      </c>
      <c r="AO4" s="506"/>
      <c r="AP4" s="506"/>
    </row>
    <row customHeight="1" ht="23.25" hidden="1">
      <c r="A5" s="1393"/>
      <c r="B5" s="1393"/>
      <c r="C5" s="1393"/>
      <c r="D5" s="1393"/>
      <c r="E5" s="2108"/>
      <c r="F5" s="2108"/>
      <c r="G5" s="2108"/>
      <c r="H5" s="2108"/>
      <c r="I5" s="2109">
        <f>S4&amp;".1"</f>
      </c>
      <c r="J5" s="1393"/>
      <c r="K5" s="1393"/>
      <c r="L5" s="1394"/>
      <c r="P5" s="2111">
        <v>1</v>
      </c>
      <c r="Q5" s="1480"/>
      <c r="R5" s="352"/>
      <c r="S5" s="1487">
        <f>$I5</f>
      </c>
      <c r="T5" s="273" t="s">
        <v>479</v>
      </c>
      <c r="U5" s="288"/>
      <c r="V5" s="2194"/>
      <c r="W5" s="2195"/>
      <c r="X5" s="2195"/>
      <c r="Y5" s="2195"/>
      <c r="Z5" s="2195"/>
      <c r="AA5" s="2195"/>
      <c r="AB5" s="2196"/>
      <c r="AC5" s="2197"/>
      <c r="AD5" s="2198"/>
      <c r="AE5" s="2198"/>
      <c r="AF5" s="2198"/>
      <c r="AG5" s="2198"/>
      <c r="AH5" s="2198"/>
      <c r="AI5" s="2198"/>
      <c r="AJ5" s="2199"/>
      <c r="AK5" s="1286" t="s">
        <v>480</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401</v>
      </c>
      <c r="P6" s="2111"/>
      <c r="Q6" s="2111">
        <v>1</v>
      </c>
      <c r="R6" s="353"/>
      <c r="S6" s="1487">
        <f>$J6</f>
      </c>
      <c r="T6" s="274" t="s">
        <v>402</v>
      </c>
      <c r="U6" s="288"/>
      <c r="V6" s="2095"/>
      <c r="W6" s="2096"/>
      <c r="X6" s="2096"/>
      <c r="Y6" s="2096"/>
      <c r="Z6" s="2096"/>
      <c r="AA6" s="2096"/>
      <c r="AB6" s="2097"/>
      <c r="AC6" s="2095"/>
      <c r="AD6" s="2096"/>
      <c r="AE6" s="2096"/>
      <c r="AF6" s="2096"/>
      <c r="AG6" s="2096"/>
      <c r="AH6" s="2096"/>
      <c r="AI6" s="2096"/>
      <c r="AJ6" s="2097"/>
      <c r="AK6" s="1337" t="s">
        <v>481</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487">
        <f>$K7</f>
      </c>
      <c r="T7" s="1467"/>
      <c r="U7" s="288"/>
      <c r="V7" s="757"/>
      <c r="W7" s="757"/>
      <c r="X7" s="1285"/>
      <c r="Y7" s="2112"/>
      <c r="Z7" s="1981" t="s">
        <v>62</v>
      </c>
      <c r="AA7" s="2112"/>
      <c r="AB7" s="1981" t="s">
        <v>62</v>
      </c>
      <c r="AC7" s="757"/>
      <c r="AD7" s="757"/>
      <c r="AE7" s="1285"/>
      <c r="AF7" s="2112"/>
      <c r="AG7" s="1981" t="s">
        <v>62</v>
      </c>
      <c r="AH7" s="2114"/>
      <c r="AI7" s="1981" t="s">
        <v>62</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486"/>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482</v>
      </c>
      <c r="U9" s="367"/>
      <c r="V9" s="367"/>
      <c r="W9" s="367"/>
      <c r="X9" s="367"/>
      <c r="Y9" s="367"/>
      <c r="Z9" s="367"/>
      <c r="AA9" s="367"/>
      <c r="AB9" s="367"/>
      <c r="AC9" s="367"/>
      <c r="AD9" s="367"/>
      <c r="AE9" s="367"/>
      <c r="AF9" s="367"/>
      <c r="AG9" s="367"/>
      <c r="AH9" s="367"/>
      <c r="AI9" s="367"/>
      <c r="AJ9" s="367"/>
      <c r="AK9" s="1286" t="s">
        <v>483</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480"/>
      <c r="R10" s="352"/>
      <c r="S10" s="1308"/>
      <c r="T10" s="364" t="s">
        <v>407</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484</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73" customFormat="1" customHeight="1" ht="14.25" hidden="1">
      <c r="A12" s="1373"/>
      <c r="B12" s="1373"/>
      <c r="C12" s="1344"/>
      <c r="D12" s="1344"/>
      <c r="E12" s="2108"/>
      <c r="F12" s="2107"/>
      <c r="G12" s="1344"/>
      <c r="H12" s="1344"/>
      <c r="I12" s="1344"/>
      <c r="J12" s="1344"/>
      <c r="K12" s="1344"/>
      <c r="L12" s="1488"/>
      <c r="M12" s="1351"/>
      <c r="N12" s="1351"/>
      <c r="P12" s="1346"/>
      <c r="Q12" s="1347"/>
      <c r="R12" s="1346"/>
      <c r="S12" s="1352"/>
      <c r="T12" s="1355" t="s">
        <v>182</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1"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183</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62</v>
      </c>
      <c r="AH15" s="2105"/>
      <c r="AI15" s="2104" t="s">
        <v>62</v>
      </c>
    </row>
    <row customHeight="1" ht="14.25" hidden="1">
      <c r="AC16" s="1390"/>
      <c r="AD16" s="1390"/>
      <c r="AE16" s="324" t="str">
        <f>AF15&amp;"-"&amp;AH15</f>
        <v>-</v>
      </c>
      <c r="AF16" s="2104"/>
      <c r="AG16" s="2104"/>
      <c r="AH16" s="2104"/>
      <c r="AI16" s="2104"/>
    </row>
    <row customHeight="1" ht="14.25" hidden="1">
      <c r="AI17" s="323"/>
    </row>
    <row s="3292" customFormat="1" customHeight="1" ht="22.5" hidden="1">
      <c r="L18" s="1477"/>
      <c r="M18" s="1392"/>
      <c r="N18" s="1392"/>
      <c r="O18" s="1397" t="s">
        <v>409</v>
      </c>
      <c r="P18" s="1392"/>
      <c r="Q18" s="1401"/>
      <c r="R18" s="1401"/>
      <c r="S18" s="735"/>
      <c r="Y18" s="1397"/>
      <c r="AA18" s="1397"/>
      <c r="AB18" s="1396"/>
      <c r="AF18" s="1397"/>
      <c r="AH18" s="1397"/>
      <c r="AI18" s="1396"/>
      <c r="AL18" s="517"/>
      <c r="AM18" s="517"/>
      <c r="AN18" s="517"/>
      <c r="AO18" s="517"/>
      <c r="AP18" s="517"/>
    </row>
    <row s="3292" customFormat="1" customHeight="1" ht="14.25" hidden="1">
      <c r="L19" s="1477"/>
      <c r="M19" s="1392"/>
      <c r="N19" s="1392"/>
      <c r="O19" s="1392"/>
      <c r="P19" s="1392"/>
      <c r="Q19" s="1401"/>
      <c r="R19" s="1401"/>
      <c r="S19" s="735"/>
      <c r="AB19" s="1396"/>
      <c r="AI19" s="1396"/>
      <c r="AL19" s="517"/>
      <c r="AM19" s="517"/>
      <c r="AN19" s="517"/>
      <c r="AO19" s="517"/>
      <c r="AP19" s="517"/>
    </row>
    <row s="3292" customFormat="1" customHeight="1" ht="12" hidden="1">
      <c r="L20" s="1477"/>
      <c r="M20" s="1392"/>
      <c r="N20" s="1392"/>
      <c r="O20" s="1394" t="s">
        <v>410</v>
      </c>
      <c r="P20" s="1392"/>
      <c r="Q20" s="1472"/>
      <c r="R20" s="1472"/>
      <c r="S20" s="735"/>
      <c r="T20" s="1168" t="s">
        <v>411</v>
      </c>
      <c r="Z20" s="172" t="s">
        <v>412</v>
      </c>
      <c r="AB20" s="172" t="s">
        <v>413</v>
      </c>
      <c r="AC20" s="1168" t="s">
        <v>411</v>
      </c>
      <c r="AG20" s="172" t="s">
        <v>414</v>
      </c>
      <c r="AI20" s="172" t="s">
        <v>413</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ЗАО "Байкалэнерго"</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305" customFormat="1" customHeight="1" ht="25.5">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Служба по тарифам Иркутской области</v>
      </c>
      <c r="W27" s="2100"/>
      <c r="X27" s="2100"/>
      <c r="Y27" s="2100"/>
      <c r="Z27" s="2100"/>
      <c r="AA27" s="2100"/>
      <c r="AB27" s="322"/>
      <c r="AC27" s="2100" t="str">
        <f>IF(TITLE_NAME_OR_PR_CHANGE="",IF(TITLE_NAME_OR_PR="","",TITLE_NAME_OR_PR),TITLE_NAME_OR_PR_CHANGE)</f>
        <v>Служба по тарифам Иркутской области</v>
      </c>
      <c r="AD27" s="2100"/>
      <c r="AE27" s="2100"/>
      <c r="AF27" s="2100"/>
      <c r="AG27" s="2100"/>
      <c r="AH27" s="2100"/>
      <c r="AI27" s="322"/>
      <c r="AJ27" s="322"/>
      <c r="AK27" s="268"/>
      <c r="AL27" s="368"/>
      <c r="AM27" s="368"/>
      <c r="AN27" s="368"/>
      <c r="AO27" s="368"/>
      <c r="AP27" s="368"/>
    </row>
    <row s="3305" customFormat="1" customHeight="1" ht="18.75">
      <c r="A28" s="1398"/>
      <c r="B28" s="1398"/>
      <c r="C28" s="1398"/>
      <c r="D28" s="1398"/>
      <c r="E28" s="1398"/>
      <c r="F28" s="1398"/>
      <c r="G28" s="1398"/>
      <c r="H28" s="1398"/>
      <c r="I28" s="1398"/>
      <c r="J28" s="1398"/>
      <c r="K28" s="1398"/>
      <c r="L28" s="1399"/>
      <c r="M28" s="1398"/>
      <c r="N28" s="1398"/>
      <c r="O28" s="1398"/>
      <c r="S28" s="2098" t="s">
        <v>415</v>
      </c>
      <c r="T28" s="2098"/>
      <c r="U28" s="1402"/>
      <c r="V28" s="2099" t="str">
        <f>IF(TITLE_DATE_PR_CHANGE="",IF(TITLE_DATE_PR="","",TITLE_DATE_PR),TITLE_DATE_PR_CHANGE)</f>
        <v>45280.56123842593</v>
      </c>
      <c r="W28" s="2099"/>
      <c r="X28" s="2099"/>
      <c r="Y28" s="2099"/>
      <c r="Z28" s="2099"/>
      <c r="AA28" s="2099"/>
      <c r="AB28" s="322"/>
      <c r="AC28" s="2099" t="str">
        <f>IF(TITLE_DATE_PR_CHANGE="",IF(TITLE_DATE_PR="","",TITLE_DATE_PR),TITLE_DATE_PR_CHANGE)</f>
        <v>45280.56123842593</v>
      </c>
      <c r="AD28" s="2099"/>
      <c r="AE28" s="2099"/>
      <c r="AF28" s="2099"/>
      <c r="AG28" s="2099"/>
      <c r="AH28" s="2099"/>
      <c r="AI28" s="322"/>
      <c r="AJ28" s="322"/>
      <c r="AK28" s="268"/>
      <c r="AL28" s="368"/>
      <c r="AM28" s="368"/>
      <c r="AN28" s="368"/>
      <c r="AO28" s="368"/>
      <c r="AP28" s="368"/>
    </row>
    <row s="3305" customFormat="1" customHeight="1" ht="18.75">
      <c r="A29" s="1398"/>
      <c r="B29" s="1398"/>
      <c r="C29" s="1398"/>
      <c r="D29" s="1398"/>
      <c r="E29" s="1398"/>
      <c r="F29" s="1398"/>
      <c r="G29" s="1398"/>
      <c r="H29" s="1398"/>
      <c r="I29" s="1398"/>
      <c r="J29" s="1398"/>
      <c r="K29" s="1398"/>
      <c r="L29" s="1399"/>
      <c r="M29" s="1398"/>
      <c r="N29" s="1398"/>
      <c r="O29" s="1398"/>
      <c r="S29" s="2098" t="s">
        <v>416</v>
      </c>
      <c r="T29" s="2098"/>
      <c r="U29" s="1402"/>
      <c r="V29" s="2100" t="str">
        <f>IF(TITLE_NUMBER_PR_CHANGE="",IF(TITLE_NUMBER_PR="","",TITLE_NUMBER_PR),TITLE_NUMBER_PR_CHANGE)</f>
        <v>79-477-спр</v>
      </c>
      <c r="W29" s="2100"/>
      <c r="X29" s="2100"/>
      <c r="Y29" s="2100"/>
      <c r="Z29" s="2100"/>
      <c r="AA29" s="2100"/>
      <c r="AB29" s="322"/>
      <c r="AC29" s="2100" t="str">
        <f>IF(TITLE_NUMBER_PR_CHANGE="",IF(TITLE_NUMBER_PR="","",TITLE_NUMBER_PR),TITLE_NUMBER_PR_CHANGE)</f>
        <v>79-477-спр</v>
      </c>
      <c r="AD29" s="2100"/>
      <c r="AE29" s="2100"/>
      <c r="AF29" s="2100"/>
      <c r="AG29" s="2100"/>
      <c r="AH29" s="2100"/>
      <c r="AI29" s="322"/>
      <c r="AJ29" s="322"/>
      <c r="AK29" s="268"/>
      <c r="AL29" s="368"/>
      <c r="AM29" s="368"/>
      <c r="AN29" s="368"/>
      <c r="AO29" s="368"/>
      <c r="AP29" s="368"/>
    </row>
    <row s="3305" customFormat="1" customHeight="1" ht="18.75">
      <c r="A30" s="1398"/>
      <c r="B30" s="1398"/>
      <c r="C30" s="1398"/>
      <c r="D30" s="1398"/>
      <c r="E30" s="1398"/>
      <c r="F30" s="1398"/>
      <c r="G30" s="1398"/>
      <c r="H30" s="1398"/>
      <c r="I30" s="1398"/>
      <c r="J30" s="1398"/>
      <c r="K30" s="1398"/>
      <c r="L30" s="1399"/>
      <c r="M30" s="1398"/>
      <c r="N30" s="1398"/>
      <c r="O30" s="1398"/>
      <c r="S30" s="2098" t="s">
        <v>40</v>
      </c>
      <c r="T30" s="2098"/>
      <c r="U30" s="1402"/>
      <c r="V30" s="2100" t="str">
        <f>IF(TITLE_IST_PUB_CHANGE="",IF(TITLE_IST_PUB="","",TITLE_IST_PUB),TITLE_IST_PUB_CHANGE)</f>
        <v>Официальный сайт службы по тарифам Иркутской области http://irkobl.ru</v>
      </c>
      <c r="W30" s="2100"/>
      <c r="X30" s="2100"/>
      <c r="Y30" s="2100"/>
      <c r="Z30" s="2100"/>
      <c r="AA30" s="2100"/>
      <c r="AB30" s="322"/>
      <c r="AC30" s="2100" t="str">
        <f>IF(TITLE_IST_PUB_CHANGE="",IF(TITLE_IST_PUB="","",TITLE_IST_PUB),TITLE_IST_PUB_CHANGE)</f>
        <v>Официальный сайт службы по тарифам Иркутской области http://irkobl.ru</v>
      </c>
      <c r="AD30" s="2100"/>
      <c r="AE30" s="2100"/>
      <c r="AF30" s="2100"/>
      <c r="AG30" s="2100"/>
      <c r="AH30" s="2100"/>
      <c r="AI30" s="322"/>
      <c r="AJ30" s="322"/>
      <c r="AK30" s="268"/>
      <c r="AL30" s="368"/>
      <c r="AM30" s="368"/>
      <c r="AN30" s="368"/>
      <c r="AO30" s="368"/>
      <c r="AP30" s="368"/>
    </row>
    <row customHeight="1" ht="14.25" hidden="1">
      <c r="Q31" s="377"/>
      <c r="R31" s="377"/>
      <c r="S31" s="1305"/>
      <c r="T31" s="361"/>
      <c r="U31" s="361"/>
      <c r="V31" s="316"/>
      <c r="W31" s="316"/>
      <c r="X31" s="316"/>
      <c r="Y31" s="316"/>
      <c r="Z31" s="316"/>
      <c r="AA31" s="316"/>
      <c r="AB31" s="316"/>
      <c r="AC31" s="316"/>
      <c r="AD31" s="316"/>
      <c r="AE31" s="316"/>
      <c r="AF31" s="316"/>
      <c r="AG31" s="316"/>
      <c r="AH31" s="316"/>
      <c r="AI31" s="316"/>
      <c r="AJ31" s="515"/>
    </row>
    <row s="3305" customFormat="1" customHeight="1" ht="18.75" hidden="1">
      <c r="A32" s="1398"/>
      <c r="B32" s="1398"/>
      <c r="C32" s="1398"/>
      <c r="D32" s="1398"/>
      <c r="E32" s="1398"/>
      <c r="F32" s="1398"/>
      <c r="G32" s="1398"/>
      <c r="H32" s="1398"/>
      <c r="I32" s="1398"/>
      <c r="J32" s="1398"/>
      <c r="K32" s="1398"/>
      <c r="L32" s="1399"/>
      <c r="M32" s="1398"/>
      <c r="N32" s="1398"/>
      <c r="O32" s="1398"/>
      <c r="S32" s="2098" t="s">
        <v>417</v>
      </c>
      <c r="T32" s="2098"/>
      <c r="U32" s="1402"/>
      <c r="V32" s="2099" t="str">
        <f>IF(TITLE_DATE_PR_CHANGE="",IF(TITLE_DATE_PR="","",TITLE_DATE_PR),TITLE_DATE_PR_CHANGE)</f>
        <v>45280.56123842593</v>
      </c>
      <c r="W32" s="2099"/>
      <c r="X32" s="2099"/>
      <c r="Y32" s="2099"/>
      <c r="Z32" s="2099"/>
      <c r="AA32" s="2099"/>
      <c r="AB32" s="322"/>
      <c r="AC32" s="2099" t="str">
        <f>IF(TITLE_DATE_PR_CHANGE="",IF(TITLE_DATE_PR="","",TITLE_DATE_PR),TITLE_DATE_PR_CHANGE)</f>
        <v>45280.56123842593</v>
      </c>
      <c r="AD32" s="2099"/>
      <c r="AE32" s="2099"/>
      <c r="AF32" s="2099"/>
      <c r="AG32" s="2099"/>
      <c r="AH32" s="2099"/>
      <c r="AI32" s="322"/>
      <c r="AJ32" s="322"/>
      <c r="AK32" s="268"/>
      <c r="AL32" s="368"/>
      <c r="AM32" s="368"/>
      <c r="AN32" s="368"/>
      <c r="AO32" s="368"/>
      <c r="AP32" s="368"/>
    </row>
    <row s="3305" customFormat="1" customHeight="1" ht="18.75" hidden="1">
      <c r="A33" s="1398"/>
      <c r="B33" s="1398"/>
      <c r="C33" s="1398"/>
      <c r="D33" s="1398"/>
      <c r="E33" s="1398"/>
      <c r="F33" s="1398"/>
      <c r="G33" s="1398"/>
      <c r="H33" s="1398"/>
      <c r="I33" s="1398"/>
      <c r="J33" s="1398"/>
      <c r="K33" s="1398"/>
      <c r="L33" s="1399"/>
      <c r="M33" s="1398"/>
      <c r="N33" s="1398"/>
      <c r="O33" s="1398"/>
      <c r="S33" s="2098" t="s">
        <v>418</v>
      </c>
      <c r="T33" s="2098"/>
      <c r="U33" s="1402"/>
      <c r="V33" s="2100" t="str">
        <f>IF(TITLE_NUMBER_PR_CHANGE="",IF(TITLE_NUMBER_PR="","",TITLE_NUMBER_PR),TITLE_NUMBER_PR_CHANGE)</f>
        <v>79-477-спр</v>
      </c>
      <c r="W33" s="2100"/>
      <c r="X33" s="2100"/>
      <c r="Y33" s="2100"/>
      <c r="Z33" s="2100"/>
      <c r="AA33" s="2100"/>
      <c r="AB33" s="322"/>
      <c r="AC33" s="2100" t="str">
        <f>IF(TITLE_NUMBER_PR_CHANGE="",IF(TITLE_NUMBER_PR="","",TITLE_NUMBER_PR),TITLE_NUMBER_PR_CHANGE)</f>
        <v>79-477-спр</v>
      </c>
      <c r="AD33" s="2100"/>
      <c r="AE33" s="2100"/>
      <c r="AF33" s="2100"/>
      <c r="AG33" s="2100"/>
      <c r="AH33" s="2100"/>
      <c r="AI33" s="322"/>
      <c r="AJ33" s="322"/>
      <c r="AK33" s="268"/>
      <c r="AL33" s="368"/>
      <c r="AM33" s="368"/>
      <c r="AN33" s="368"/>
      <c r="AO33" s="368"/>
      <c r="AP33" s="368"/>
    </row>
    <row s="3305" customFormat="1" customHeight="1" ht="0.75">
      <c r="A34" s="1398"/>
      <c r="B34" s="1398"/>
      <c r="C34" s="1398"/>
      <c r="D34" s="1398"/>
      <c r="E34" s="1398"/>
      <c r="F34" s="1398"/>
      <c r="G34" s="1398"/>
      <c r="H34" s="1398"/>
      <c r="I34" s="1398"/>
      <c r="J34" s="1398"/>
      <c r="K34" s="1398"/>
      <c r="L34" s="1399"/>
      <c r="M34" s="1398"/>
      <c r="N34" s="1398"/>
      <c r="O34" s="1398"/>
      <c r="S34" s="318"/>
      <c r="T34" s="318"/>
      <c r="U34" s="1484"/>
      <c r="V34" s="322"/>
      <c r="W34" s="322"/>
      <c r="X34" s="322"/>
      <c r="Y34" s="322"/>
      <c r="Z34" s="322"/>
      <c r="AA34" s="322"/>
      <c r="AB34" s="266" t="s">
        <v>419</v>
      </c>
      <c r="AC34" s="322"/>
      <c r="AD34" s="322"/>
      <c r="AE34" s="322"/>
      <c r="AF34" s="322"/>
      <c r="AG34" s="322"/>
      <c r="AH34" s="322"/>
      <c r="AI34" s="266" t="s">
        <v>419</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293</v>
      </c>
      <c r="T36" s="1971"/>
      <c r="U36" s="1971"/>
      <c r="V36" s="1971"/>
      <c r="W36" s="1971"/>
      <c r="X36" s="1971"/>
      <c r="Y36" s="1971"/>
      <c r="Z36" s="1971"/>
      <c r="AA36" s="1971"/>
      <c r="AB36" s="1971"/>
      <c r="AC36" s="1971"/>
      <c r="AD36" s="1971"/>
      <c r="AE36" s="1971"/>
      <c r="AF36" s="1971"/>
      <c r="AG36" s="1971"/>
      <c r="AH36" s="1971"/>
      <c r="AI36" s="1971"/>
      <c r="AJ36" s="1971"/>
      <c r="AK36" s="1971" t="s">
        <v>294</v>
      </c>
    </row>
    <row customHeight="1" ht="14.25">
      <c r="Q37" s="377"/>
      <c r="R37" s="377"/>
      <c r="S37" s="2125" t="s">
        <v>88</v>
      </c>
      <c r="T37" s="2062" t="s">
        <v>420</v>
      </c>
      <c r="U37" s="289"/>
      <c r="V37" s="2126" t="s">
        <v>421</v>
      </c>
      <c r="W37" s="2127"/>
      <c r="X37" s="2127"/>
      <c r="Y37" s="2127"/>
      <c r="Z37" s="2127"/>
      <c r="AA37" s="2128"/>
      <c r="AB37" s="2129" t="s">
        <v>422</v>
      </c>
      <c r="AC37" s="2126" t="s">
        <v>421</v>
      </c>
      <c r="AD37" s="2127"/>
      <c r="AE37" s="2127"/>
      <c r="AF37" s="2127"/>
      <c r="AG37" s="2127"/>
      <c r="AH37" s="2128"/>
      <c r="AI37" s="2129" t="s">
        <v>423</v>
      </c>
      <c r="AJ37" s="2132" t="s">
        <v>424</v>
      </c>
      <c r="AK37" s="1971"/>
    </row>
    <row customHeight="1" ht="33.75">
      <c r="Q38" s="377"/>
      <c r="R38" s="377"/>
      <c r="S38" s="2125"/>
      <c r="T38" s="2062"/>
      <c r="U38" s="1038"/>
      <c r="V38" s="1482" t="s">
        <v>485</v>
      </c>
      <c r="W38" s="2118" t="s">
        <v>427</v>
      </c>
      <c r="X38" s="2120"/>
      <c r="Y38" s="2118" t="s">
        <v>428</v>
      </c>
      <c r="Z38" s="2119"/>
      <c r="AA38" s="2120"/>
      <c r="AB38" s="2130"/>
      <c r="AC38" s="1482" t="s">
        <v>485</v>
      </c>
      <c r="AD38" s="2118" t="s">
        <v>427</v>
      </c>
      <c r="AE38" s="2120"/>
      <c r="AF38" s="2118" t="s">
        <v>428</v>
      </c>
      <c r="AG38" s="2119"/>
      <c r="AH38" s="2120"/>
      <c r="AI38" s="2130"/>
      <c r="AJ38" s="2133"/>
      <c r="AK38" s="1971"/>
    </row>
    <row customHeight="1" ht="33.75">
      <c r="A39" s="1400"/>
      <c r="B39" s="1400" t="s">
        <v>136</v>
      </c>
      <c r="C39" s="1400" t="s">
        <v>137</v>
      </c>
      <c r="D39" s="1400" t="s">
        <v>138</v>
      </c>
      <c r="E39" s="1394" t="s">
        <v>429</v>
      </c>
      <c r="F39" s="1394" t="s">
        <v>430</v>
      </c>
      <c r="G39" s="1394" t="s">
        <v>431</v>
      </c>
      <c r="H39" s="1394"/>
      <c r="I39" s="1394" t="s">
        <v>486</v>
      </c>
      <c r="J39" s="1394" t="s">
        <v>434</v>
      </c>
      <c r="K39" s="1394" t="s">
        <v>487</v>
      </c>
      <c r="L39" s="1394" t="s">
        <v>410</v>
      </c>
      <c r="Q39" s="377"/>
      <c r="R39" s="377"/>
      <c r="S39" s="2125"/>
      <c r="T39" s="2062"/>
      <c r="U39" s="290"/>
      <c r="V39" s="1482" t="s">
        <v>488</v>
      </c>
      <c r="W39" s="1237" t="s">
        <v>489</v>
      </c>
      <c r="X39" s="1237" t="s">
        <v>490</v>
      </c>
      <c r="Y39" s="1485" t="s">
        <v>438</v>
      </c>
      <c r="Z39" s="2121" t="s">
        <v>439</v>
      </c>
      <c r="AA39" s="2122"/>
      <c r="AB39" s="2131"/>
      <c r="AC39" s="1482" t="s">
        <v>488</v>
      </c>
      <c r="AD39" s="1237" t="s">
        <v>489</v>
      </c>
      <c r="AE39" s="1237" t="s">
        <v>490</v>
      </c>
      <c r="AF39" s="1485" t="s">
        <v>438</v>
      </c>
      <c r="AG39" s="2121" t="s">
        <v>439</v>
      </c>
      <c r="AH39" s="2122"/>
      <c r="AI39" s="2131"/>
      <c r="AJ39" s="2134"/>
      <c r="AK39" s="1971"/>
    </row>
    <row s="2610" customFormat="1" customHeight="1" ht="0">
      <c r="A40" s="1400"/>
      <c r="B40" s="1400"/>
      <c r="C40" s="1400"/>
      <c r="D40" s="1400"/>
      <c r="E40" s="1400"/>
      <c r="F40" s="1400"/>
      <c r="G40" s="1400"/>
      <c r="H40" s="1400"/>
      <c r="I40" s="1400"/>
      <c r="J40" s="1400"/>
      <c r="K40" s="1400"/>
      <c r="L40" s="1394"/>
      <c r="M40" s="1392"/>
      <c r="N40" s="1392"/>
      <c r="O40" s="1392"/>
      <c r="P40" s="1264"/>
      <c r="Q40" s="1265"/>
      <c r="R40" s="1280">
        <v>1</v>
      </c>
      <c r="S40" s="1307" t="s">
        <v>110</v>
      </c>
      <c r="T40" s="1281" t="s">
        <v>111</v>
      </c>
      <c r="U40" s="1263" t="str">
        <f>OFFSET(U40,0,-1)</f>
        <v>2</v>
      </c>
      <c r="V40" s="1481">
        <f>OFFSET(V40,0,-1)+1</f>
        <v>3</v>
      </c>
      <c r="W40" s="1481">
        <f>OFFSET(W40,0,-1)+1</f>
        <v>4</v>
      </c>
      <c r="X40" s="1481">
        <f>OFFSET(X40,0,-1)+1</f>
        <v>5</v>
      </c>
      <c r="Y40" s="1481">
        <f>OFFSET(Y40,0,-1)+1</f>
        <v>6</v>
      </c>
      <c r="Z40" s="2123">
        <f>OFFSET(Z40,0,-1)+1</f>
        <v>7</v>
      </c>
      <c r="AA40" s="2123"/>
      <c r="AB40" s="1481">
        <f>OFFSET(AB40,0,-2)+1</f>
        <v>8</v>
      </c>
      <c r="AC40" s="1481">
        <f>OFFSET(AC40,0,-1)+1</f>
        <v>9</v>
      </c>
      <c r="AD40" s="1481">
        <f>OFFSET(AD40,0,-1)+1</f>
        <v>10</v>
      </c>
      <c r="AE40" s="1481">
        <f>OFFSET(AE40,0,-1)+1</f>
        <v>11</v>
      </c>
      <c r="AF40" s="1481">
        <f>OFFSET(AF40,0,-1)+1</f>
        <v>12</v>
      </c>
      <c r="AG40" s="2123">
        <f>OFFSET(AG40,0,-1)+1</f>
        <v>13</v>
      </c>
      <c r="AH40" s="2123"/>
      <c r="AI40" s="1481">
        <f>OFFSET(AI40,0,-2)+1</f>
        <v>14</v>
      </c>
      <c r="AJ40" s="1263">
        <f>OFFSET(AJ40,0,-1)</f>
        <v>14</v>
      </c>
      <c r="AK40" s="1481">
        <f>OFFSET(AK40,0,-1)+1</f>
        <v>15</v>
      </c>
      <c r="AL40" s="517"/>
      <c r="AM40" s="517"/>
      <c r="AN40" s="517"/>
      <c r="AO40" s="517"/>
      <c r="AP40" s="517"/>
    </row>
    <row customHeight="1" ht="23.25">
      <c r="A41" s="1393" t="s">
        <v>234</v>
      </c>
      <c r="B41" s="1393"/>
      <c r="C41" s="1393"/>
      <c r="D41" s="1393"/>
      <c r="E41" s="2107">
        <v>1</v>
      </c>
      <c r="F41" s="1393"/>
      <c r="G41" s="1393"/>
      <c r="H41" s="1393"/>
      <c r="I41" s="1393"/>
      <c r="J41" s="1393"/>
      <c r="K41" s="1393"/>
      <c r="L41" s="1394"/>
      <c r="M41" s="1395"/>
      <c r="N41" s="1395"/>
      <c r="O41" s="1395"/>
      <c r="P41" s="357"/>
      <c r="Q41" s="356"/>
      <c r="R41" s="351"/>
      <c r="S41" s="1487">
        <f>INDEX(PT_DIFFERENTIATION_NUM_NTAR,MATCH(A41,PT_DIFFERENTIATION_NTAR_ID,0))</f>
        <v>0</v>
      </c>
      <c r="T41" s="286" t="s">
        <v>124</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234</v>
      </c>
      <c r="B42" s="1393" t="s">
        <v>235</v>
      </c>
      <c r="C42" s="1393"/>
      <c r="D42" s="1393"/>
      <c r="E42" s="2108"/>
      <c r="F42" s="2107">
        <v>1</v>
      </c>
      <c r="G42" s="1393"/>
      <c r="H42" s="1393"/>
      <c r="I42" s="1393"/>
      <c r="J42" s="1393"/>
      <c r="K42" s="1393"/>
      <c r="L42" s="1394"/>
      <c r="M42" s="1395"/>
      <c r="N42" s="1395"/>
      <c r="O42" s="1395"/>
      <c r="P42" s="1483"/>
      <c r="Q42" s="348"/>
      <c r="R42" s="349"/>
      <c r="S42" s="1487" t="str">
        <f>INDEX(PT_DIFFERENTIATION_NUM_TER,MATCH(B42,PT_DIFFERENTIATION_TER_ID,0))</f>
        <v>.</v>
      </c>
      <c r="T42" s="298" t="s">
        <v>392</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393</v>
      </c>
      <c r="AM42" s="506"/>
      <c r="AN42" s="506" t="str">
        <f>IF(T42="","",T42)</f>
        <v>Территория действия тарифа</v>
      </c>
      <c r="AO42" s="506"/>
      <c r="AP42" s="506"/>
    </row>
    <row customHeight="1" ht="23.25">
      <c r="A43" s="1393" t="s">
        <v>234</v>
      </c>
      <c r="B43" s="1393" t="s">
        <v>235</v>
      </c>
      <c r="C43" s="1393" t="s">
        <v>236</v>
      </c>
      <c r="D43" s="1393"/>
      <c r="E43" s="2108"/>
      <c r="F43" s="2108"/>
      <c r="G43" s="2107">
        <v>1</v>
      </c>
      <c r="H43" s="1393"/>
      <c r="I43" s="1393"/>
      <c r="J43" s="1393"/>
      <c r="K43" s="1393"/>
      <c r="L43" s="1394"/>
      <c r="M43" s="1395"/>
      <c r="N43" s="1395"/>
      <c r="O43" s="1395"/>
      <c r="P43" s="350"/>
      <c r="Q43" s="348"/>
      <c r="R43" s="349"/>
      <c r="S43" s="1487" t="str">
        <f>INDEX(PT_DIFFERENTIATION_NUM_CS,MATCH(C43,PT_DIFFERENTIATION_CS_ID,0))</f>
        <v>..</v>
      </c>
      <c r="T43" s="299" t="s">
        <v>477</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478</v>
      </c>
      <c r="AM43" s="506"/>
      <c r="AN43" s="506" t="str">
        <f>IF(T43="","",T43)</f>
        <v>Наименование централизованной системы холодного водоснабжения</v>
      </c>
      <c r="AO43" s="506"/>
      <c r="AP43" s="506"/>
    </row>
    <row customHeight="1" ht="23.25">
      <c r="A44" s="1393" t="s">
        <v>234</v>
      </c>
      <c r="B44" s="1393" t="s">
        <v>235</v>
      </c>
      <c r="C44" s="1393" t="s">
        <v>236</v>
      </c>
      <c r="D44" s="1393" t="s">
        <v>494</v>
      </c>
      <c r="E44" s="2108"/>
      <c r="F44" s="2108"/>
      <c r="G44" s="2108"/>
      <c r="H44" s="2108"/>
      <c r="I44" s="2109" t="str">
        <f>S43&amp;".1"</f>
        <v>...1</v>
      </c>
      <c r="J44" s="1393"/>
      <c r="K44" s="1393"/>
      <c r="L44" s="1394"/>
      <c r="P44" s="2111">
        <v>1</v>
      </c>
      <c r="Q44" s="1480"/>
      <c r="R44" s="352"/>
      <c r="S44" s="1487" t="str">
        <f>$I44</f>
        <v>...1</v>
      </c>
      <c r="T44" s="273" t="s">
        <v>479</v>
      </c>
      <c r="U44" s="288"/>
      <c r="V44" s="2194"/>
      <c r="W44" s="2195"/>
      <c r="X44" s="2195"/>
      <c r="Y44" s="2195"/>
      <c r="Z44" s="2195"/>
      <c r="AA44" s="2195"/>
      <c r="AB44" s="2196"/>
      <c r="AC44" s="2197"/>
      <c r="AD44" s="2198"/>
      <c r="AE44" s="2198"/>
      <c r="AF44" s="2198"/>
      <c r="AG44" s="2198"/>
      <c r="AH44" s="2198"/>
      <c r="AI44" s="2198"/>
      <c r="AJ44" s="2199"/>
      <c r="AK44" s="1286" t="s">
        <v>480</v>
      </c>
      <c r="AM44" s="506"/>
      <c r="AN44" s="506" t="str">
        <f>IF(T44="","",T44)</f>
        <v>Наименование признака дифференциации</v>
      </c>
      <c r="AO44" s="506"/>
      <c r="AP44" s="506"/>
    </row>
    <row customHeight="1" ht="23.25">
      <c r="A45" s="1393" t="s">
        <v>234</v>
      </c>
      <c r="B45" s="1393" t="s">
        <v>235</v>
      </c>
      <c r="C45" s="1393" t="s">
        <v>236</v>
      </c>
      <c r="D45" s="1393" t="s">
        <v>494</v>
      </c>
      <c r="E45" s="2108"/>
      <c r="F45" s="2108"/>
      <c r="G45" s="2108"/>
      <c r="H45" s="2108"/>
      <c r="I45" s="2110"/>
      <c r="J45" s="2109" t="str">
        <f>I44&amp;".1"</f>
        <v>...1.1</v>
      </c>
      <c r="K45" s="1393"/>
      <c r="L45" s="1394" t="s">
        <v>401</v>
      </c>
      <c r="P45" s="2111"/>
      <c r="Q45" s="2111">
        <v>1</v>
      </c>
      <c r="R45" s="353"/>
      <c r="S45" s="1487" t="str">
        <f>$J45</f>
        <v>...1.1</v>
      </c>
      <c r="T45" s="274" t="s">
        <v>402</v>
      </c>
      <c r="U45" s="288"/>
      <c r="V45" s="2095"/>
      <c r="W45" s="2096"/>
      <c r="X45" s="2096"/>
      <c r="Y45" s="2096"/>
      <c r="Z45" s="2096"/>
      <c r="AA45" s="2096"/>
      <c r="AB45" s="2097"/>
      <c r="AC45" s="2095"/>
      <c r="AD45" s="2096"/>
      <c r="AE45" s="2096"/>
      <c r="AF45" s="2096"/>
      <c r="AG45" s="2096"/>
      <c r="AH45" s="2096"/>
      <c r="AI45" s="2096"/>
      <c r="AJ45" s="2097"/>
      <c r="AK45" s="1337" t="s">
        <v>481</v>
      </c>
      <c r="AM45" s="506"/>
      <c r="AN45" s="506" t="str">
        <f>IF(T45="","",T45)</f>
        <v>Группа потребителей</v>
      </c>
      <c r="AO45" s="506"/>
      <c r="AP45" s="506"/>
    </row>
    <row customHeight="1" ht="23.25">
      <c r="A46" s="1393" t="s">
        <v>234</v>
      </c>
      <c r="B46" s="1393" t="s">
        <v>235</v>
      </c>
      <c r="C46" s="1393" t="s">
        <v>236</v>
      </c>
      <c r="D46" s="1393" t="s">
        <v>494</v>
      </c>
      <c r="E46" s="2108"/>
      <c r="F46" s="2108"/>
      <c r="G46" s="2108"/>
      <c r="H46" s="2108"/>
      <c r="I46" s="2110"/>
      <c r="J46" s="2110"/>
      <c r="K46" s="2109" t="str">
        <f>J45&amp;".1"</f>
        <v>...1.1.1</v>
      </c>
      <c r="L46" s="1394"/>
      <c r="P46" s="2111"/>
      <c r="Q46" s="2111"/>
      <c r="R46" s="353">
        <v>1</v>
      </c>
      <c r="S46" s="1487" t="str">
        <f>$K46</f>
        <v>...1.1.1</v>
      </c>
      <c r="T46" s="1467"/>
      <c r="U46" s="288"/>
      <c r="V46" s="757"/>
      <c r="W46" s="757"/>
      <c r="X46" s="1285"/>
      <c r="Y46" s="2112"/>
      <c r="Z46" s="1981" t="s">
        <v>62</v>
      </c>
      <c r="AA46" s="2112"/>
      <c r="AB46" s="1981" t="s">
        <v>62</v>
      </c>
      <c r="AC46" s="757"/>
      <c r="AD46" s="757"/>
      <c r="AE46" s="1285"/>
      <c r="AF46" s="2112"/>
      <c r="AG46" s="1981" t="s">
        <v>62</v>
      </c>
      <c r="AH46" s="2114"/>
      <c r="AI46" s="1981" t="s">
        <v>62</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234</v>
      </c>
      <c r="B47" s="1393" t="s">
        <v>235</v>
      </c>
      <c r="C47" s="1393" t="s">
        <v>236</v>
      </c>
      <c r="D47" s="1393" t="s">
        <v>494</v>
      </c>
      <c r="E47" s="2108"/>
      <c r="F47" s="2108"/>
      <c r="G47" s="2108"/>
      <c r="H47" s="2108"/>
      <c r="I47" s="2110"/>
      <c r="J47" s="2110"/>
      <c r="K47" s="2109"/>
      <c r="L47" s="1394"/>
      <c r="P47" s="2111"/>
      <c r="Q47" s="2111"/>
      <c r="R47" s="353"/>
      <c r="S47" s="1486"/>
      <c r="T47" s="288"/>
      <c r="U47" s="288"/>
      <c r="V47" s="320"/>
      <c r="W47" s="320"/>
      <c r="X47" s="324" t="str">
        <f>Y46&amp;"-"&amp;AA46</f>
        <v>-</v>
      </c>
      <c r="Y47" s="2113"/>
      <c r="Z47" s="1981"/>
      <c r="AA47" s="2113"/>
      <c r="AB47" s="1981"/>
      <c r="AC47" s="320"/>
      <c r="AD47" s="320"/>
      <c r="AE47" s="324" t="str">
        <f>AF46&amp;"-"&amp;AH46</f>
        <v>-</v>
      </c>
      <c r="AF47" s="2113"/>
      <c r="AG47" s="1981"/>
      <c r="AH47" s="2115"/>
      <c r="AI47" s="1981"/>
      <c r="AJ47" s="1469"/>
      <c r="AK47" s="2200"/>
      <c r="AM47" s="506"/>
      <c r="AN47" s="506" t="str">
        <f>IF(T47="","",T47)</f>
        <v/>
      </c>
      <c r="AO47" s="506"/>
      <c r="AP47" s="506"/>
    </row>
    <row customHeight="1" ht="21">
      <c r="A48" s="1393" t="s">
        <v>234</v>
      </c>
      <c r="B48" s="1393" t="s">
        <v>235</v>
      </c>
      <c r="C48" s="1393" t="s">
        <v>236</v>
      </c>
      <c r="D48" s="1393" t="s">
        <v>494</v>
      </c>
      <c r="E48" s="2108"/>
      <c r="F48" s="2108"/>
      <c r="G48" s="2108"/>
      <c r="H48" s="2108"/>
      <c r="I48" s="2110"/>
      <c r="J48" s="2109"/>
      <c r="K48" s="1393"/>
      <c r="L48" s="1394"/>
      <c r="P48" s="2111"/>
      <c r="Q48" s="2111"/>
      <c r="R48" s="352"/>
      <c r="S48" s="1308"/>
      <c r="T48" s="275" t="s">
        <v>482</v>
      </c>
      <c r="U48" s="367"/>
      <c r="V48" s="367"/>
      <c r="W48" s="367"/>
      <c r="X48" s="367"/>
      <c r="Y48" s="367"/>
      <c r="Z48" s="367"/>
      <c r="AA48" s="367"/>
      <c r="AB48" s="367"/>
      <c r="AC48" s="367"/>
      <c r="AD48" s="367"/>
      <c r="AE48" s="367"/>
      <c r="AF48" s="367"/>
      <c r="AG48" s="367"/>
      <c r="AH48" s="367"/>
      <c r="AI48" s="367"/>
      <c r="AJ48" s="367"/>
      <c r="AK48" s="1286" t="s">
        <v>483</v>
      </c>
      <c r="AM48" s="506"/>
      <c r="AN48" s="506" t="str">
        <f>IF(T48="","",T48)</f>
        <v>Добавить значение признака дифференциации</v>
      </c>
      <c r="AO48" s="506"/>
      <c r="AP48" s="506"/>
    </row>
    <row customHeight="1" ht="21">
      <c r="A49" s="1393" t="s">
        <v>234</v>
      </c>
      <c r="B49" s="1393" t="s">
        <v>235</v>
      </c>
      <c r="C49" s="1393" t="s">
        <v>236</v>
      </c>
      <c r="D49" s="1393" t="s">
        <v>494</v>
      </c>
      <c r="E49" s="2108"/>
      <c r="F49" s="2108"/>
      <c r="G49" s="2108"/>
      <c r="H49" s="2108"/>
      <c r="I49" s="2109"/>
      <c r="J49" s="1393"/>
      <c r="K49" s="1393"/>
      <c r="L49" s="1394"/>
      <c r="P49" s="2111"/>
      <c r="Q49" s="1480"/>
      <c r="R49" s="352"/>
      <c r="S49" s="1308"/>
      <c r="T49" s="364" t="s">
        <v>407</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234</v>
      </c>
      <c r="B50" s="1393" t="s">
        <v>235</v>
      </c>
      <c r="C50" s="1393" t="s">
        <v>236</v>
      </c>
      <c r="D50" s="1393" t="s">
        <v>494</v>
      </c>
      <c r="E50" s="2108"/>
      <c r="F50" s="2108"/>
      <c r="G50" s="2108"/>
      <c r="H50" s="2107"/>
      <c r="I50" s="1393"/>
      <c r="J50" s="1393"/>
      <c r="K50" s="1393"/>
      <c r="L50" s="1394"/>
      <c r="M50" s="1395"/>
      <c r="N50" s="1395"/>
      <c r="O50" s="543"/>
      <c r="P50" s="356"/>
      <c r="Q50" s="376"/>
      <c r="R50" s="351"/>
      <c r="S50" s="1308"/>
      <c r="T50" s="372" t="s">
        <v>484</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73" customFormat="1" customHeight="1" ht="0">
      <c r="A51" s="1373" t="s">
        <v>234</v>
      </c>
      <c r="B51" s="1373" t="s">
        <v>235</v>
      </c>
      <c r="C51" s="1344"/>
      <c r="D51" s="1344"/>
      <c r="E51" s="2108"/>
      <c r="F51" s="2107"/>
      <c r="G51" s="1344"/>
      <c r="H51" s="1344"/>
      <c r="I51" s="1344"/>
      <c r="J51" s="1344"/>
      <c r="K51" s="1344"/>
      <c r="L51" s="1488"/>
      <c r="M51" s="1351"/>
      <c r="N51" s="1351"/>
      <c r="P51" s="1346"/>
      <c r="Q51" s="1347"/>
      <c r="R51" s="1346"/>
      <c r="S51" s="1352"/>
      <c r="T51" s="1355" t="s">
        <v>182</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1" customFormat="1" customHeight="1" ht="0">
      <c r="A52" s="1373" t="s">
        <v>234</v>
      </c>
      <c r="B52" s="1373"/>
      <c r="C52" s="1373"/>
      <c r="D52" s="1373"/>
      <c r="E52" s="2107"/>
      <c r="F52" s="1373"/>
      <c r="G52" s="1373"/>
      <c r="H52" s="1373"/>
      <c r="I52" s="1373"/>
      <c r="J52" s="1373"/>
      <c r="K52" s="1373"/>
      <c r="L52" s="1376"/>
      <c r="M52" s="1351"/>
      <c r="N52" s="1351"/>
      <c r="O52" s="524"/>
      <c r="P52" s="385"/>
      <c r="Q52" s="1374"/>
      <c r="R52" s="385"/>
      <c r="S52" s="1352"/>
      <c r="T52" s="1355" t="s">
        <v>183</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73" customFormat="1" customHeight="1" ht="0">
      <c r="A53" s="1344"/>
      <c r="B53" s="1344"/>
      <c r="C53" s="1344"/>
      <c r="D53" s="1344"/>
      <c r="E53" s="1373"/>
      <c r="F53" s="1344"/>
      <c r="G53" s="1344"/>
      <c r="H53" s="1344"/>
      <c r="I53" s="1344"/>
      <c r="J53" s="1344"/>
      <c r="K53" s="1344"/>
      <c r="L53" s="1488"/>
      <c r="M53" s="1351"/>
      <c r="N53" s="1351"/>
      <c r="P53" s="1346"/>
      <c r="Q53" s="1347"/>
      <c r="R53" s="1346"/>
      <c r="S53" s="1352"/>
      <c r="T53" s="1355" t="s">
        <v>184</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A70832A-E988-4885-CF8C-2AC678262FAF}"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3292" width="11.57421875" hidden="1" customWidth="1"/>
    <col min="2" max="2" style="3292" width="11.00390625" hidden="1" customWidth="1"/>
    <col min="3" max="3" style="3292" width="10.57421875" hidden="1"/>
    <col min="4" max="4" style="3292" width="12.8515625" hidden="1" customWidth="1"/>
    <col min="5" max="5" style="3292" width="10.00390625" hidden="1" customWidth="1"/>
    <col min="6" max="6" style="3292" width="8.7109375" hidden="1" customWidth="1"/>
    <col min="7" max="7" style="3292" width="7.57421875" hidden="1" customWidth="1"/>
    <col min="8" max="8" style="3292" width="11.421875" hidden="1" customWidth="1"/>
    <col min="9" max="9" style="3292" width="12.00390625" hidden="1" customWidth="1"/>
    <col min="10" max="10" style="3292" width="9.8515625" hidden="1" customWidth="1"/>
    <col min="11" max="11" style="3292" width="11.421875" hidden="1" customWidth="1"/>
    <col min="12" max="12" style="3817" width="19.140625" hidden="1" customWidth="1"/>
    <col min="13" max="14" style="3294" width="12.28125" hidden="1" customWidth="1"/>
    <col min="15" max="15" style="3294" width="23.421875" hidden="1" customWidth="1"/>
    <col min="16" max="16" style="3294" width="3.7109375" hidden="1" customWidth="1"/>
    <col min="17" max="17" style="3296" width="3.7109375" hidden="1" customWidth="1"/>
    <col min="18" max="18" style="3371" width="3.7109375" customWidth="1"/>
    <col min="19" max="19" style="3372" width="12.7109375" customWidth="1"/>
    <col min="20" max="20" style="2939" width="32.00390625" customWidth="1"/>
    <col min="21" max="21" style="2939" width="0.140625" customWidth="1"/>
    <col min="22" max="25" style="2939" width="21.7109375" hidden="1" customWidth="1"/>
    <col min="26" max="26" style="2939" width="11.7109375" hidden="1" customWidth="1"/>
    <col min="27" max="27" style="2939" width="3.7109375" hidden="1" customWidth="1"/>
    <col min="28" max="28" style="2939" width="11.7109375" hidden="1" customWidth="1"/>
    <col min="29" max="29" style="2939" width="8.57421875" hidden="1" customWidth="1"/>
    <col min="30" max="32" style="2939" width="3.7109375" customWidth="1"/>
    <col min="33" max="33" style="2939" width="24.7109375" customWidth="1"/>
    <col min="34" max="36" style="2939" width="3.7109375" customWidth="1"/>
    <col min="37" max="37" style="2939" width="24.7109375" customWidth="1"/>
    <col min="38" max="40" style="2939" width="3.7109375" customWidth="1"/>
    <col min="41" max="41" style="2939" width="18.8515625" customWidth="1"/>
    <col min="42" max="44" style="2939" width="3.7109375" customWidth="1"/>
    <col min="45" max="45" style="2939" width="18.8515625" customWidth="1"/>
    <col min="46" max="49" style="2939" width="21.7109375" customWidth="1"/>
    <col min="50" max="50" style="2939" width="11.7109375" customWidth="1"/>
    <col min="51" max="51" style="2939" width="3.7109375" customWidth="1"/>
    <col min="52" max="52" style="2939" width="11.7109375" customWidth="1"/>
    <col min="53" max="53" style="2939" width="8.57421875" hidden="1" customWidth="1"/>
    <col min="54" max="54" style="2939" width="4.7109375" customWidth="1"/>
    <col min="55" max="55" style="2939" width="115.7109375" customWidth="1"/>
    <col min="56" max="57" style="2611" width="10.57421875"/>
    <col min="58" max="58" style="2611" width="11.140625" customWidth="1"/>
    <col min="59" max="60" style="2611" width="10.57421875"/>
  </cols>
  <sheetData>
    <row customHeight="1" ht="14.25" hidden="1">
      <c r="W1" s="323"/>
      <c r="Y1" s="323"/>
      <c r="Z1" s="323"/>
      <c r="AW1" s="323"/>
      <c r="AX1" s="323"/>
    </row>
    <row customHeight="1" ht="21" hidden="1">
      <c r="A2" s="1393"/>
      <c r="B2" s="1393"/>
      <c r="C2" s="1393"/>
      <c r="D2" s="1393"/>
      <c r="E2" s="2107">
        <v>1</v>
      </c>
      <c r="F2" s="1393"/>
      <c r="G2" s="1393"/>
      <c r="H2" s="1393"/>
      <c r="I2" s="1393"/>
      <c r="J2" s="1393"/>
      <c r="K2" s="1393"/>
      <c r="L2" s="1394"/>
      <c r="M2" s="1395"/>
      <c r="N2" s="1395"/>
      <c r="O2" s="1395"/>
      <c r="P2" s="1439"/>
      <c r="Q2" s="879"/>
      <c r="R2" s="351"/>
      <c r="S2" s="1495">
        <f>INDEX(PT_DIFFERENTIATION_NUM_NTAR,MATCH(A2,PT_DIFFERENTIATION_NTAR_ID,0))</f>
      </c>
      <c r="T2" s="286" t="s">
        <v>124</v>
      </c>
      <c r="U2" s="288"/>
      <c r="V2" s="2102"/>
      <c r="W2" s="2102"/>
      <c r="X2" s="2102"/>
      <c r="Y2" s="2102"/>
      <c r="Z2" s="2102"/>
      <c r="AA2" s="2102"/>
      <c r="AB2" s="2102"/>
      <c r="AC2" s="2103"/>
      <c r="AD2" s="2101">
        <f>INDEX(PT_DIFFERENTIATION_NTAR,MATCH(A2,PT_DIFFERENTIATION_NTAR_ID,0))</f>
      </c>
      <c r="AE2" s="2102"/>
      <c r="AF2" s="2102"/>
      <c r="AG2" s="2102"/>
      <c r="AH2" s="2102"/>
      <c r="AI2" s="2102"/>
      <c r="AJ2" s="2102"/>
      <c r="AK2" s="2102"/>
      <c r="AL2" s="2102"/>
      <c r="AM2" s="2102"/>
      <c r="AN2" s="2102"/>
      <c r="AO2" s="2102"/>
      <c r="AP2" s="2102"/>
      <c r="AQ2" s="2102"/>
      <c r="AR2" s="2102"/>
      <c r="AS2" s="2102"/>
      <c r="AT2" s="2102"/>
      <c r="AU2" s="2102"/>
      <c r="AV2" s="2102"/>
      <c r="AW2" s="2102"/>
      <c r="AX2" s="2102"/>
      <c r="AY2" s="2102"/>
      <c r="AZ2" s="2102"/>
      <c r="BA2" s="2102"/>
      <c r="BB2" s="2103"/>
      <c r="BC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6"/>
      <c r="BF2" s="506" t="str">
        <f>IF(T2="","",T2)</f>
        <v>Наименование тарифа</v>
      </c>
      <c r="BG2" s="506"/>
      <c r="BH2" s="506"/>
    </row>
    <row customHeight="1" ht="21" hidden="1">
      <c r="A3" s="1393"/>
      <c r="B3" s="1393"/>
      <c r="C3" s="1393"/>
      <c r="D3" s="1393"/>
      <c r="E3" s="2108"/>
      <c r="F3" s="2107">
        <v>1</v>
      </c>
      <c r="G3" s="1393"/>
      <c r="H3" s="1393"/>
      <c r="I3" s="1393"/>
      <c r="J3" s="1393"/>
      <c r="K3" s="1393"/>
      <c r="L3" s="1394"/>
      <c r="M3" s="1395"/>
      <c r="N3" s="1395"/>
      <c r="O3" s="1395"/>
      <c r="P3" s="1440"/>
      <c r="Q3" s="1441"/>
      <c r="R3" s="349"/>
      <c r="S3" s="1495">
        <f>INDEX(PT_DIFFERENTIATION_NUM_TER,MATCH(B3,PT_DIFFERENTIATION_TER_ID,0))</f>
      </c>
      <c r="T3" s="298" t="s">
        <v>392</v>
      </c>
      <c r="U3" s="288"/>
      <c r="V3" s="2102"/>
      <c r="W3" s="2102"/>
      <c r="X3" s="2102"/>
      <c r="Y3" s="2102"/>
      <c r="Z3" s="2102"/>
      <c r="AA3" s="2102"/>
      <c r="AB3" s="2102"/>
      <c r="AC3" s="2103"/>
      <c r="AD3" s="2101">
        <f>INDEX(PT_DIFFERENTIATION_TER,MATCH(B3,PT_DIFFERENTIATION_TER_ID,0))</f>
      </c>
      <c r="AE3" s="2102"/>
      <c r="AF3" s="2102"/>
      <c r="AG3" s="2102"/>
      <c r="AH3" s="2102"/>
      <c r="AI3" s="2102"/>
      <c r="AJ3" s="2102"/>
      <c r="AK3" s="2102"/>
      <c r="AL3" s="2102"/>
      <c r="AM3" s="2102"/>
      <c r="AN3" s="2102"/>
      <c r="AO3" s="2102"/>
      <c r="AP3" s="2102"/>
      <c r="AQ3" s="2102"/>
      <c r="AR3" s="2102"/>
      <c r="AS3" s="2102"/>
      <c r="AT3" s="2102"/>
      <c r="AU3" s="2102"/>
      <c r="AV3" s="2102"/>
      <c r="AW3" s="2102"/>
      <c r="AX3" s="2102"/>
      <c r="AY3" s="2102"/>
      <c r="AZ3" s="2102"/>
      <c r="BA3" s="2102"/>
      <c r="BB3" s="2103"/>
      <c r="BC3" s="1286" t="s">
        <v>393</v>
      </c>
      <c r="BE3" s="506"/>
      <c r="BF3" s="506" t="str">
        <f>IF(T3="","",T3)</f>
        <v>Территория действия тарифа</v>
      </c>
      <c r="BG3" s="506"/>
      <c r="BH3" s="506"/>
    </row>
    <row customHeight="1" ht="42" hidden="1">
      <c r="A4" s="1393"/>
      <c r="B4" s="1393"/>
      <c r="C4" s="1393"/>
      <c r="D4" s="1393"/>
      <c r="E4" s="2108"/>
      <c r="F4" s="2108"/>
      <c r="G4" s="2107">
        <v>1</v>
      </c>
      <c r="H4" s="1393"/>
      <c r="I4" s="1393"/>
      <c r="J4" s="1393"/>
      <c r="K4" s="1393"/>
      <c r="L4" s="1394"/>
      <c r="M4" s="1395"/>
      <c r="N4" s="1395"/>
      <c r="O4" s="1395"/>
      <c r="P4" s="1442"/>
      <c r="Q4" s="1441"/>
      <c r="R4" s="349"/>
      <c r="S4" s="1495">
        <f>INDEX(PT_DIFFERENTIATION_NUM_CS,MATCH(C4,PT_DIFFERENTIATION_CS_ID,0))</f>
      </c>
      <c r="T4" s="299" t="s">
        <v>477</v>
      </c>
      <c r="U4" s="288"/>
      <c r="V4" s="2102"/>
      <c r="W4" s="2102"/>
      <c r="X4" s="2102"/>
      <c r="Y4" s="2102"/>
      <c r="Z4" s="2102"/>
      <c r="AA4" s="2102"/>
      <c r="AB4" s="2102"/>
      <c r="AC4" s="2103"/>
      <c r="AD4" s="2101">
        <f>INDEX(PT_DIFFERENTIATION_CS,MATCH(C4,PT_DIFFERENTIATION_CS_ID,0))</f>
      </c>
      <c r="AE4" s="2102"/>
      <c r="AF4" s="2102"/>
      <c r="AG4" s="2102"/>
      <c r="AH4" s="2102"/>
      <c r="AI4" s="2102"/>
      <c r="AJ4" s="2102"/>
      <c r="AK4" s="2102"/>
      <c r="AL4" s="2102"/>
      <c r="AM4" s="2102"/>
      <c r="AN4" s="2102"/>
      <c r="AO4" s="2102"/>
      <c r="AP4" s="2102"/>
      <c r="AQ4" s="2102"/>
      <c r="AR4" s="2102"/>
      <c r="AS4" s="2102"/>
      <c r="AT4" s="2102"/>
      <c r="AU4" s="2102"/>
      <c r="AV4" s="2102"/>
      <c r="AW4" s="2102"/>
      <c r="AX4" s="2102"/>
      <c r="AY4" s="2102"/>
      <c r="AZ4" s="2102"/>
      <c r="BA4" s="2102"/>
      <c r="BB4" s="2103"/>
      <c r="BC4" s="1286" t="s">
        <v>478</v>
      </c>
      <c r="BE4" s="506"/>
      <c r="BF4" s="506" t="str">
        <f>IF(T4="","",T4)</f>
        <v>Наименование централизованной системы холодного водоснабжения</v>
      </c>
      <c r="BG4" s="506"/>
      <c r="BH4" s="506"/>
    </row>
    <row s="2611" customFormat="1" customHeight="1" ht="14.25" hidden="1">
      <c r="A5" s="1373"/>
      <c r="B5" s="1373"/>
      <c r="C5" s="1373"/>
      <c r="D5" s="1373"/>
      <c r="E5" s="2108"/>
      <c r="F5" s="2108"/>
      <c r="G5" s="2108"/>
      <c r="H5" s="2107">
        <v>1</v>
      </c>
      <c r="I5" s="1373"/>
      <c r="J5" s="1373"/>
      <c r="K5" s="1373"/>
      <c r="L5" s="1376"/>
      <c r="M5" s="1345"/>
      <c r="N5" s="1345"/>
      <c r="O5" s="1345"/>
      <c r="P5" s="1527"/>
      <c r="Q5" s="1528"/>
      <c r="R5" s="353"/>
      <c r="S5" s="1049"/>
      <c r="T5" s="1529"/>
      <c r="U5" s="1414"/>
      <c r="V5" s="2148"/>
      <c r="W5" s="2148"/>
      <c r="X5" s="2148"/>
      <c r="Y5" s="2148"/>
      <c r="Z5" s="2148"/>
      <c r="AA5" s="2148"/>
      <c r="AB5" s="2148"/>
      <c r="AC5" s="2149"/>
      <c r="AD5" s="2147"/>
      <c r="AE5" s="2148"/>
      <c r="AF5" s="2148"/>
      <c r="AG5" s="2148"/>
      <c r="AH5" s="2148"/>
      <c r="AI5" s="2148"/>
      <c r="AJ5" s="2148"/>
      <c r="AK5" s="2148"/>
      <c r="AL5" s="2148"/>
      <c r="AM5" s="2148"/>
      <c r="AN5" s="2148"/>
      <c r="AO5" s="2148"/>
      <c r="AP5" s="2148"/>
      <c r="AQ5" s="2148"/>
      <c r="AR5" s="2148"/>
      <c r="AS5" s="2148"/>
      <c r="AT5" s="2148"/>
      <c r="AU5" s="2148"/>
      <c r="AV5" s="2148"/>
      <c r="AW5" s="2148"/>
      <c r="AX5" s="2148"/>
      <c r="AY5" s="2148"/>
      <c r="AZ5" s="2148"/>
      <c r="BA5" s="2148"/>
      <c r="BB5" s="2149"/>
      <c r="BC5" s="1415" t="s">
        <v>397</v>
      </c>
      <c r="BE5" s="506"/>
      <c r="BF5" s="506" t="str">
        <f>IF(T5="","",T5)</f>
        <v/>
      </c>
      <c r="BG5" s="506"/>
      <c r="BH5" s="506"/>
    </row>
    <row s="2611" customFormat="1" customHeight="1" ht="14.25" hidden="1">
      <c r="A6" s="1373"/>
      <c r="B6" s="1373"/>
      <c r="C6" s="1373"/>
      <c r="D6" s="1373"/>
      <c r="E6" s="2108"/>
      <c r="F6" s="2108"/>
      <c r="G6" s="2108"/>
      <c r="H6" s="2108"/>
      <c r="I6" s="2109" t="str">
        <f>S5&amp;".1"</f>
        <v>.1</v>
      </c>
      <c r="J6" s="1373"/>
      <c r="K6" s="1373"/>
      <c r="L6" s="1376" t="s">
        <v>398</v>
      </c>
      <c r="M6" s="516"/>
      <c r="N6" s="516"/>
      <c r="O6" s="516"/>
      <c r="P6" s="2111">
        <v>1</v>
      </c>
      <c r="Q6" s="1492"/>
      <c r="R6" s="352"/>
      <c r="S6" s="1049"/>
      <c r="T6" s="1413"/>
      <c r="U6" s="1414"/>
      <c r="V6" s="2148"/>
      <c r="W6" s="2148"/>
      <c r="X6" s="2148"/>
      <c r="Y6" s="2148"/>
      <c r="Z6" s="2148"/>
      <c r="AA6" s="2148"/>
      <c r="AB6" s="2148"/>
      <c r="AC6" s="2149"/>
      <c r="AD6" s="2147"/>
      <c r="AE6" s="2148"/>
      <c r="AF6" s="2148"/>
      <c r="AG6" s="2148"/>
      <c r="AH6" s="2148"/>
      <c r="AI6" s="2148"/>
      <c r="AJ6" s="2148"/>
      <c r="AK6" s="2148"/>
      <c r="AL6" s="2148"/>
      <c r="AM6" s="2148"/>
      <c r="AN6" s="2148"/>
      <c r="AO6" s="2148"/>
      <c r="AP6" s="2148"/>
      <c r="AQ6" s="2148"/>
      <c r="AR6" s="2148"/>
      <c r="AS6" s="2148"/>
      <c r="AT6" s="2148"/>
      <c r="AU6" s="2148"/>
      <c r="AV6" s="2148"/>
      <c r="AW6" s="2148"/>
      <c r="AX6" s="2148"/>
      <c r="AY6" s="2148"/>
      <c r="AZ6" s="2148"/>
      <c r="BA6" s="2148"/>
      <c r="BB6" s="2149"/>
      <c r="BC6" s="1415"/>
      <c r="BE6" s="506"/>
      <c r="BF6" s="506" t="str">
        <f>IF(T6="","",T6)</f>
        <v/>
      </c>
      <c r="BG6" s="506"/>
      <c r="BH6" s="506"/>
    </row>
    <row s="2611" customFormat="1" customHeight="1" ht="14.25" hidden="1">
      <c r="A7" s="1373"/>
      <c r="B7" s="1373"/>
      <c r="C7" s="1373"/>
      <c r="D7" s="1373"/>
      <c r="E7" s="2108"/>
      <c r="F7" s="2108"/>
      <c r="G7" s="2108"/>
      <c r="H7" s="2108"/>
      <c r="I7" s="2110"/>
      <c r="J7" s="2109" t="str">
        <f>S5&amp;".1"</f>
        <v>.1</v>
      </c>
      <c r="K7" s="1373"/>
      <c r="L7" s="1376"/>
      <c r="M7" s="516"/>
      <c r="N7" s="516"/>
      <c r="O7" s="516"/>
      <c r="P7" s="2111"/>
      <c r="Q7" s="2111">
        <v>1</v>
      </c>
      <c r="R7" s="353"/>
      <c r="S7" s="1049"/>
      <c r="T7" s="1429"/>
      <c r="U7" s="1414"/>
      <c r="V7" s="2148"/>
      <c r="W7" s="2148"/>
      <c r="X7" s="2148"/>
      <c r="Y7" s="2148"/>
      <c r="Z7" s="2148"/>
      <c r="AA7" s="2148"/>
      <c r="AB7" s="2148"/>
      <c r="AC7" s="2149"/>
      <c r="AD7" s="2147"/>
      <c r="AE7" s="2148"/>
      <c r="AF7" s="2148"/>
      <c r="AG7" s="2148"/>
      <c r="AH7" s="2148"/>
      <c r="AI7" s="2148"/>
      <c r="AJ7" s="2148"/>
      <c r="AK7" s="2148"/>
      <c r="AL7" s="2148"/>
      <c r="AM7" s="2148"/>
      <c r="AN7" s="2148"/>
      <c r="AO7" s="2148"/>
      <c r="AP7" s="2148"/>
      <c r="AQ7" s="2148"/>
      <c r="AR7" s="2148"/>
      <c r="AS7" s="2148"/>
      <c r="AT7" s="2148"/>
      <c r="AU7" s="2148"/>
      <c r="AV7" s="2148"/>
      <c r="AW7" s="2148"/>
      <c r="AX7" s="2148"/>
      <c r="AY7" s="2148"/>
      <c r="AZ7" s="2148"/>
      <c r="BA7" s="2148"/>
      <c r="BB7" s="2149"/>
      <c r="BC7" s="1415"/>
      <c r="BE7" s="506"/>
      <c r="BF7" s="506" t="str">
        <f>IF(T7="","",T7)</f>
        <v/>
      </c>
      <c r="BG7" s="506"/>
      <c r="BH7" s="506"/>
    </row>
    <row customHeight="1" ht="11.25" hidden="1">
      <c r="A8" s="1393"/>
      <c r="B8" s="1393"/>
      <c r="C8" s="1393"/>
      <c r="D8" s="1393"/>
      <c r="E8" s="2108"/>
      <c r="F8" s="2108"/>
      <c r="G8" s="2108"/>
      <c r="H8" s="2108"/>
      <c r="I8" s="2110"/>
      <c r="J8" s="2110"/>
      <c r="K8" s="2109">
        <f>S4&amp;".1"</f>
      </c>
      <c r="L8" s="1394"/>
      <c r="P8" s="2111"/>
      <c r="Q8" s="2111"/>
      <c r="R8" s="2187">
        <v>1</v>
      </c>
      <c r="S8" s="2184">
        <f>$K8</f>
      </c>
      <c r="T8" s="2203"/>
      <c r="U8" s="288"/>
      <c r="V8" s="757"/>
      <c r="W8" s="1285"/>
      <c r="X8" s="757"/>
      <c r="Y8" s="1285"/>
      <c r="Z8" s="1774"/>
      <c r="AA8" s="1489" t="s">
        <v>62</v>
      </c>
      <c r="AB8" s="1774"/>
      <c r="AC8" s="1489" t="s">
        <v>62</v>
      </c>
      <c r="AD8" s="2044" t="s">
        <v>62</v>
      </c>
      <c r="AE8" s="2180"/>
      <c r="AF8" s="2057">
        <v>1</v>
      </c>
      <c r="AG8" s="2202"/>
      <c r="AH8" s="1981" t="s">
        <v>62</v>
      </c>
      <c r="AI8" s="2180"/>
      <c r="AJ8" s="2057">
        <v>1</v>
      </c>
      <c r="AK8" s="2201" t="s">
        <v>24</v>
      </c>
      <c r="AL8" s="1981" t="s">
        <v>62</v>
      </c>
      <c r="AM8" s="2029"/>
      <c r="AN8" s="2057">
        <v>1</v>
      </c>
      <c r="AO8" s="2206"/>
      <c r="AP8" s="2207" t="s">
        <v>62</v>
      </c>
      <c r="AQ8" s="301"/>
      <c r="AR8" s="1493">
        <v>1</v>
      </c>
      <c r="AS8" s="1496" t="s">
        <v>24</v>
      </c>
      <c r="AT8" s="757"/>
      <c r="AU8" s="1285"/>
      <c r="AV8" s="757"/>
      <c r="AW8" s="1285"/>
      <c r="AX8" s="1774"/>
      <c r="AY8" s="1489" t="s">
        <v>62</v>
      </c>
      <c r="AZ8" s="1774"/>
      <c r="BA8" s="1489" t="s">
        <v>62</v>
      </c>
      <c r="BB8" s="1378"/>
      <c r="BC8" s="2137" t="s">
        <v>495</v>
      </c>
      <c r="BE8" s="506"/>
      <c r="BF8" s="506" t="str">
        <f>IF(T8="","",T8)</f>
        <v/>
      </c>
      <c r="BG8" s="506"/>
      <c r="BH8" s="506"/>
    </row>
    <row customHeight="1" ht="11.25" hidden="1">
      <c r="A9" s="1393"/>
      <c r="B9" s="1393"/>
      <c r="C9" s="1393"/>
      <c r="D9" s="1393"/>
      <c r="E9" s="2108"/>
      <c r="F9" s="2108"/>
      <c r="G9" s="2108"/>
      <c r="H9" s="2108"/>
      <c r="I9" s="2110"/>
      <c r="J9" s="2110"/>
      <c r="K9" s="2109"/>
      <c r="L9" s="1394"/>
      <c r="P9" s="2111"/>
      <c r="Q9" s="2111"/>
      <c r="R9" s="2187"/>
      <c r="S9" s="2185"/>
      <c r="T9" s="2204"/>
      <c r="U9" s="288"/>
      <c r="V9" s="1423"/>
      <c r="W9" s="1526"/>
      <c r="X9" s="1423"/>
      <c r="Y9" s="1526"/>
      <c r="Z9" s="1423"/>
      <c r="AA9" s="1423"/>
      <c r="AB9" s="1423"/>
      <c r="AC9" s="1423"/>
      <c r="AD9" s="2045"/>
      <c r="AE9" s="2180"/>
      <c r="AF9" s="2057"/>
      <c r="AG9" s="2202"/>
      <c r="AH9" s="1981"/>
      <c r="AI9" s="2180"/>
      <c r="AJ9" s="2057"/>
      <c r="AK9" s="2201"/>
      <c r="AL9" s="1981"/>
      <c r="AM9" s="2037"/>
      <c r="AN9" s="2057"/>
      <c r="AO9" s="2206"/>
      <c r="AP9" s="2208"/>
      <c r="AQ9" s="308"/>
      <c r="AR9" s="422"/>
      <c r="AS9" s="422" t="s">
        <v>496</v>
      </c>
      <c r="AT9" s="1423"/>
      <c r="AU9" s="1526"/>
      <c r="AV9" s="1423"/>
      <c r="AW9" s="1526"/>
      <c r="AX9" s="1423"/>
      <c r="AY9" s="1423"/>
      <c r="AZ9" s="1423"/>
      <c r="BA9" s="1423"/>
      <c r="BB9" s="1427"/>
      <c r="BC9" s="2138"/>
      <c r="BE9" s="506"/>
      <c r="BF9" s="506"/>
      <c r="BG9" s="506"/>
      <c r="BH9" s="506"/>
    </row>
    <row customHeight="1" ht="11.25" hidden="1">
      <c r="A10" s="1393"/>
      <c r="B10" s="1393"/>
      <c r="C10" s="1393"/>
      <c r="D10" s="1393"/>
      <c r="E10" s="2108"/>
      <c r="F10" s="2108"/>
      <c r="G10" s="2108"/>
      <c r="H10" s="2108"/>
      <c r="I10" s="2110"/>
      <c r="J10" s="2110"/>
      <c r="K10" s="2109"/>
      <c r="L10" s="1394"/>
      <c r="P10" s="2111"/>
      <c r="Q10" s="2111"/>
      <c r="R10" s="2187"/>
      <c r="S10" s="2185"/>
      <c r="T10" s="2204"/>
      <c r="U10" s="288"/>
      <c r="V10" s="1423"/>
      <c r="W10" s="1526"/>
      <c r="X10" s="1423"/>
      <c r="Y10" s="1526"/>
      <c r="Z10" s="1423"/>
      <c r="AA10" s="1423"/>
      <c r="AB10" s="1423"/>
      <c r="AC10" s="1423"/>
      <c r="AD10" s="2045"/>
      <c r="AE10" s="2180"/>
      <c r="AF10" s="2057"/>
      <c r="AG10" s="2202"/>
      <c r="AH10" s="1981"/>
      <c r="AI10" s="2180"/>
      <c r="AJ10" s="2057"/>
      <c r="AK10" s="2201"/>
      <c r="AL10" s="1981"/>
      <c r="AM10" s="308"/>
      <c r="AN10" s="1530"/>
      <c r="AO10" s="1530" t="s">
        <v>497</v>
      </c>
      <c r="AP10" s="422"/>
      <c r="AQ10" s="422"/>
      <c r="AR10" s="422"/>
      <c r="AS10" s="1423"/>
      <c r="AT10" s="1423"/>
      <c r="AU10" s="1526"/>
      <c r="AV10" s="1423"/>
      <c r="AW10" s="1526"/>
      <c r="AX10" s="1423"/>
      <c r="AY10" s="1423"/>
      <c r="AZ10" s="1423"/>
      <c r="BA10" s="1423"/>
      <c r="BB10" s="1427"/>
      <c r="BC10" s="2138"/>
      <c r="BE10" s="506"/>
      <c r="BF10" s="506"/>
      <c r="BG10" s="506"/>
      <c r="BH10" s="506"/>
    </row>
    <row customHeight="1" ht="11.25" hidden="1">
      <c r="A11" s="1393"/>
      <c r="B11" s="1393"/>
      <c r="C11" s="1393"/>
      <c r="D11" s="1393"/>
      <c r="E11" s="2108"/>
      <c r="F11" s="2108"/>
      <c r="G11" s="2108"/>
      <c r="H11" s="2108"/>
      <c r="I11" s="2110"/>
      <c r="J11" s="2110"/>
      <c r="K11" s="2109"/>
      <c r="L11" s="1394"/>
      <c r="P11" s="2111"/>
      <c r="Q11" s="2111"/>
      <c r="R11" s="2187"/>
      <c r="S11" s="2185"/>
      <c r="T11" s="2204"/>
      <c r="U11" s="288"/>
      <c r="V11" s="1423"/>
      <c r="W11" s="1526"/>
      <c r="X11" s="1423"/>
      <c r="Y11" s="1526"/>
      <c r="Z11" s="1423"/>
      <c r="AA11" s="1423"/>
      <c r="AB11" s="1423"/>
      <c r="AC11" s="1423"/>
      <c r="AD11" s="2045"/>
      <c r="AE11" s="2180"/>
      <c r="AF11" s="2057"/>
      <c r="AG11" s="2202"/>
      <c r="AH11" s="1981"/>
      <c r="AI11" s="282"/>
      <c r="AJ11" s="421"/>
      <c r="AK11" s="303" t="s">
        <v>498</v>
      </c>
      <c r="AL11" s="1423"/>
      <c r="AM11" s="1423"/>
      <c r="AN11" s="1423"/>
      <c r="AO11" s="1423"/>
      <c r="AP11" s="1423"/>
      <c r="AQ11" s="1423"/>
      <c r="AR11" s="1423"/>
      <c r="AS11" s="1423"/>
      <c r="AT11" s="1423"/>
      <c r="AU11" s="1526"/>
      <c r="AV11" s="1423"/>
      <c r="AW11" s="1526"/>
      <c r="AX11" s="1423"/>
      <c r="AY11" s="1423"/>
      <c r="AZ11" s="1423"/>
      <c r="BA11" s="1423"/>
      <c r="BB11" s="1427"/>
      <c r="BC11" s="2138"/>
      <c r="BE11" s="506"/>
      <c r="BF11" s="506"/>
      <c r="BG11" s="506"/>
      <c r="BH11" s="506"/>
    </row>
    <row customHeight="1" ht="11.25" hidden="1">
      <c r="A12" s="1393"/>
      <c r="B12" s="1393"/>
      <c r="C12" s="1393"/>
      <c r="D12" s="1393"/>
      <c r="E12" s="2108"/>
      <c r="F12" s="2108"/>
      <c r="G12" s="2108"/>
      <c r="H12" s="2108"/>
      <c r="I12" s="2110"/>
      <c r="J12" s="2110"/>
      <c r="K12" s="2109"/>
      <c r="L12" s="1394"/>
      <c r="P12" s="2111"/>
      <c r="Q12" s="2111"/>
      <c r="R12" s="2187"/>
      <c r="S12" s="2186"/>
      <c r="T12" s="2205"/>
      <c r="U12" s="288"/>
      <c r="V12" s="1423"/>
      <c r="W12" s="1424" t="str">
        <f>Z8&amp;"-"&amp;AB8</f>
        <v>-</v>
      </c>
      <c r="X12" s="1423"/>
      <c r="Y12" s="1424" t="str">
        <f>AB8&amp;"-"&amp;AD8</f>
        <v>-да</v>
      </c>
      <c r="Z12" s="1423"/>
      <c r="AA12" s="1423"/>
      <c r="AB12" s="1423"/>
      <c r="AC12" s="1423"/>
      <c r="AD12" s="1986"/>
      <c r="AE12" s="302"/>
      <c r="AF12" s="304"/>
      <c r="AG12" s="422" t="s">
        <v>499</v>
      </c>
      <c r="AH12" s="1423"/>
      <c r="AI12" s="1423"/>
      <c r="AJ12" s="1423"/>
      <c r="AK12" s="1423"/>
      <c r="AL12" s="1423"/>
      <c r="AM12" s="1423"/>
      <c r="AN12" s="1423"/>
      <c r="AO12" s="1423"/>
      <c r="AP12" s="1423"/>
      <c r="AQ12" s="1423"/>
      <c r="AR12" s="1423"/>
      <c r="AS12" s="1423"/>
      <c r="AT12" s="1423"/>
      <c r="AU12" s="1424" t="str">
        <f>AX8&amp;"-"&amp;AZ8</f>
        <v>-</v>
      </c>
      <c r="AV12" s="1423"/>
      <c r="AW12" s="1424" t="str">
        <f>AZ8&amp;"-"&amp;BB8</f>
        <v>-</v>
      </c>
      <c r="AX12" s="1423"/>
      <c r="AY12" s="1423"/>
      <c r="AZ12" s="1423"/>
      <c r="BA12" s="1423"/>
      <c r="BB12" s="1426" t="str">
        <f>BE8&amp;"-"&amp;BG8</f>
        <v>-</v>
      </c>
      <c r="BC12" s="2138"/>
      <c r="BE12" s="506"/>
      <c r="BF12" s="506" t="str">
        <f>IF(T12="","",T12)</f>
        <v/>
      </c>
      <c r="BG12" s="506"/>
      <c r="BH12" s="506"/>
    </row>
    <row customHeight="1" ht="11.25" hidden="1">
      <c r="A13" s="1393"/>
      <c r="B13" s="1393"/>
      <c r="C13" s="1393"/>
      <c r="D13" s="1393"/>
      <c r="E13" s="2108"/>
      <c r="F13" s="2108"/>
      <c r="G13" s="2108"/>
      <c r="H13" s="2108"/>
      <c r="I13" s="2110"/>
      <c r="J13" s="2109"/>
      <c r="K13" s="1393"/>
      <c r="L13" s="1394"/>
      <c r="P13" s="2111"/>
      <c r="Q13" s="2111"/>
      <c r="R13" s="352"/>
      <c r="S13" s="1308"/>
      <c r="T13" s="275" t="s">
        <v>463</v>
      </c>
      <c r="U13" s="367"/>
      <c r="V13" s="367"/>
      <c r="W13" s="367"/>
      <c r="X13" s="367"/>
      <c r="Y13" s="367"/>
      <c r="Z13" s="367"/>
      <c r="AA13" s="367"/>
      <c r="AB13" s="367"/>
      <c r="AC13" s="367"/>
      <c r="AD13" s="153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39"/>
      <c r="BE13" s="506"/>
      <c r="BF13" s="506" t="str">
        <f>IF(T13="","",T13)</f>
        <v>Добавить строку</v>
      </c>
      <c r="BG13" s="506"/>
      <c r="BH13" s="506"/>
    </row>
    <row s="2611" customFormat="1" customHeight="1" ht="14.25" hidden="1">
      <c r="A14" s="1373"/>
      <c r="B14" s="1373"/>
      <c r="C14" s="1373"/>
      <c r="D14" s="1373"/>
      <c r="E14" s="2108"/>
      <c r="F14" s="2108"/>
      <c r="G14" s="2108"/>
      <c r="H14" s="2108"/>
      <c r="I14" s="2109"/>
      <c r="J14" s="1373"/>
      <c r="K14" s="1373"/>
      <c r="L14" s="1376"/>
      <c r="M14" s="516"/>
      <c r="N14" s="516"/>
      <c r="O14" s="516"/>
      <c r="P14" s="2111"/>
      <c r="Q14" s="1492"/>
      <c r="R14" s="352"/>
      <c r="S14" s="1416"/>
      <c r="T14" s="1417"/>
      <c r="U14" s="1418"/>
      <c r="V14" s="1418"/>
      <c r="W14" s="1418"/>
      <c r="X14" s="1418"/>
      <c r="Y14" s="1418"/>
      <c r="Z14" s="1418"/>
      <c r="AA14" s="1418"/>
      <c r="AB14" s="1418"/>
      <c r="AC14" s="1418"/>
      <c r="AD14" s="1418"/>
      <c r="AE14" s="1418"/>
      <c r="AF14" s="1418"/>
      <c r="AG14" s="1418"/>
      <c r="AH14" s="1418"/>
      <c r="AI14" s="1418"/>
      <c r="AJ14" s="1418"/>
      <c r="AK14" s="1418"/>
      <c r="AL14" s="1418"/>
      <c r="AM14" s="1418"/>
      <c r="AN14" s="1418"/>
      <c r="AO14" s="1418"/>
      <c r="AP14" s="1418"/>
      <c r="AQ14" s="1418"/>
      <c r="AR14" s="1418"/>
      <c r="AS14" s="1418"/>
      <c r="AT14" s="1418"/>
      <c r="AU14" s="1418"/>
      <c r="AV14" s="1418"/>
      <c r="AW14" s="1418"/>
      <c r="AX14" s="1418"/>
      <c r="AY14" s="1418"/>
      <c r="AZ14" s="1418"/>
      <c r="BA14" s="1418"/>
      <c r="BB14" s="1418"/>
      <c r="BC14" s="1419"/>
      <c r="BE14" s="506"/>
      <c r="BF14" s="506" t="str">
        <f>IF(T14="","",T14)</f>
        <v/>
      </c>
      <c r="BG14" s="506"/>
      <c r="BH14" s="506"/>
    </row>
    <row s="2611" customFormat="1" customHeight="1" ht="14.25" hidden="1">
      <c r="A15" s="1373"/>
      <c r="B15" s="1373"/>
      <c r="C15" s="1373"/>
      <c r="D15" s="1373"/>
      <c r="E15" s="2108"/>
      <c r="F15" s="2108"/>
      <c r="G15" s="2108"/>
      <c r="H15" s="2107"/>
      <c r="I15" s="1373"/>
      <c r="J15" s="1373"/>
      <c r="K15" s="1373"/>
      <c r="L15" s="1376"/>
      <c r="M15" s="1345"/>
      <c r="N15" s="1345"/>
      <c r="O15" s="524"/>
      <c r="P15" s="385"/>
      <c r="Q15" s="1374"/>
      <c r="R15" s="1431"/>
      <c r="S15" s="1416"/>
      <c r="T15" s="1417"/>
      <c r="U15" s="1418"/>
      <c r="V15" s="1418"/>
      <c r="W15" s="1418"/>
      <c r="X15" s="1418"/>
      <c r="Y15" s="1418"/>
      <c r="Z15" s="1418"/>
      <c r="AA15" s="1418"/>
      <c r="AB15" s="1418"/>
      <c r="AC15" s="1418"/>
      <c r="AD15" s="1418"/>
      <c r="AE15" s="1418"/>
      <c r="AF15" s="1418"/>
      <c r="AG15" s="1418"/>
      <c r="AH15" s="1418"/>
      <c r="AI15" s="1418"/>
      <c r="AJ15" s="1418"/>
      <c r="AK15" s="1418"/>
      <c r="AL15" s="1418"/>
      <c r="AM15" s="1418"/>
      <c r="AN15" s="1418"/>
      <c r="AO15" s="1418"/>
      <c r="AP15" s="1418"/>
      <c r="AQ15" s="1418"/>
      <c r="AR15" s="1418"/>
      <c r="AS15" s="1418"/>
      <c r="AT15" s="1418"/>
      <c r="AU15" s="1418"/>
      <c r="AV15" s="1418"/>
      <c r="AW15" s="1418"/>
      <c r="AX15" s="1418"/>
      <c r="AY15" s="1418"/>
      <c r="AZ15" s="1418"/>
      <c r="BA15" s="1418"/>
      <c r="BB15" s="1418"/>
      <c r="BC15" s="1419"/>
      <c r="BE15" s="506"/>
      <c r="BF15" s="506" t="str">
        <f>IF(T15="","",T15)</f>
        <v/>
      </c>
      <c r="BG15" s="506"/>
      <c r="BH15" s="506"/>
    </row>
    <row s="3273" customFormat="1" customHeight="1" ht="14.25" hidden="1">
      <c r="A16" s="1373"/>
      <c r="B16" s="1373"/>
      <c r="C16" s="1373"/>
      <c r="D16" s="1344"/>
      <c r="E16" s="2108"/>
      <c r="F16" s="2108"/>
      <c r="G16" s="2107"/>
      <c r="H16" s="1344"/>
      <c r="I16" s="1344"/>
      <c r="J16" s="1344"/>
      <c r="K16" s="1344"/>
      <c r="L16" s="1494"/>
      <c r="M16" s="1345"/>
      <c r="N16" s="1345"/>
      <c r="P16" s="1346"/>
      <c r="Q16" s="1347"/>
      <c r="R16" s="1346"/>
      <c r="S16" s="1352"/>
      <c r="T16" s="1355"/>
      <c r="U16" s="1354"/>
      <c r="V16" s="1354"/>
      <c r="W16" s="1354"/>
      <c r="X16" s="1354"/>
      <c r="Y16" s="1354"/>
      <c r="Z16" s="1354"/>
      <c r="AA16" s="1354"/>
      <c r="AB16" s="1354"/>
      <c r="AC16" s="1354"/>
      <c r="AD16" s="1354"/>
      <c r="AE16" s="1354"/>
      <c r="AF16" s="1354"/>
      <c r="AG16" s="1354"/>
      <c r="AH16" s="1354"/>
      <c r="AI16" s="1354"/>
      <c r="AJ16" s="1354"/>
      <c r="AK16" s="1354"/>
      <c r="AL16" s="1354"/>
      <c r="AM16" s="1354"/>
      <c r="AN16" s="1354"/>
      <c r="AO16" s="1354"/>
      <c r="AP16" s="1354"/>
      <c r="AQ16" s="1354"/>
      <c r="AR16" s="1354"/>
      <c r="AS16" s="1354"/>
      <c r="AT16" s="1354"/>
      <c r="AU16" s="1354"/>
      <c r="AV16" s="1354"/>
      <c r="AW16" s="1354"/>
      <c r="AX16" s="1354"/>
      <c r="AY16" s="1354"/>
      <c r="AZ16" s="1354"/>
      <c r="BA16" s="1354"/>
      <c r="BB16" s="1354"/>
      <c r="BC16" s="1354"/>
      <c r="BE16" s="795"/>
      <c r="BF16" s="795" t="str">
        <f>IF(T16="","",T16)</f>
        <v/>
      </c>
      <c r="BG16" s="795"/>
      <c r="BH16" s="795"/>
    </row>
    <row s="3273" customFormat="1" customHeight="1" ht="14.25" hidden="1">
      <c r="A17" s="1373"/>
      <c r="B17" s="1373"/>
      <c r="C17" s="1344"/>
      <c r="D17" s="1344"/>
      <c r="E17" s="2108"/>
      <c r="F17" s="2107"/>
      <c r="G17" s="1344"/>
      <c r="H17" s="1344"/>
      <c r="I17" s="1344"/>
      <c r="J17" s="1344"/>
      <c r="K17" s="1344"/>
      <c r="L17" s="1494"/>
      <c r="M17" s="1351"/>
      <c r="N17" s="1351"/>
      <c r="P17" s="1346"/>
      <c r="Q17" s="1347"/>
      <c r="R17" s="1346"/>
      <c r="S17" s="1352"/>
      <c r="T17" s="1355" t="s">
        <v>182</v>
      </c>
      <c r="U17" s="1354"/>
      <c r="V17" s="1354"/>
      <c r="W17" s="1354"/>
      <c r="X17" s="1354"/>
      <c r="Y17" s="1354"/>
      <c r="Z17" s="1354"/>
      <c r="AA17" s="1354"/>
      <c r="AB17" s="1354"/>
      <c r="AC17" s="1354"/>
      <c r="AD17" s="1354"/>
      <c r="AE17" s="1354"/>
      <c r="AF17" s="1354"/>
      <c r="AG17" s="1354"/>
      <c r="AH17" s="1354"/>
      <c r="AI17" s="1354"/>
      <c r="AJ17" s="1354"/>
      <c r="AK17" s="1354"/>
      <c r="AL17" s="1354"/>
      <c r="AM17" s="1354"/>
      <c r="AN17" s="1354"/>
      <c r="AO17" s="1354"/>
      <c r="AP17" s="1354"/>
      <c r="AQ17" s="1354"/>
      <c r="AR17" s="1354"/>
      <c r="AS17" s="1354"/>
      <c r="AT17" s="1354"/>
      <c r="AU17" s="1354"/>
      <c r="AV17" s="1354"/>
      <c r="AW17" s="1354"/>
      <c r="AX17" s="1354"/>
      <c r="AY17" s="1354"/>
      <c r="AZ17" s="1354"/>
      <c r="BA17" s="1354"/>
      <c r="BB17" s="1354"/>
      <c r="BC17" s="1354"/>
      <c r="BE17" s="795"/>
      <c r="BF17" s="795" t="str">
        <f>IF(T17="","",T17)</f>
        <v>Добавить централизованную систему для дифференциации</v>
      </c>
      <c r="BG17" s="795"/>
      <c r="BH17" s="795"/>
    </row>
    <row s="2611" customFormat="1" customHeight="1" ht="14.25" hidden="1">
      <c r="A18" s="1373"/>
      <c r="B18" s="1373"/>
      <c r="C18" s="1373"/>
      <c r="D18" s="1373"/>
      <c r="E18" s="2107"/>
      <c r="F18" s="1373"/>
      <c r="G18" s="1373"/>
      <c r="H18" s="1373"/>
      <c r="I18" s="1373"/>
      <c r="J18" s="1373"/>
      <c r="K18" s="1373"/>
      <c r="L18" s="1376"/>
      <c r="M18" s="1351"/>
      <c r="N18" s="1351"/>
      <c r="O18" s="524"/>
      <c r="P18" s="385"/>
      <c r="Q18" s="1374"/>
      <c r="R18" s="385"/>
      <c r="S18" s="1352"/>
      <c r="T18" s="1355" t="s">
        <v>183</v>
      </c>
      <c r="U18" s="1354"/>
      <c r="V18" s="1354"/>
      <c r="W18" s="1354"/>
      <c r="X18" s="1354"/>
      <c r="Y18" s="1354"/>
      <c r="Z18" s="1354"/>
      <c r="AA18" s="1354"/>
      <c r="AB18" s="1354"/>
      <c r="AC18" s="1354"/>
      <c r="AD18" s="1354"/>
      <c r="AE18" s="1354"/>
      <c r="AF18" s="1354"/>
      <c r="AG18" s="1354"/>
      <c r="AH18" s="1354"/>
      <c r="AI18" s="1354"/>
      <c r="AJ18" s="1354"/>
      <c r="AK18" s="1354"/>
      <c r="AL18" s="1354"/>
      <c r="AM18" s="1354"/>
      <c r="AN18" s="1354"/>
      <c r="AO18" s="1354"/>
      <c r="AP18" s="1354"/>
      <c r="AQ18" s="1354"/>
      <c r="AR18" s="1354"/>
      <c r="AS18" s="1354"/>
      <c r="AT18" s="1354"/>
      <c r="AU18" s="1354"/>
      <c r="AV18" s="1354"/>
      <c r="AW18" s="1354"/>
      <c r="AX18" s="1354"/>
      <c r="AY18" s="1354"/>
      <c r="AZ18" s="1354"/>
      <c r="BA18" s="1354"/>
      <c r="BB18" s="1354"/>
      <c r="BC18" s="1354"/>
      <c r="BE18" s="506"/>
      <c r="BF18" s="506" t="str">
        <f>IF(T18="","",T18)</f>
        <v>Добавить территорию для дифференциации</v>
      </c>
      <c r="BG18" s="506"/>
      <c r="BH18" s="506"/>
    </row>
    <row customHeight="1" ht="14.25" hidden="1">
      <c r="AC19" s="323"/>
      <c r="BA19" s="323"/>
    </row>
    <row customHeight="1" ht="14.25" hidden="1">
      <c r="AD20" s="1354" t="s">
        <v>57</v>
      </c>
      <c r="AE20" s="1531"/>
      <c r="AF20" s="554">
        <v>1</v>
      </c>
      <c r="AG20" s="1532"/>
      <c r="AH20" s="1354" t="s">
        <v>57</v>
      </c>
      <c r="AI20" s="1531"/>
      <c r="AJ20" s="554">
        <v>1</v>
      </c>
      <c r="AK20" s="1532"/>
      <c r="AL20" s="1354" t="s">
        <v>57</v>
      </c>
      <c r="AM20" s="1533"/>
      <c r="AN20" s="554">
        <v>1</v>
      </c>
      <c r="AO20" s="1534"/>
      <c r="AP20" s="1354" t="s">
        <v>57</v>
      </c>
      <c r="AQ20" s="1533"/>
      <c r="AR20" s="554">
        <v>1</v>
      </c>
      <c r="AS20" s="1534"/>
      <c r="AT20" s="320"/>
      <c r="AU20" s="390"/>
      <c r="AV20" s="320"/>
      <c r="AW20" s="390"/>
      <c r="AX20" s="1776"/>
      <c r="AY20" s="1490" t="s">
        <v>62</v>
      </c>
      <c r="AZ20" s="1776"/>
      <c r="BA20" s="1490" t="s">
        <v>62</v>
      </c>
    </row>
    <row customHeight="1" ht="14.25" hidden="1">
      <c r="BD21" s="502"/>
      <c r="BE21" s="502"/>
      <c r="BF21" s="502"/>
      <c r="BG21" s="502"/>
      <c r="BH21" s="502"/>
    </row>
    <row customHeight="1" ht="14.25" hidden="1">
      <c r="O22" s="1397" t="s">
        <v>409</v>
      </c>
      <c r="Z22" s="1375"/>
      <c r="AB22" s="1375"/>
      <c r="AC22" s="323"/>
      <c r="AX22" s="1375"/>
      <c r="AZ22" s="1375"/>
      <c r="BA22" s="323"/>
      <c r="BD22" s="502"/>
      <c r="BE22" s="502"/>
      <c r="BF22" s="502"/>
      <c r="BG22" s="502"/>
      <c r="BH22" s="502"/>
    </row>
    <row customHeight="1" ht="14.25" hidden="1">
      <c r="AC23" s="323"/>
      <c r="BA23" s="323"/>
      <c r="BD23" s="502"/>
      <c r="BE23" s="502"/>
      <c r="BF23" s="502"/>
      <c r="BG23" s="502"/>
      <c r="BH23" s="502"/>
    </row>
    <row s="3732" customFormat="1" customHeight="1" ht="14.25" hidden="1">
      <c r="M24" s="1538"/>
      <c r="N24" s="1538"/>
      <c r="O24" s="1539" t="s">
        <v>410</v>
      </c>
      <c r="P24" s="1538"/>
      <c r="Q24" s="1540"/>
      <c r="R24" s="1540"/>
      <c r="AA24" s="1537" t="s">
        <v>412</v>
      </c>
      <c r="AC24" s="1537" t="s">
        <v>413</v>
      </c>
      <c r="AD24" s="1537" t="s">
        <v>464</v>
      </c>
      <c r="AH24" s="1537" t="s">
        <v>464</v>
      </c>
      <c r="AK24" s="1537" t="s">
        <v>500</v>
      </c>
      <c r="AL24" s="1537" t="s">
        <v>464</v>
      </c>
      <c r="AP24" s="1537" t="s">
        <v>464</v>
      </c>
      <c r="AY24" s="1537" t="s">
        <v>412</v>
      </c>
      <c r="BA24" s="1537" t="s">
        <v>413</v>
      </c>
      <c r="BD24" s="1541"/>
      <c r="BE24" s="1541"/>
      <c r="BF24" s="1541"/>
      <c r="BG24" s="1541"/>
      <c r="BH24" s="1541"/>
    </row>
    <row customHeight="1" ht="14.25" hidden="1">
      <c r="O25" s="1394"/>
      <c r="BD25" s="502"/>
      <c r="BE25" s="502"/>
      <c r="BF25" s="502"/>
      <c r="BG25" s="502"/>
      <c r="BH25" s="502"/>
    </row>
    <row customHeight="1" ht="14.25" hidden="1">
      <c r="O26" s="1394"/>
      <c r="BD26" s="502"/>
      <c r="BE26" s="502"/>
      <c r="BF26" s="502"/>
      <c r="BG26" s="502"/>
      <c r="BH26" s="502"/>
    </row>
    <row customHeight="1" ht="14.25">
      <c r="Q27" s="279"/>
      <c r="R27" s="377"/>
      <c r="S27" s="1305"/>
      <c r="T27" s="361"/>
      <c r="U27" s="361"/>
      <c r="V27" s="515"/>
      <c r="W27" s="515"/>
      <c r="X27" s="515"/>
      <c r="Y27" s="515"/>
      <c r="Z27" s="515"/>
      <c r="AA27" s="515"/>
      <c r="AB27" s="515"/>
      <c r="AC27" s="515"/>
      <c r="AD27" s="515"/>
      <c r="AE27" s="515"/>
      <c r="AF27" s="515"/>
      <c r="AG27" s="515"/>
      <c r="AH27" s="515"/>
      <c r="AI27" s="515"/>
      <c r="AJ27" s="515"/>
      <c r="AK27" s="515"/>
      <c r="AL27" s="515"/>
      <c r="AM27" s="515"/>
      <c r="AN27" s="515"/>
      <c r="AO27" s="515"/>
      <c r="AP27" s="515"/>
      <c r="AQ27" s="515"/>
      <c r="AR27" s="515"/>
      <c r="AS27" s="515"/>
      <c r="AT27" s="515"/>
      <c r="AU27" s="515"/>
      <c r="AV27" s="515"/>
      <c r="AW27" s="515"/>
      <c r="AX27" s="515"/>
      <c r="AY27" s="515"/>
      <c r="AZ27" s="515"/>
      <c r="BA27" s="515"/>
    </row>
    <row customHeight="1" ht="14.25">
      <c r="Q28" s="279"/>
      <c r="R28" s="377"/>
      <c r="S28" s="2140" t="str">
        <f>IF(TEMPLATE_GROUP="P",PT_P_FORM_COLDVSNA_5_NAME_FORM,PT_R_FORM_COLDVSNA_17_NAME_FORM)</f>
        <v>Форма 3. Информация об установленных тарифах на подключение (технологическое присоединение) к централизованной системе холодного водоснабжения</v>
      </c>
      <c r="T28" s="2140"/>
      <c r="U28" s="2140"/>
      <c r="V28" s="2140"/>
      <c r="W28" s="2140"/>
      <c r="X28" s="2140"/>
      <c r="Y28" s="2140"/>
      <c r="Z28" s="2140"/>
      <c r="AA28" s="2140"/>
      <c r="AB28" s="2140"/>
      <c r="AC28" s="2140"/>
      <c r="AD28" s="2140"/>
      <c r="AE28" s="2140"/>
      <c r="AF28" s="2140"/>
      <c r="AG28" s="2140"/>
      <c r="AH28" s="2140"/>
      <c r="AI28" s="2140"/>
      <c r="AJ28" s="2140"/>
      <c r="AK28" s="2140"/>
      <c r="AL28" s="2140"/>
      <c r="AM28" s="2140"/>
      <c r="AN28" s="2140"/>
      <c r="AO28" s="2140"/>
      <c r="AP28" s="2140"/>
      <c r="AQ28" s="2140"/>
      <c r="AR28" s="2140"/>
      <c r="AS28" s="2140"/>
      <c r="AT28" s="2140"/>
      <c r="AU28" s="2140"/>
      <c r="AV28" s="2140"/>
      <c r="AW28" s="2140"/>
      <c r="AX28" s="2140"/>
      <c r="AY28" s="2140"/>
      <c r="AZ28" s="2140"/>
      <c r="BA28" s="1261"/>
    </row>
    <row customHeight="1" ht="14.25">
      <c r="Q29" s="279"/>
      <c r="R29" s="377"/>
      <c r="S29" s="2141" t="str">
        <f>IF(org=0,"Не определено",org)</f>
        <v>ЗАО "Байкалэнерго"</v>
      </c>
      <c r="T29" s="2141"/>
      <c r="U29" s="2141"/>
      <c r="V29" s="2141"/>
      <c r="W29" s="2141"/>
      <c r="X29" s="2141"/>
      <c r="Y29" s="2141"/>
      <c r="Z29" s="2141"/>
      <c r="AA29" s="2141"/>
      <c r="AB29" s="2141"/>
      <c r="AC29" s="2141"/>
      <c r="AD29" s="2141"/>
      <c r="AE29" s="2141"/>
      <c r="AF29" s="2141"/>
      <c r="AG29" s="2141"/>
      <c r="AH29" s="2141"/>
      <c r="AI29" s="2141"/>
      <c r="AJ29" s="2141"/>
      <c r="AK29" s="2141"/>
      <c r="AL29" s="2141"/>
      <c r="AM29" s="2141"/>
      <c r="AN29" s="2141"/>
      <c r="AO29" s="2141"/>
      <c r="AP29" s="2141"/>
      <c r="AQ29" s="2141"/>
      <c r="AR29" s="2141"/>
      <c r="AS29" s="2141"/>
      <c r="AT29" s="2141"/>
      <c r="AU29" s="2141"/>
      <c r="AV29" s="2141"/>
      <c r="AW29" s="2141"/>
      <c r="AX29" s="2141"/>
      <c r="AY29" s="2141"/>
      <c r="AZ29" s="2141"/>
      <c r="BA29" s="1261"/>
    </row>
    <row customHeight="1" ht="14.25">
      <c r="Q30" s="279"/>
      <c r="R30" s="377"/>
      <c r="S30" s="1305"/>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5"/>
    </row>
    <row s="3305" customFormat="1" customHeight="1" ht="25.5">
      <c r="A31" s="1398"/>
      <c r="B31" s="1398"/>
      <c r="C31" s="1398"/>
      <c r="D31" s="1398"/>
      <c r="E31" s="1398"/>
      <c r="F31" s="1398"/>
      <c r="G31" s="1398"/>
      <c r="H31" s="1398"/>
      <c r="I31" s="1398"/>
      <c r="J31" s="1398"/>
      <c r="K31" s="1398"/>
      <c r="L31" s="1399"/>
      <c r="M31" s="1398"/>
      <c r="N31" s="1398"/>
      <c r="O31" s="1398"/>
      <c r="P31" s="1398"/>
      <c r="Q31" s="1398"/>
      <c r="S31" s="2098" t="s">
        <v>38</v>
      </c>
      <c r="T31" s="2098"/>
      <c r="U31" s="1402"/>
      <c r="V31" s="2100" t="str">
        <f>IF(TITLE_NAME_OR_PR_CHANGE="",IF(TITLE_NAME_OR_PR="","",TITLE_NAME_OR_PR),TITLE_NAME_OR_PR_CHANGE)</f>
        <v>Служба по тарифам Иркутской области</v>
      </c>
      <c r="W31" s="2100"/>
      <c r="X31" s="2100"/>
      <c r="Y31" s="2100"/>
      <c r="Z31" s="2100"/>
      <c r="AA31" s="2100"/>
      <c r="AB31" s="2100"/>
      <c r="AC31" s="322"/>
      <c r="AD31" s="2100" t="str">
        <f>IF(TITLE_NAME_OR_PR_CHANGE="",IF(TITLE_NAME_OR_PR="","",TITLE_NAME_OR_PR),TITLE_NAME_OR_PR_CHANGE)</f>
        <v>Служба по тарифам Иркутской области</v>
      </c>
      <c r="AE31" s="2100"/>
      <c r="AF31" s="2100"/>
      <c r="AG31" s="2100"/>
      <c r="AH31" s="2100"/>
      <c r="AI31" s="2100"/>
      <c r="AJ31" s="2100"/>
      <c r="AK31" s="2100"/>
      <c r="AL31" s="2100"/>
      <c r="AM31" s="2100"/>
      <c r="AN31" s="2100"/>
      <c r="AO31" s="2100"/>
      <c r="AP31" s="2100"/>
      <c r="AQ31" s="2100"/>
      <c r="AR31" s="2100"/>
      <c r="AS31" s="2100"/>
      <c r="AT31" s="2100"/>
      <c r="AU31" s="2100"/>
      <c r="AV31" s="2100"/>
      <c r="AW31" s="2100"/>
      <c r="AX31" s="2100"/>
      <c r="AY31" s="2100"/>
      <c r="AZ31" s="2100"/>
      <c r="BA31" s="322"/>
      <c r="BB31" s="322"/>
      <c r="BC31" s="268"/>
      <c r="BD31" s="368"/>
      <c r="BE31" s="368"/>
      <c r="BF31" s="368"/>
      <c r="BG31" s="368"/>
      <c r="BH31" s="368"/>
    </row>
    <row s="3305" customFormat="1" customHeight="1" ht="18.75">
      <c r="A32" s="1398"/>
      <c r="B32" s="1398"/>
      <c r="C32" s="1398"/>
      <c r="D32" s="1398"/>
      <c r="E32" s="1398"/>
      <c r="F32" s="1398"/>
      <c r="G32" s="1398"/>
      <c r="H32" s="1398"/>
      <c r="I32" s="1398"/>
      <c r="J32" s="1398"/>
      <c r="K32" s="1398"/>
      <c r="L32" s="1399"/>
      <c r="M32" s="1398"/>
      <c r="N32" s="1398"/>
      <c r="O32" s="1398"/>
      <c r="P32" s="1398"/>
      <c r="Q32" s="1398"/>
      <c r="S32" s="2098" t="s">
        <v>415</v>
      </c>
      <c r="T32" s="2098"/>
      <c r="U32" s="1402"/>
      <c r="V32" s="2099" t="str">
        <f>IF(TITLE_DATE_PR_CHANGE="",IF(TITLE_DATE_PR="","",TITLE_DATE_PR),TITLE_DATE_PR_CHANGE)</f>
        <v>45280.56123842593</v>
      </c>
      <c r="W32" s="2099"/>
      <c r="X32" s="2099"/>
      <c r="Y32" s="2099"/>
      <c r="Z32" s="2099"/>
      <c r="AA32" s="2099"/>
      <c r="AB32" s="2099"/>
      <c r="AC32" s="322"/>
      <c r="AD32" s="2099" t="str">
        <f>IF(TITLE_DATE_PR_CHANGE="",IF(TITLE_DATE_PR="","",TITLE_DATE_PR),TITLE_DATE_PR_CHANGE)</f>
        <v>45280.56123842593</v>
      </c>
      <c r="AE32" s="2099"/>
      <c r="AF32" s="2099"/>
      <c r="AG32" s="2099"/>
      <c r="AH32" s="2099"/>
      <c r="AI32" s="2099"/>
      <c r="AJ32" s="2099"/>
      <c r="AK32" s="2099"/>
      <c r="AL32" s="2099"/>
      <c r="AM32" s="2099"/>
      <c r="AN32" s="2099"/>
      <c r="AO32" s="2099"/>
      <c r="AP32" s="2099"/>
      <c r="AQ32" s="2099"/>
      <c r="AR32" s="2099"/>
      <c r="AS32" s="2099"/>
      <c r="AT32" s="2099"/>
      <c r="AU32" s="2099"/>
      <c r="AV32" s="2099"/>
      <c r="AW32" s="2099"/>
      <c r="AX32" s="2099"/>
      <c r="AY32" s="2099"/>
      <c r="AZ32" s="2099"/>
      <c r="BA32" s="322"/>
      <c r="BB32" s="322"/>
      <c r="BC32" s="268"/>
      <c r="BD32" s="368"/>
      <c r="BE32" s="368"/>
      <c r="BF32" s="368"/>
      <c r="BG32" s="368"/>
      <c r="BH32" s="368"/>
    </row>
    <row s="3305" customFormat="1" customHeight="1" ht="18.75">
      <c r="A33" s="1398"/>
      <c r="B33" s="1398"/>
      <c r="C33" s="1398"/>
      <c r="D33" s="1398"/>
      <c r="E33" s="1398"/>
      <c r="F33" s="1398"/>
      <c r="G33" s="1398"/>
      <c r="H33" s="1398"/>
      <c r="I33" s="1398"/>
      <c r="J33" s="1398"/>
      <c r="K33" s="1398"/>
      <c r="L33" s="1399"/>
      <c r="M33" s="1398"/>
      <c r="N33" s="1398"/>
      <c r="O33" s="1398"/>
      <c r="P33" s="1398"/>
      <c r="Q33" s="1398"/>
      <c r="S33" s="2098" t="s">
        <v>416</v>
      </c>
      <c r="T33" s="2098"/>
      <c r="U33" s="1402"/>
      <c r="V33" s="2100" t="str">
        <f>IF(TITLE_NUMBER_PR_CHANGE="",IF(TITLE_NUMBER_PR="","",TITLE_NUMBER_PR),TITLE_NUMBER_PR_CHANGE)</f>
        <v>79-477-спр</v>
      </c>
      <c r="W33" s="2100"/>
      <c r="X33" s="2100"/>
      <c r="Y33" s="2100"/>
      <c r="Z33" s="2100"/>
      <c r="AA33" s="2100"/>
      <c r="AB33" s="2100"/>
      <c r="AC33" s="322"/>
      <c r="AD33" s="2100" t="str">
        <f>IF(TITLE_NUMBER_PR_CHANGE="",IF(TITLE_NUMBER_PR="","",TITLE_NUMBER_PR),TITLE_NUMBER_PR_CHANGE)</f>
        <v>79-477-спр</v>
      </c>
      <c r="AE33" s="2100"/>
      <c r="AF33" s="2100"/>
      <c r="AG33" s="2100"/>
      <c r="AH33" s="2100"/>
      <c r="AI33" s="2100"/>
      <c r="AJ33" s="2100"/>
      <c r="AK33" s="2100"/>
      <c r="AL33" s="2100"/>
      <c r="AM33" s="2100"/>
      <c r="AN33" s="2100"/>
      <c r="AO33" s="2100"/>
      <c r="AP33" s="2100"/>
      <c r="AQ33" s="2100"/>
      <c r="AR33" s="2100"/>
      <c r="AS33" s="2100"/>
      <c r="AT33" s="2100"/>
      <c r="AU33" s="2100"/>
      <c r="AV33" s="2100"/>
      <c r="AW33" s="2100"/>
      <c r="AX33" s="2100"/>
      <c r="AY33" s="2100"/>
      <c r="AZ33" s="2100"/>
      <c r="BA33" s="322"/>
      <c r="BB33" s="322"/>
      <c r="BC33" s="268"/>
      <c r="BD33" s="368"/>
      <c r="BE33" s="368"/>
      <c r="BF33" s="368"/>
      <c r="BG33" s="368"/>
      <c r="BH33" s="368"/>
    </row>
    <row s="3305" customFormat="1" customHeight="1" ht="18.75">
      <c r="A34" s="1398"/>
      <c r="B34" s="1398"/>
      <c r="C34" s="1398"/>
      <c r="D34" s="1398"/>
      <c r="E34" s="1398"/>
      <c r="F34" s="1398"/>
      <c r="G34" s="1398"/>
      <c r="H34" s="1398"/>
      <c r="I34" s="1398"/>
      <c r="J34" s="1398"/>
      <c r="K34" s="1398"/>
      <c r="L34" s="1399"/>
      <c r="M34" s="1398"/>
      <c r="N34" s="1398"/>
      <c r="O34" s="1398"/>
      <c r="P34" s="1398"/>
      <c r="Q34" s="1398"/>
      <c r="S34" s="2098" t="s">
        <v>40</v>
      </c>
      <c r="T34" s="2098"/>
      <c r="U34" s="1402"/>
      <c r="V34" s="2100" t="str">
        <f>IF(TITLE_IST_PUB_CHANGE="",IF(TITLE_IST_PUB="","",TITLE_IST_PUB),TITLE_IST_PUB_CHANGE)</f>
        <v>Официальный сайт службы по тарифам Иркутской области http://irkobl.ru</v>
      </c>
      <c r="W34" s="2100"/>
      <c r="X34" s="2100"/>
      <c r="Y34" s="2100"/>
      <c r="Z34" s="2100"/>
      <c r="AA34" s="2100"/>
      <c r="AB34" s="2100"/>
      <c r="AC34" s="322"/>
      <c r="AD34" s="2100" t="str">
        <f>IF(TITLE_IST_PUB_CHANGE="",IF(TITLE_IST_PUB="","",TITLE_IST_PUB),TITLE_IST_PUB_CHANGE)</f>
        <v>Официальный сайт службы по тарифам Иркутской области http://irkobl.ru</v>
      </c>
      <c r="AE34" s="2100"/>
      <c r="AF34" s="2100"/>
      <c r="AG34" s="2100"/>
      <c r="AH34" s="2100"/>
      <c r="AI34" s="2100"/>
      <c r="AJ34" s="2100"/>
      <c r="AK34" s="2100"/>
      <c r="AL34" s="2100"/>
      <c r="AM34" s="2100"/>
      <c r="AN34" s="2100"/>
      <c r="AO34" s="2100"/>
      <c r="AP34" s="2100"/>
      <c r="AQ34" s="2100"/>
      <c r="AR34" s="2100"/>
      <c r="AS34" s="2100"/>
      <c r="AT34" s="2100"/>
      <c r="AU34" s="2100"/>
      <c r="AV34" s="2100"/>
      <c r="AW34" s="2100"/>
      <c r="AX34" s="2100"/>
      <c r="AY34" s="2100"/>
      <c r="AZ34" s="2100"/>
      <c r="BA34" s="322"/>
      <c r="BB34" s="322"/>
      <c r="BC34" s="268"/>
      <c r="BD34" s="368"/>
      <c r="BE34" s="368"/>
      <c r="BF34" s="368"/>
      <c r="BG34" s="368"/>
      <c r="BH34" s="368"/>
    </row>
    <row customHeight="1" ht="14.25" hidden="1">
      <c r="Q35" s="279"/>
      <c r="R35" s="377"/>
      <c r="S35" s="1305"/>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5"/>
    </row>
    <row s="3305" customFormat="1" customHeight="1" ht="18.75" hidden="1">
      <c r="A36" s="1398"/>
      <c r="B36" s="1398"/>
      <c r="C36" s="1398"/>
      <c r="D36" s="1398"/>
      <c r="E36" s="1398"/>
      <c r="F36" s="1398"/>
      <c r="G36" s="1398"/>
      <c r="H36" s="1398"/>
      <c r="I36" s="1398"/>
      <c r="J36" s="1398"/>
      <c r="K36" s="1398"/>
      <c r="L36" s="1399"/>
      <c r="M36" s="1398"/>
      <c r="N36" s="1398"/>
      <c r="O36" s="1398"/>
      <c r="P36" s="1398"/>
      <c r="Q36" s="1398"/>
      <c r="S36" s="2098" t="s">
        <v>415</v>
      </c>
      <c r="T36" s="2098"/>
      <c r="U36" s="1402"/>
      <c r="V36" s="2099" t="str">
        <f>IF(TITLE_DATE_PR_CHANGE="",IF(TITLE_DATE_PR="","",TITLE_DATE_PR),TITLE_DATE_PR_CHANGE)</f>
        <v>45280.56123842593</v>
      </c>
      <c r="W36" s="2099"/>
      <c r="X36" s="2099"/>
      <c r="Y36" s="2099"/>
      <c r="Z36" s="2099"/>
      <c r="AA36" s="2099"/>
      <c r="AB36" s="2099"/>
      <c r="AC36" s="322"/>
      <c r="AD36" s="2099" t="str">
        <f>IF(TITLE_DATE_PR_CHANGE="",IF(TITLE_DATE_PR="","",TITLE_DATE_PR),TITLE_DATE_PR_CHANGE)</f>
        <v>45280.56123842593</v>
      </c>
      <c r="AE36" s="2099"/>
      <c r="AF36" s="2099"/>
      <c r="AG36" s="2099"/>
      <c r="AH36" s="2099"/>
      <c r="AI36" s="2099"/>
      <c r="AJ36" s="2099"/>
      <c r="AK36" s="2099"/>
      <c r="AL36" s="2099"/>
      <c r="AM36" s="2099"/>
      <c r="AN36" s="2099"/>
      <c r="AO36" s="2099"/>
      <c r="AP36" s="2099"/>
      <c r="AQ36" s="2099"/>
      <c r="AR36" s="2099"/>
      <c r="AS36" s="2099"/>
      <c r="AT36" s="2099"/>
      <c r="AU36" s="2099"/>
      <c r="AV36" s="2099"/>
      <c r="AW36" s="2099"/>
      <c r="AX36" s="2099"/>
      <c r="AY36" s="2099"/>
      <c r="AZ36" s="2099"/>
      <c r="BA36" s="322"/>
      <c r="BB36" s="322"/>
      <c r="BC36" s="268"/>
      <c r="BD36" s="368"/>
      <c r="BE36" s="368"/>
      <c r="BF36" s="368"/>
      <c r="BG36" s="368"/>
      <c r="BH36" s="368"/>
    </row>
    <row s="3305" customFormat="1" customHeight="1" ht="18.75" hidden="1">
      <c r="A37" s="1398"/>
      <c r="B37" s="1398"/>
      <c r="C37" s="1398"/>
      <c r="D37" s="1398"/>
      <c r="E37" s="1398"/>
      <c r="F37" s="1398"/>
      <c r="G37" s="1398"/>
      <c r="H37" s="1398"/>
      <c r="I37" s="1398"/>
      <c r="J37" s="1398"/>
      <c r="K37" s="1398"/>
      <c r="L37" s="1399"/>
      <c r="M37" s="1398"/>
      <c r="N37" s="1398"/>
      <c r="O37" s="1398"/>
      <c r="P37" s="1398"/>
      <c r="Q37" s="1398"/>
      <c r="S37" s="2098" t="s">
        <v>416</v>
      </c>
      <c r="T37" s="2098"/>
      <c r="U37" s="1402"/>
      <c r="V37" s="2100" t="str">
        <f>IF(TITLE_NUMBER_PR_CHANGE="",IF(TITLE_NUMBER_PR="","",TITLE_NUMBER_PR),TITLE_NUMBER_PR_CHANGE)</f>
        <v>79-477-спр</v>
      </c>
      <c r="W37" s="2100"/>
      <c r="X37" s="2100"/>
      <c r="Y37" s="2100"/>
      <c r="Z37" s="2100"/>
      <c r="AA37" s="2100"/>
      <c r="AB37" s="2100"/>
      <c r="AC37" s="322"/>
      <c r="AD37" s="2100" t="str">
        <f>IF(TITLE_NUMBER_PR_CHANGE="",IF(TITLE_NUMBER_PR="","",TITLE_NUMBER_PR),TITLE_NUMBER_PR_CHANGE)</f>
        <v>79-477-спр</v>
      </c>
      <c r="AE37" s="2100"/>
      <c r="AF37" s="2100"/>
      <c r="AG37" s="2100"/>
      <c r="AH37" s="2100"/>
      <c r="AI37" s="2100"/>
      <c r="AJ37" s="2100"/>
      <c r="AK37" s="2100"/>
      <c r="AL37" s="2100"/>
      <c r="AM37" s="2100"/>
      <c r="AN37" s="2100"/>
      <c r="AO37" s="2100"/>
      <c r="AP37" s="2100"/>
      <c r="AQ37" s="2100"/>
      <c r="AR37" s="2100"/>
      <c r="AS37" s="2100"/>
      <c r="AT37" s="2100"/>
      <c r="AU37" s="2100"/>
      <c r="AV37" s="2100"/>
      <c r="AW37" s="2100"/>
      <c r="AX37" s="2100"/>
      <c r="AY37" s="2100"/>
      <c r="AZ37" s="2100"/>
      <c r="BA37" s="322"/>
      <c r="BB37" s="322"/>
      <c r="BC37" s="268"/>
      <c r="BD37" s="368"/>
      <c r="BE37" s="368"/>
      <c r="BF37" s="368"/>
      <c r="BG37" s="368"/>
      <c r="BH37" s="368"/>
    </row>
    <row s="3305" customFormat="1" customHeight="1" ht="0">
      <c r="A38" s="1398"/>
      <c r="B38" s="1398"/>
      <c r="C38" s="1398"/>
      <c r="D38" s="1398"/>
      <c r="E38" s="1398"/>
      <c r="F38" s="1398"/>
      <c r="G38" s="1398"/>
      <c r="H38" s="1398"/>
      <c r="I38" s="1398"/>
      <c r="J38" s="1398"/>
      <c r="K38" s="1398"/>
      <c r="L38" s="1399"/>
      <c r="M38" s="1398"/>
      <c r="N38" s="1398"/>
      <c r="O38" s="1398"/>
      <c r="P38" s="1398"/>
      <c r="Q38" s="1398"/>
      <c r="S38" s="318"/>
      <c r="T38" s="318"/>
      <c r="U38" s="1484"/>
      <c r="V38" s="322"/>
      <c r="W38" s="322"/>
      <c r="X38" s="322"/>
      <c r="Y38" s="322"/>
      <c r="Z38" s="322"/>
      <c r="AA38" s="322"/>
      <c r="AB38" s="322"/>
      <c r="AC38" s="266" t="s">
        <v>419</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419</v>
      </c>
      <c r="BD38" s="368"/>
      <c r="BE38" s="368"/>
      <c r="BF38" s="368"/>
      <c r="BG38" s="368"/>
      <c r="BH38" s="368"/>
    </row>
    <row customHeight="1" ht="14.25">
      <c r="Q39" s="279"/>
      <c r="R39" s="377"/>
      <c r="S39" s="1305"/>
      <c r="T39" s="361"/>
      <c r="U39" s="1262"/>
      <c r="V39" s="2124"/>
      <c r="W39" s="2124"/>
      <c r="X39" s="2124"/>
      <c r="Y39" s="2124"/>
      <c r="Z39" s="2124"/>
      <c r="AA39" s="2124"/>
      <c r="AB39" s="2124"/>
      <c r="AC39" s="2124"/>
      <c r="AD39" s="2124"/>
      <c r="AE39" s="2124"/>
      <c r="AF39" s="2124"/>
      <c r="AG39" s="2124"/>
      <c r="AH39" s="2124"/>
      <c r="AI39" s="2124"/>
      <c r="AJ39" s="2124"/>
      <c r="AK39" s="2124"/>
      <c r="AL39" s="2124"/>
      <c r="AM39" s="2124"/>
      <c r="AN39" s="2124"/>
      <c r="AO39" s="2124"/>
      <c r="AP39" s="2124"/>
      <c r="AQ39" s="2124"/>
      <c r="AR39" s="2124"/>
      <c r="AS39" s="2124"/>
      <c r="AT39" s="2124"/>
      <c r="AU39" s="2124"/>
      <c r="AV39" s="2124"/>
      <c r="AW39" s="2124"/>
      <c r="AX39" s="2124"/>
      <c r="AY39" s="2124"/>
      <c r="AZ39" s="2124"/>
      <c r="BA39" s="2124"/>
    </row>
    <row customHeight="1" ht="14.25">
      <c r="Q40" s="279"/>
      <c r="R40" s="377"/>
      <c r="S40" s="1971" t="s">
        <v>293</v>
      </c>
      <c r="T40" s="1971"/>
      <c r="U40" s="1971"/>
      <c r="V40" s="1971"/>
      <c r="W40" s="1971"/>
      <c r="X40" s="1971"/>
      <c r="Y40" s="1971"/>
      <c r="Z40" s="1971"/>
      <c r="AA40" s="1971"/>
      <c r="AB40" s="1971"/>
      <c r="AC40" s="1971"/>
      <c r="AD40" s="1971"/>
      <c r="AE40" s="1971"/>
      <c r="AF40" s="1971"/>
      <c r="AG40" s="1971"/>
      <c r="AH40" s="1971"/>
      <c r="AI40" s="1971"/>
      <c r="AJ40" s="1971"/>
      <c r="AK40" s="1971"/>
      <c r="AL40" s="1971"/>
      <c r="AM40" s="1971"/>
      <c r="AN40" s="1971"/>
      <c r="AO40" s="1971"/>
      <c r="AP40" s="1971"/>
      <c r="AQ40" s="1971"/>
      <c r="AR40" s="1971"/>
      <c r="AS40" s="1971"/>
      <c r="AT40" s="1971"/>
      <c r="AU40" s="1971"/>
      <c r="AV40" s="1971"/>
      <c r="AW40" s="1971"/>
      <c r="AX40" s="1971"/>
      <c r="AY40" s="1971"/>
      <c r="AZ40" s="1971"/>
      <c r="BA40" s="1971"/>
      <c r="BB40" s="1971"/>
      <c r="BC40" s="1971" t="s">
        <v>294</v>
      </c>
    </row>
    <row customHeight="1" ht="14.25">
      <c r="Q41" s="279"/>
      <c r="R41" s="377"/>
      <c r="S41" s="2125" t="s">
        <v>88</v>
      </c>
      <c r="T41" s="2062" t="s">
        <v>501</v>
      </c>
      <c r="U41" s="289"/>
      <c r="V41" s="2126" t="s">
        <v>421</v>
      </c>
      <c r="W41" s="2127"/>
      <c r="X41" s="2127"/>
      <c r="Y41" s="2127"/>
      <c r="Z41" s="2127"/>
      <c r="AA41" s="2127"/>
      <c r="AB41" s="2128"/>
      <c r="AC41" s="2129" t="s">
        <v>422</v>
      </c>
      <c r="AD41" s="2173" t="s">
        <v>502</v>
      </c>
      <c r="AE41" s="2146"/>
      <c r="AF41" s="2146"/>
      <c r="AG41" s="2174"/>
      <c r="AH41" s="2173" t="s">
        <v>503</v>
      </c>
      <c r="AI41" s="2146"/>
      <c r="AJ41" s="2146"/>
      <c r="AK41" s="2174"/>
      <c r="AL41" s="2173" t="s">
        <v>504</v>
      </c>
      <c r="AM41" s="2146"/>
      <c r="AN41" s="2146"/>
      <c r="AO41" s="2174"/>
      <c r="AP41" s="2173" t="s">
        <v>505</v>
      </c>
      <c r="AQ41" s="2146"/>
      <c r="AR41" s="2146"/>
      <c r="AS41" s="2174"/>
      <c r="AT41" s="2126" t="s">
        <v>421</v>
      </c>
      <c r="AU41" s="2127"/>
      <c r="AV41" s="2127"/>
      <c r="AW41" s="2127"/>
      <c r="AX41" s="2127"/>
      <c r="AY41" s="2127"/>
      <c r="AZ41" s="2128"/>
      <c r="BA41" s="2129" t="s">
        <v>422</v>
      </c>
      <c r="BB41" s="2132" t="s">
        <v>424</v>
      </c>
      <c r="BC41" s="1971"/>
    </row>
    <row customHeight="1" ht="33.75">
      <c r="Q42" s="279"/>
      <c r="R42" s="377"/>
      <c r="S42" s="2125"/>
      <c r="T42" s="2062"/>
      <c r="U42" s="1038"/>
      <c r="V42" s="2029" t="s">
        <v>506</v>
      </c>
      <c r="W42" s="2030"/>
      <c r="X42" s="2029" t="s">
        <v>507</v>
      </c>
      <c r="Y42" s="2030"/>
      <c r="Z42" s="2144" t="s">
        <v>508</v>
      </c>
      <c r="AA42" s="2162"/>
      <c r="AB42" s="2163"/>
      <c r="AC42" s="2130"/>
      <c r="AD42" s="2175"/>
      <c r="AE42" s="2176"/>
      <c r="AF42" s="2176"/>
      <c r="AG42" s="2188"/>
      <c r="AH42" s="2175"/>
      <c r="AI42" s="2176"/>
      <c r="AJ42" s="2176"/>
      <c r="AK42" s="2188"/>
      <c r="AL42" s="2175"/>
      <c r="AM42" s="2176"/>
      <c r="AN42" s="2176"/>
      <c r="AO42" s="2188"/>
      <c r="AP42" s="2175"/>
      <c r="AQ42" s="2176"/>
      <c r="AR42" s="2176"/>
      <c r="AS42" s="2188"/>
      <c r="AT42" s="2029" t="s">
        <v>506</v>
      </c>
      <c r="AU42" s="2030"/>
      <c r="AV42" s="2029" t="s">
        <v>507</v>
      </c>
      <c r="AW42" s="2030"/>
      <c r="AX42" s="2144" t="s">
        <v>508</v>
      </c>
      <c r="AY42" s="2162"/>
      <c r="AZ42" s="2163"/>
      <c r="BA42" s="2130"/>
      <c r="BB42" s="2133"/>
      <c r="BC42" s="1971"/>
    </row>
    <row customHeight="1" ht="14.25">
      <c r="Q43" s="279"/>
      <c r="R43" s="377"/>
      <c r="S43" s="2125"/>
      <c r="T43" s="2062"/>
      <c r="U43" s="1038"/>
      <c r="V43" s="2037"/>
      <c r="W43" s="2038"/>
      <c r="X43" s="2037"/>
      <c r="Y43" s="2038"/>
      <c r="Z43" s="2145"/>
      <c r="AA43" s="2164"/>
      <c r="AB43" s="2165"/>
      <c r="AC43" s="2130"/>
      <c r="AD43" s="2175"/>
      <c r="AE43" s="2176"/>
      <c r="AF43" s="2176"/>
      <c r="AG43" s="2188"/>
      <c r="AH43" s="2175"/>
      <c r="AI43" s="2176"/>
      <c r="AJ43" s="2176"/>
      <c r="AK43" s="2188"/>
      <c r="AL43" s="2175"/>
      <c r="AM43" s="2176"/>
      <c r="AN43" s="2176"/>
      <c r="AO43" s="2188"/>
      <c r="AP43" s="2175"/>
      <c r="AQ43" s="2176"/>
      <c r="AR43" s="2176"/>
      <c r="AS43" s="2188"/>
      <c r="AT43" s="2037"/>
      <c r="AU43" s="2038"/>
      <c r="AV43" s="2037"/>
      <c r="AW43" s="2038"/>
      <c r="AX43" s="2145"/>
      <c r="AY43" s="2164"/>
      <c r="AZ43" s="2165"/>
      <c r="BA43" s="2130"/>
      <c r="BB43" s="2133"/>
      <c r="BC43" s="1971"/>
    </row>
    <row customHeight="1" ht="14.25">
      <c r="A44" s="1400"/>
      <c r="B44" s="1400" t="s">
        <v>136</v>
      </c>
      <c r="C44" s="1400" t="s">
        <v>137</v>
      </c>
      <c r="D44" s="1400" t="s">
        <v>138</v>
      </c>
      <c r="E44" s="1394" t="s">
        <v>429</v>
      </c>
      <c r="F44" s="1394" t="s">
        <v>430</v>
      </c>
      <c r="G44" s="1394" t="s">
        <v>431</v>
      </c>
      <c r="H44" s="1394" t="s">
        <v>432</v>
      </c>
      <c r="I44" s="1394" t="s">
        <v>433</v>
      </c>
      <c r="J44" s="1394" t="s">
        <v>434</v>
      </c>
      <c r="K44" s="1394" t="s">
        <v>435</v>
      </c>
      <c r="L44" s="1394" t="s">
        <v>410</v>
      </c>
      <c r="Q44" s="279"/>
      <c r="R44" s="377"/>
      <c r="S44" s="2125"/>
      <c r="T44" s="2062"/>
      <c r="U44" s="290"/>
      <c r="V44" s="1478" t="s">
        <v>474</v>
      </c>
      <c r="W44" s="1478" t="s">
        <v>475</v>
      </c>
      <c r="X44" s="1478" t="s">
        <v>474</v>
      </c>
      <c r="Y44" s="1478" t="s">
        <v>475</v>
      </c>
      <c r="Z44" s="1485" t="s">
        <v>438</v>
      </c>
      <c r="AA44" s="2121" t="s">
        <v>439</v>
      </c>
      <c r="AB44" s="2122"/>
      <c r="AC44" s="2131"/>
      <c r="AD44" s="2177"/>
      <c r="AE44" s="2178"/>
      <c r="AF44" s="2178"/>
      <c r="AG44" s="2179"/>
      <c r="AH44" s="2177"/>
      <c r="AI44" s="2178"/>
      <c r="AJ44" s="2178"/>
      <c r="AK44" s="2179"/>
      <c r="AL44" s="2177"/>
      <c r="AM44" s="2178"/>
      <c r="AN44" s="2178"/>
      <c r="AO44" s="2179"/>
      <c r="AP44" s="2177"/>
      <c r="AQ44" s="2178"/>
      <c r="AR44" s="2178"/>
      <c r="AS44" s="2179"/>
      <c r="AT44" s="1478" t="s">
        <v>474</v>
      </c>
      <c r="AU44" s="1478" t="s">
        <v>475</v>
      </c>
      <c r="AV44" s="1478" t="s">
        <v>474</v>
      </c>
      <c r="AW44" s="1478" t="s">
        <v>475</v>
      </c>
      <c r="AX44" s="1485" t="s">
        <v>438</v>
      </c>
      <c r="AY44" s="2121" t="s">
        <v>439</v>
      </c>
      <c r="AZ44" s="2122"/>
      <c r="BA44" s="2131"/>
      <c r="BB44" s="2134"/>
      <c r="BC44" s="1971"/>
    </row>
    <row s="2610" customFormat="1" customHeight="1" ht="11.25" hidden="1">
      <c r="A45" s="1400"/>
      <c r="B45" s="1400"/>
      <c r="C45" s="1400"/>
      <c r="D45" s="1400"/>
      <c r="E45" s="1400"/>
      <c r="F45" s="1400"/>
      <c r="G45" s="1400"/>
      <c r="H45" s="1400"/>
      <c r="I45" s="1400"/>
      <c r="J45" s="1400"/>
      <c r="K45" s="1400"/>
      <c r="L45" s="1394"/>
      <c r="M45" s="1392"/>
      <c r="N45" s="1392"/>
      <c r="O45" s="1392"/>
      <c r="P45" s="516"/>
      <c r="Q45" s="1280"/>
      <c r="R45" s="1280">
        <v>1</v>
      </c>
      <c r="S45" s="1307" t="s">
        <v>110</v>
      </c>
      <c r="T45" s="1281" t="s">
        <v>111</v>
      </c>
      <c r="U45" s="1263" t="str">
        <f>OFFSET(U45,0,-1)</f>
        <v>2</v>
      </c>
      <c r="V45" s="1481">
        <f>OFFSET(V45,0,-1)+1</f>
        <v>3</v>
      </c>
      <c r="W45" s="1481">
        <f>OFFSET(W45,0,-1)+1</f>
        <v>4</v>
      </c>
      <c r="X45" s="1481">
        <f>OFFSET(X45,0,-1)+1</f>
        <v>5</v>
      </c>
      <c r="Y45" s="1481">
        <f>OFFSET(Y45,0,-1)+1</f>
        <v>6</v>
      </c>
      <c r="Z45" s="1481">
        <f>OFFSET(Z45,0,-1)+1</f>
        <v>7</v>
      </c>
      <c r="AA45" s="2123">
        <f>OFFSET(AA45,0,-1)+1</f>
        <v>8</v>
      </c>
      <c r="AB45" s="2123"/>
      <c r="AC45" s="1481">
        <f>OFFSET(AC45,0,-2)+1</f>
        <v>9</v>
      </c>
      <c r="AD45" s="1481">
        <f>OFFSET(AD45,0,-1)+1</f>
        <v>10</v>
      </c>
      <c r="AE45" s="1481"/>
      <c r="AF45" s="1481"/>
      <c r="AG45" s="1481"/>
      <c r="AH45" s="1481"/>
      <c r="AI45" s="1481"/>
      <c r="AJ45" s="1481"/>
      <c r="AK45" s="1481"/>
      <c r="AL45" s="1481"/>
      <c r="AM45" s="1481"/>
      <c r="AN45" s="1481"/>
      <c r="AO45" s="1481"/>
      <c r="AP45" s="1481"/>
      <c r="AQ45" s="1481"/>
      <c r="AR45" s="1481"/>
      <c r="AS45" s="1481"/>
      <c r="AT45" s="1481"/>
      <c r="AU45" s="1481"/>
      <c r="AV45" s="1481"/>
      <c r="AW45" s="1481">
        <f>OFFSET(AW45,0,-1)+1</f>
        <v>1</v>
      </c>
      <c r="AX45" s="1481">
        <f>OFFSET(AX45,0,-1)+1</f>
        <v>2</v>
      </c>
      <c r="AY45" s="2123">
        <f>OFFSET(AY45,0,-1)+1</f>
        <v>3</v>
      </c>
      <c r="AZ45" s="2123"/>
      <c r="BA45" s="1481">
        <f>OFFSET(BA45,0,-2)+1</f>
        <v>4</v>
      </c>
      <c r="BB45" s="1263">
        <f>OFFSET(BB45,0,-1)</f>
        <v>4</v>
      </c>
      <c r="BC45" s="1481">
        <f>OFFSET(BC45,0,-1)+1</f>
        <v>5</v>
      </c>
      <c r="BD45" s="517"/>
      <c r="BE45" s="517"/>
      <c r="BF45" s="517"/>
      <c r="BG45" s="517"/>
      <c r="BH45" s="517"/>
    </row>
    <row customHeight="1" ht="21">
      <c r="A46" s="1393" t="s">
        <v>239</v>
      </c>
      <c r="B46" s="1393"/>
      <c r="C46" s="1393"/>
      <c r="D46" s="1393"/>
      <c r="E46" s="2107">
        <v>1</v>
      </c>
      <c r="F46" s="1393"/>
      <c r="G46" s="1393"/>
      <c r="H46" s="1393"/>
      <c r="I46" s="1393"/>
      <c r="J46" s="1393"/>
      <c r="K46" s="1393"/>
      <c r="L46" s="1394"/>
      <c r="M46" s="1395"/>
      <c r="N46" s="1395"/>
      <c r="O46" s="1395"/>
      <c r="P46" s="1439"/>
      <c r="Q46" s="879"/>
      <c r="R46" s="351"/>
      <c r="S46" s="1487">
        <f>INDEX(PT_DIFFERENTIATION_NUM_NTAR,MATCH(A46,PT_DIFFERENTIATION_NTAR_ID,0))</f>
        <v>0</v>
      </c>
      <c r="T46" s="286" t="s">
        <v>124</v>
      </c>
      <c r="U46" s="288"/>
      <c r="V46" s="2102"/>
      <c r="W46" s="2102"/>
      <c r="X46" s="2102"/>
      <c r="Y46" s="2102"/>
      <c r="Z46" s="2102"/>
      <c r="AA46" s="2102"/>
      <c r="AB46" s="2102"/>
      <c r="AC46" s="2103"/>
      <c r="AD46" s="2101" t="str">
        <f>INDEX(PT_DIFFERENTIATION_NTAR,MATCH(A46,PT_DIFFERENTIATION_NTAR_ID,0))</f>
        <v/>
      </c>
      <c r="AE46" s="2102"/>
      <c r="AF46" s="2102"/>
      <c r="AG46" s="2102"/>
      <c r="AH46" s="2102"/>
      <c r="AI46" s="2102"/>
      <c r="AJ46" s="2102"/>
      <c r="AK46" s="2102"/>
      <c r="AL46" s="2102"/>
      <c r="AM46" s="2102"/>
      <c r="AN46" s="2102"/>
      <c r="AO46" s="2102"/>
      <c r="AP46" s="2102"/>
      <c r="AQ46" s="2102"/>
      <c r="AR46" s="2102"/>
      <c r="AS46" s="2102"/>
      <c r="AT46" s="2102"/>
      <c r="AU46" s="2102"/>
      <c r="AV46" s="2102"/>
      <c r="AW46" s="2102"/>
      <c r="AX46" s="2102"/>
      <c r="AY46" s="2102"/>
      <c r="AZ46" s="2102"/>
      <c r="BA46" s="2102"/>
      <c r="BB46" s="2103"/>
      <c r="BC46"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6"/>
      <c r="BF46" s="506" t="str">
        <f>IF(T46="","",T46)</f>
        <v>Наименование тарифа</v>
      </c>
      <c r="BG46" s="506"/>
      <c r="BH46" s="506"/>
    </row>
    <row customHeight="1" ht="21">
      <c r="A47" s="1393" t="s">
        <v>239</v>
      </c>
      <c r="B47" s="1393" t="s">
        <v>240</v>
      </c>
      <c r="C47" s="1393"/>
      <c r="D47" s="1393"/>
      <c r="E47" s="2108"/>
      <c r="F47" s="2107">
        <v>1</v>
      </c>
      <c r="G47" s="1393"/>
      <c r="H47" s="1393"/>
      <c r="I47" s="1393"/>
      <c r="J47" s="1393"/>
      <c r="K47" s="1393"/>
      <c r="L47" s="1394"/>
      <c r="M47" s="1395"/>
      <c r="N47" s="1395"/>
      <c r="O47" s="1395"/>
      <c r="P47" s="1440"/>
      <c r="Q47" s="1441"/>
      <c r="R47" s="349"/>
      <c r="S47" s="1487" t="str">
        <f>INDEX(PT_DIFFERENTIATION_NUM_TER,MATCH(B47,PT_DIFFERENTIATION_TER_ID,0))</f>
        <v>.</v>
      </c>
      <c r="T47" s="298" t="s">
        <v>392</v>
      </c>
      <c r="U47" s="288"/>
      <c r="V47" s="2102"/>
      <c r="W47" s="2102"/>
      <c r="X47" s="2102"/>
      <c r="Y47" s="2102"/>
      <c r="Z47" s="2102"/>
      <c r="AA47" s="2102"/>
      <c r="AB47" s="2102"/>
      <c r="AC47" s="2103"/>
      <c r="AD47" s="2101" t="str">
        <f>INDEX(PT_DIFFERENTIATION_TER,MATCH(B47,PT_DIFFERENTIATION_TER_ID,0))</f>
        <v/>
      </c>
      <c r="AE47" s="2102"/>
      <c r="AF47" s="2102"/>
      <c r="AG47" s="2102"/>
      <c r="AH47" s="2102"/>
      <c r="AI47" s="2102"/>
      <c r="AJ47" s="2102"/>
      <c r="AK47" s="2102"/>
      <c r="AL47" s="2102"/>
      <c r="AM47" s="2102"/>
      <c r="AN47" s="2102"/>
      <c r="AO47" s="2102"/>
      <c r="AP47" s="2102"/>
      <c r="AQ47" s="2102"/>
      <c r="AR47" s="2102"/>
      <c r="AS47" s="2102"/>
      <c r="AT47" s="2102"/>
      <c r="AU47" s="2102"/>
      <c r="AV47" s="2102"/>
      <c r="AW47" s="2102"/>
      <c r="AX47" s="2102"/>
      <c r="AY47" s="2102"/>
      <c r="AZ47" s="2102"/>
      <c r="BA47" s="2102"/>
      <c r="BB47" s="2103"/>
      <c r="BC47" s="1286" t="s">
        <v>393</v>
      </c>
      <c r="BE47" s="506"/>
      <c r="BF47" s="506" t="str">
        <f>IF(T47="","",T47)</f>
        <v>Территория действия тарифа</v>
      </c>
      <c r="BG47" s="506"/>
      <c r="BH47" s="506"/>
    </row>
    <row customHeight="1" ht="42">
      <c r="A48" s="1393" t="s">
        <v>239</v>
      </c>
      <c r="B48" s="1393" t="s">
        <v>240</v>
      </c>
      <c r="C48" s="1393" t="s">
        <v>241</v>
      </c>
      <c r="D48" s="1393"/>
      <c r="E48" s="2108"/>
      <c r="F48" s="2108"/>
      <c r="G48" s="2107">
        <v>1</v>
      </c>
      <c r="H48" s="1393"/>
      <c r="I48" s="1393"/>
      <c r="J48" s="1393"/>
      <c r="K48" s="1393"/>
      <c r="L48" s="1394"/>
      <c r="M48" s="1395"/>
      <c r="N48" s="1395"/>
      <c r="O48" s="1395"/>
      <c r="P48" s="1442"/>
      <c r="Q48" s="1441"/>
      <c r="R48" s="349"/>
      <c r="S48" s="1487" t="str">
        <f>INDEX(PT_DIFFERENTIATION_NUM_CS,MATCH(C48,PT_DIFFERENTIATION_CS_ID,0))</f>
        <v>..</v>
      </c>
      <c r="T48" s="299" t="s">
        <v>477</v>
      </c>
      <c r="U48" s="288"/>
      <c r="V48" s="2102"/>
      <c r="W48" s="2102"/>
      <c r="X48" s="2102"/>
      <c r="Y48" s="2102"/>
      <c r="Z48" s="2102"/>
      <c r="AA48" s="2102"/>
      <c r="AB48" s="2102"/>
      <c r="AC48" s="2103"/>
      <c r="AD48" s="2101" t="str">
        <f>INDEX(PT_DIFFERENTIATION_CS,MATCH(C48,PT_DIFFERENTIATION_CS_ID,0))</f>
        <v/>
      </c>
      <c r="AE48" s="2102"/>
      <c r="AF48" s="2102"/>
      <c r="AG48" s="2102"/>
      <c r="AH48" s="2102"/>
      <c r="AI48" s="2102"/>
      <c r="AJ48" s="2102"/>
      <c r="AK48" s="2102"/>
      <c r="AL48" s="2102"/>
      <c r="AM48" s="2102"/>
      <c r="AN48" s="2102"/>
      <c r="AO48" s="2102"/>
      <c r="AP48" s="2102"/>
      <c r="AQ48" s="2102"/>
      <c r="AR48" s="2102"/>
      <c r="AS48" s="2102"/>
      <c r="AT48" s="2102"/>
      <c r="AU48" s="2102"/>
      <c r="AV48" s="2102"/>
      <c r="AW48" s="2102"/>
      <c r="AX48" s="2102"/>
      <c r="AY48" s="2102"/>
      <c r="AZ48" s="2102"/>
      <c r="BA48" s="2102"/>
      <c r="BB48" s="2103"/>
      <c r="BC48" s="1286" t="s">
        <v>478</v>
      </c>
      <c r="BE48" s="506"/>
      <c r="BF48" s="506" t="str">
        <f>IF(T48="","",T48)</f>
        <v>Наименование централизованной системы холодного водоснабжения</v>
      </c>
      <c r="BG48" s="506"/>
      <c r="BH48" s="506"/>
    </row>
    <row s="2611" customFormat="1" customHeight="1" ht="0">
      <c r="A49" s="1373" t="s">
        <v>239</v>
      </c>
      <c r="B49" s="1373" t="s">
        <v>240</v>
      </c>
      <c r="C49" s="1373" t="s">
        <v>241</v>
      </c>
      <c r="D49" s="1373" t="s">
        <v>509</v>
      </c>
      <c r="E49" s="2108"/>
      <c r="F49" s="2108"/>
      <c r="G49" s="2108"/>
      <c r="H49" s="2107">
        <v>1</v>
      </c>
      <c r="I49" s="1373"/>
      <c r="J49" s="1373"/>
      <c r="K49" s="1373"/>
      <c r="L49" s="1376"/>
      <c r="M49" s="1345"/>
      <c r="N49" s="1345"/>
      <c r="O49" s="1345"/>
      <c r="P49" s="1527"/>
      <c r="Q49" s="1528"/>
      <c r="R49" s="353"/>
      <c r="S49" s="1049"/>
      <c r="T49" s="1529"/>
      <c r="U49" s="1414"/>
      <c r="V49" s="2148"/>
      <c r="W49" s="2148"/>
      <c r="X49" s="2148"/>
      <c r="Y49" s="2148"/>
      <c r="Z49" s="2148"/>
      <c r="AA49" s="2148"/>
      <c r="AB49" s="2148"/>
      <c r="AC49" s="2149"/>
      <c r="AD49" s="2147"/>
      <c r="AE49" s="2148"/>
      <c r="AF49" s="2148"/>
      <c r="AG49" s="2148"/>
      <c r="AH49" s="2148"/>
      <c r="AI49" s="2148"/>
      <c r="AJ49" s="2148"/>
      <c r="AK49" s="2148"/>
      <c r="AL49" s="2148"/>
      <c r="AM49" s="2148"/>
      <c r="AN49" s="2148"/>
      <c r="AO49" s="2148"/>
      <c r="AP49" s="2148"/>
      <c r="AQ49" s="2148"/>
      <c r="AR49" s="2148"/>
      <c r="AS49" s="2148"/>
      <c r="AT49" s="2148"/>
      <c r="AU49" s="2148"/>
      <c r="AV49" s="2148"/>
      <c r="AW49" s="2148"/>
      <c r="AX49" s="2148"/>
      <c r="AY49" s="2148"/>
      <c r="AZ49" s="2148"/>
      <c r="BA49" s="2148"/>
      <c r="BB49" s="2149"/>
      <c r="BC49" s="1415" t="s">
        <v>397</v>
      </c>
      <c r="BE49" s="506"/>
      <c r="BF49" s="506" t="str">
        <f>IF(T49="","",T49)</f>
        <v/>
      </c>
      <c r="BG49" s="506"/>
      <c r="BH49" s="506"/>
    </row>
    <row s="2611" customFormat="1" customHeight="1" ht="0">
      <c r="A50" s="1373" t="s">
        <v>239</v>
      </c>
      <c r="B50" s="1373" t="s">
        <v>240</v>
      </c>
      <c r="C50" s="1373" t="s">
        <v>241</v>
      </c>
      <c r="D50" s="1373" t="s">
        <v>509</v>
      </c>
      <c r="E50" s="2108"/>
      <c r="F50" s="2108"/>
      <c r="G50" s="2108"/>
      <c r="H50" s="2108"/>
      <c r="I50" s="2109" t="str">
        <f>S49&amp;".1"</f>
        <v>.1</v>
      </c>
      <c r="J50" s="1373"/>
      <c r="K50" s="1373"/>
      <c r="L50" s="1376" t="s">
        <v>398</v>
      </c>
      <c r="M50" s="516"/>
      <c r="N50" s="516"/>
      <c r="O50" s="516"/>
      <c r="P50" s="2111">
        <v>1</v>
      </c>
      <c r="Q50" s="1492"/>
      <c r="R50" s="352"/>
      <c r="S50" s="1049"/>
      <c r="T50" s="1413"/>
      <c r="U50" s="1414"/>
      <c r="V50" s="2148"/>
      <c r="W50" s="2148"/>
      <c r="X50" s="2148"/>
      <c r="Y50" s="2148"/>
      <c r="Z50" s="2148"/>
      <c r="AA50" s="2148"/>
      <c r="AB50" s="2148"/>
      <c r="AC50" s="2149"/>
      <c r="AD50" s="2147"/>
      <c r="AE50" s="2148"/>
      <c r="AF50" s="2148"/>
      <c r="AG50" s="2148"/>
      <c r="AH50" s="2148"/>
      <c r="AI50" s="2148"/>
      <c r="AJ50" s="2148"/>
      <c r="AK50" s="2148"/>
      <c r="AL50" s="2148"/>
      <c r="AM50" s="2148"/>
      <c r="AN50" s="2148"/>
      <c r="AO50" s="2148"/>
      <c r="AP50" s="2148"/>
      <c r="AQ50" s="2148"/>
      <c r="AR50" s="2148"/>
      <c r="AS50" s="2148"/>
      <c r="AT50" s="2148"/>
      <c r="AU50" s="2148"/>
      <c r="AV50" s="2148"/>
      <c r="AW50" s="2148"/>
      <c r="AX50" s="2148"/>
      <c r="AY50" s="2148"/>
      <c r="AZ50" s="2148"/>
      <c r="BA50" s="2148"/>
      <c r="BB50" s="2149"/>
      <c r="BC50" s="1415"/>
      <c r="BE50" s="506"/>
      <c r="BF50" s="506" t="str">
        <f>IF(T50="","",T50)</f>
        <v/>
      </c>
      <c r="BG50" s="506"/>
      <c r="BH50" s="506"/>
    </row>
    <row s="2611" customFormat="1" customHeight="1" ht="0">
      <c r="A51" s="1373" t="s">
        <v>239</v>
      </c>
      <c r="B51" s="1373" t="s">
        <v>240</v>
      </c>
      <c r="C51" s="1373" t="s">
        <v>241</v>
      </c>
      <c r="D51" s="1373" t="s">
        <v>509</v>
      </c>
      <c r="E51" s="2108"/>
      <c r="F51" s="2108"/>
      <c r="G51" s="2108"/>
      <c r="H51" s="2108"/>
      <c r="I51" s="2110"/>
      <c r="J51" s="2109" t="str">
        <f>S49&amp;".1"</f>
        <v>.1</v>
      </c>
      <c r="K51" s="1373"/>
      <c r="L51" s="1376"/>
      <c r="M51" s="516"/>
      <c r="N51" s="516"/>
      <c r="O51" s="516"/>
      <c r="P51" s="2111"/>
      <c r="Q51" s="2111">
        <v>1</v>
      </c>
      <c r="R51" s="353"/>
      <c r="S51" s="1049"/>
      <c r="T51" s="1429"/>
      <c r="U51" s="1414"/>
      <c r="V51" s="2148"/>
      <c r="W51" s="2148"/>
      <c r="X51" s="2148"/>
      <c r="Y51" s="2148"/>
      <c r="Z51" s="2148"/>
      <c r="AA51" s="2148"/>
      <c r="AB51" s="2148"/>
      <c r="AC51" s="2149"/>
      <c r="AD51" s="2147"/>
      <c r="AE51" s="2148"/>
      <c r="AF51" s="2148"/>
      <c r="AG51" s="2148"/>
      <c r="AH51" s="2148"/>
      <c r="AI51" s="2148"/>
      <c r="AJ51" s="2148"/>
      <c r="AK51" s="2148"/>
      <c r="AL51" s="2148"/>
      <c r="AM51" s="2148"/>
      <c r="AN51" s="2209"/>
      <c r="AO51" s="2209"/>
      <c r="AP51" s="2148"/>
      <c r="AQ51" s="2148"/>
      <c r="AR51" s="2148"/>
      <c r="AS51" s="2148"/>
      <c r="AT51" s="2148"/>
      <c r="AU51" s="2148"/>
      <c r="AV51" s="2148"/>
      <c r="AW51" s="2148"/>
      <c r="AX51" s="2148"/>
      <c r="AY51" s="2148"/>
      <c r="AZ51" s="2148"/>
      <c r="BA51" s="2148"/>
      <c r="BB51" s="2149"/>
      <c r="BC51" s="1415"/>
      <c r="BE51" s="506"/>
      <c r="BF51" s="506" t="str">
        <f>IF(T51="","",T51)</f>
        <v/>
      </c>
      <c r="BG51" s="506"/>
      <c r="BH51" s="506"/>
    </row>
    <row customHeight="1" ht="11.25">
      <c r="A52" s="1393" t="s">
        <v>239</v>
      </c>
      <c r="B52" s="1393" t="s">
        <v>240</v>
      </c>
      <c r="C52" s="1393" t="s">
        <v>241</v>
      </c>
      <c r="D52" s="1393" t="s">
        <v>509</v>
      </c>
      <c r="E52" s="2108"/>
      <c r="F52" s="2108"/>
      <c r="G52" s="2108"/>
      <c r="H52" s="2108"/>
      <c r="I52" s="2110"/>
      <c r="J52" s="2110"/>
      <c r="K52" s="2109" t="str">
        <f>S48&amp;".1"</f>
        <v>...1</v>
      </c>
      <c r="L52" s="1394"/>
      <c r="P52" s="2111"/>
      <c r="Q52" s="2111"/>
      <c r="R52" s="353">
        <v>1</v>
      </c>
      <c r="S52" s="2184" t="str">
        <f>$K52</f>
        <v>...1</v>
      </c>
      <c r="T52" s="2203"/>
      <c r="U52" s="288"/>
      <c r="V52" s="757"/>
      <c r="W52" s="1285"/>
      <c r="X52" s="757"/>
      <c r="Y52" s="1285"/>
      <c r="Z52" s="1774"/>
      <c r="AA52" s="1489" t="s">
        <v>62</v>
      </c>
      <c r="AB52" s="1774"/>
      <c r="AC52" s="1489" t="s">
        <v>62</v>
      </c>
      <c r="AD52" s="2044" t="s">
        <v>62</v>
      </c>
      <c r="AE52" s="2180"/>
      <c r="AF52" s="2057">
        <v>1</v>
      </c>
      <c r="AG52" s="2202"/>
      <c r="AH52" s="1981" t="s">
        <v>62</v>
      </c>
      <c r="AI52" s="2180"/>
      <c r="AJ52" s="2057">
        <v>1</v>
      </c>
      <c r="AK52" s="2201" t="s">
        <v>24</v>
      </c>
      <c r="AL52" s="1981" t="s">
        <v>62</v>
      </c>
      <c r="AM52" s="2029"/>
      <c r="AN52" s="2057">
        <v>1</v>
      </c>
      <c r="AO52" s="2206"/>
      <c r="AP52" s="2207" t="s">
        <v>62</v>
      </c>
      <c r="AQ52" s="301"/>
      <c r="AR52" s="1493">
        <v>1</v>
      </c>
      <c r="AS52" s="1496" t="s">
        <v>24</v>
      </c>
      <c r="AT52" s="757"/>
      <c r="AU52" s="1285"/>
      <c r="AV52" s="757"/>
      <c r="AW52" s="1285"/>
      <c r="AX52" s="1774"/>
      <c r="AY52" s="1489" t="s">
        <v>62</v>
      </c>
      <c r="AZ52" s="1774"/>
      <c r="BA52" s="1489" t="s">
        <v>62</v>
      </c>
      <c r="BB52" s="1378"/>
      <c r="BC52" s="2137" t="s">
        <v>495</v>
      </c>
      <c r="BE52" s="506"/>
      <c r="BF52" s="506" t="str">
        <f>IF(T52="","",T52)</f>
        <v/>
      </c>
      <c r="BG52" s="506"/>
      <c r="BH52" s="506"/>
    </row>
    <row customHeight="1" ht="11.25">
      <c r="A53" s="1393"/>
      <c r="B53" s="1393"/>
      <c r="C53" s="1393"/>
      <c r="D53" s="1393"/>
      <c r="E53" s="2108"/>
      <c r="F53" s="2108"/>
      <c r="G53" s="2108"/>
      <c r="H53" s="2108"/>
      <c r="I53" s="2110"/>
      <c r="J53" s="2110"/>
      <c r="K53" s="2109"/>
      <c r="L53" s="1394"/>
      <c r="P53" s="2111"/>
      <c r="Q53" s="2111"/>
      <c r="R53" s="353"/>
      <c r="S53" s="2185"/>
      <c r="T53" s="2204"/>
      <c r="U53" s="288"/>
      <c r="V53" s="1423"/>
      <c r="W53" s="1526"/>
      <c r="X53" s="1423"/>
      <c r="Y53" s="1526"/>
      <c r="Z53" s="1423"/>
      <c r="AA53" s="1423"/>
      <c r="AB53" s="1423"/>
      <c r="AC53" s="1423"/>
      <c r="AD53" s="2045"/>
      <c r="AE53" s="2180"/>
      <c r="AF53" s="2057"/>
      <c r="AG53" s="2202"/>
      <c r="AH53" s="1981"/>
      <c r="AI53" s="2180"/>
      <c r="AJ53" s="2057"/>
      <c r="AK53" s="2201"/>
      <c r="AL53" s="1981"/>
      <c r="AM53" s="2037"/>
      <c r="AN53" s="2057"/>
      <c r="AO53" s="2206"/>
      <c r="AP53" s="2208"/>
      <c r="AQ53" s="308"/>
      <c r="AR53" s="422"/>
      <c r="AS53" s="422" t="s">
        <v>496</v>
      </c>
      <c r="AT53" s="1423"/>
      <c r="AU53" s="1526"/>
      <c r="AV53" s="1423"/>
      <c r="AW53" s="1526"/>
      <c r="AX53" s="1423"/>
      <c r="AY53" s="1423"/>
      <c r="AZ53" s="1423"/>
      <c r="BA53" s="1423"/>
      <c r="BB53" s="1427"/>
      <c r="BC53" s="2138"/>
      <c r="BE53" s="506"/>
      <c r="BF53" s="506"/>
      <c r="BG53" s="506"/>
      <c r="BH53" s="506"/>
    </row>
    <row customHeight="1" ht="11.25">
      <c r="A54" s="1393" t="s">
        <v>239</v>
      </c>
      <c r="B54" s="1393"/>
      <c r="C54" s="1393"/>
      <c r="D54" s="1393"/>
      <c r="E54" s="2108"/>
      <c r="F54" s="2108"/>
      <c r="G54" s="2108"/>
      <c r="H54" s="2108"/>
      <c r="I54" s="2110"/>
      <c r="J54" s="2110"/>
      <c r="K54" s="2109"/>
      <c r="L54" s="1394"/>
      <c r="P54" s="2111"/>
      <c r="Q54" s="2111"/>
      <c r="R54" s="353"/>
      <c r="S54" s="2185"/>
      <c r="T54" s="2204"/>
      <c r="U54" s="288"/>
      <c r="V54" s="1423"/>
      <c r="W54" s="1526"/>
      <c r="X54" s="1423"/>
      <c r="Y54" s="1526"/>
      <c r="Z54" s="1423"/>
      <c r="AA54" s="1423"/>
      <c r="AB54" s="1423"/>
      <c r="AC54" s="1423"/>
      <c r="AD54" s="2045"/>
      <c r="AE54" s="2180"/>
      <c r="AF54" s="2057"/>
      <c r="AG54" s="2202"/>
      <c r="AH54" s="1981"/>
      <c r="AI54" s="2180"/>
      <c r="AJ54" s="2057"/>
      <c r="AK54" s="2201"/>
      <c r="AL54" s="1981"/>
      <c r="AM54" s="308"/>
      <c r="AN54" s="1530"/>
      <c r="AO54" s="1530" t="s">
        <v>497</v>
      </c>
      <c r="AP54" s="422"/>
      <c r="AQ54" s="422"/>
      <c r="AR54" s="422"/>
      <c r="AS54" s="1423"/>
      <c r="AT54" s="1423"/>
      <c r="AU54" s="1526"/>
      <c r="AV54" s="1423"/>
      <c r="AW54" s="1526"/>
      <c r="AX54" s="1423"/>
      <c r="AY54" s="1423"/>
      <c r="AZ54" s="1423"/>
      <c r="BA54" s="1423"/>
      <c r="BB54" s="1427"/>
      <c r="BC54" s="2138"/>
      <c r="BE54" s="506"/>
      <c r="BF54" s="506"/>
      <c r="BG54" s="506"/>
      <c r="BH54" s="506"/>
    </row>
    <row customHeight="1" ht="11.25">
      <c r="A55" s="1393" t="s">
        <v>239</v>
      </c>
      <c r="B55" s="1393"/>
      <c r="C55" s="1393"/>
      <c r="D55" s="1393"/>
      <c r="E55" s="2108"/>
      <c r="F55" s="2108"/>
      <c r="G55" s="2108"/>
      <c r="H55" s="2108"/>
      <c r="I55" s="2110"/>
      <c r="J55" s="2110"/>
      <c r="K55" s="2109"/>
      <c r="L55" s="1394"/>
      <c r="P55" s="2111"/>
      <c r="Q55" s="2111"/>
      <c r="R55" s="353"/>
      <c r="S55" s="2185"/>
      <c r="T55" s="2204"/>
      <c r="U55" s="288"/>
      <c r="V55" s="1423"/>
      <c r="W55" s="1526"/>
      <c r="X55" s="1423"/>
      <c r="Y55" s="1526"/>
      <c r="Z55" s="1423"/>
      <c r="AA55" s="1423"/>
      <c r="AB55" s="1423"/>
      <c r="AC55" s="1423"/>
      <c r="AD55" s="2045"/>
      <c r="AE55" s="2180"/>
      <c r="AF55" s="2057"/>
      <c r="AG55" s="2202"/>
      <c r="AH55" s="1981"/>
      <c r="AI55" s="282"/>
      <c r="AJ55" s="421"/>
      <c r="AK55" s="303" t="s">
        <v>498</v>
      </c>
      <c r="AL55" s="1423"/>
      <c r="AM55" s="1423"/>
      <c r="AN55" s="1423"/>
      <c r="AO55" s="1423"/>
      <c r="AP55" s="1423"/>
      <c r="AQ55" s="1423"/>
      <c r="AR55" s="1423"/>
      <c r="AS55" s="1423"/>
      <c r="AT55" s="1423"/>
      <c r="AU55" s="1526"/>
      <c r="AV55" s="1423"/>
      <c r="AW55" s="1526"/>
      <c r="AX55" s="1423"/>
      <c r="AY55" s="1423"/>
      <c r="AZ55" s="1423"/>
      <c r="BA55" s="1423"/>
      <c r="BB55" s="1427"/>
      <c r="BC55" s="2138"/>
      <c r="BE55" s="506"/>
      <c r="BF55" s="506"/>
      <c r="BG55" s="506"/>
      <c r="BH55" s="506"/>
    </row>
    <row customHeight="1" ht="11.25">
      <c r="A56" s="1393" t="s">
        <v>239</v>
      </c>
      <c r="B56" s="1393" t="s">
        <v>240</v>
      </c>
      <c r="C56" s="1393" t="s">
        <v>241</v>
      </c>
      <c r="D56" s="1393" t="s">
        <v>509</v>
      </c>
      <c r="E56" s="2108"/>
      <c r="F56" s="2108"/>
      <c r="G56" s="2108"/>
      <c r="H56" s="2108"/>
      <c r="I56" s="2110"/>
      <c r="J56" s="2110"/>
      <c r="K56" s="2109"/>
      <c r="L56" s="1394"/>
      <c r="P56" s="2111"/>
      <c r="Q56" s="2111"/>
      <c r="R56" s="353"/>
      <c r="S56" s="2186"/>
      <c r="T56" s="2205"/>
      <c r="U56" s="288"/>
      <c r="V56" s="1423"/>
      <c r="W56" s="1424" t="str">
        <f>Z52&amp;"-"&amp;AB52</f>
        <v>-</v>
      </c>
      <c r="X56" s="1423"/>
      <c r="Y56" s="1424" t="str">
        <f>AB52&amp;"-"&amp;AD52</f>
        <v>-да</v>
      </c>
      <c r="Z56" s="1423"/>
      <c r="AA56" s="1423"/>
      <c r="AB56" s="1423"/>
      <c r="AC56" s="1423"/>
      <c r="AD56" s="1986"/>
      <c r="AE56" s="302"/>
      <c r="AF56" s="304"/>
      <c r="AG56" s="422" t="s">
        <v>499</v>
      </c>
      <c r="AH56" s="1423"/>
      <c r="AI56" s="1423"/>
      <c r="AJ56" s="1423"/>
      <c r="AK56" s="1423"/>
      <c r="AL56" s="1423"/>
      <c r="AM56" s="1423"/>
      <c r="AN56" s="1423"/>
      <c r="AO56" s="1423"/>
      <c r="AP56" s="1423"/>
      <c r="AQ56" s="1423"/>
      <c r="AR56" s="1423"/>
      <c r="AS56" s="1423"/>
      <c r="AT56" s="1423"/>
      <c r="AU56" s="1424" t="str">
        <f>AX52&amp;"-"&amp;AZ52</f>
        <v>-</v>
      </c>
      <c r="AV56" s="1423"/>
      <c r="AW56" s="1424" t="str">
        <f>AZ52&amp;"-"&amp;BB52</f>
        <v>-</v>
      </c>
      <c r="AX56" s="1423"/>
      <c r="AY56" s="1423"/>
      <c r="AZ56" s="1423"/>
      <c r="BA56" s="1423"/>
      <c r="BB56" s="1426" t="str">
        <f>BE52&amp;"-"&amp;BG52</f>
        <v>-</v>
      </c>
      <c r="BC56" s="2138"/>
      <c r="BE56" s="506"/>
      <c r="BF56" s="506" t="str">
        <f>IF(T56="","",T56)</f>
        <v/>
      </c>
      <c r="BG56" s="506"/>
      <c r="BH56" s="506"/>
    </row>
    <row customHeight="1" ht="11.25">
      <c r="A57" s="1393" t="s">
        <v>239</v>
      </c>
      <c r="B57" s="1393" t="s">
        <v>240</v>
      </c>
      <c r="C57" s="1393" t="s">
        <v>241</v>
      </c>
      <c r="D57" s="1393" t="s">
        <v>509</v>
      </c>
      <c r="E57" s="2108"/>
      <c r="F57" s="2108"/>
      <c r="G57" s="2108"/>
      <c r="H57" s="2108"/>
      <c r="I57" s="2110"/>
      <c r="J57" s="2109"/>
      <c r="K57" s="1393"/>
      <c r="L57" s="1394"/>
      <c r="P57" s="2111"/>
      <c r="Q57" s="2111"/>
      <c r="R57" s="352"/>
      <c r="S57" s="1308"/>
      <c r="T57" s="275" t="s">
        <v>463</v>
      </c>
      <c r="U57" s="367"/>
      <c r="V57" s="367"/>
      <c r="W57" s="367"/>
      <c r="X57" s="367"/>
      <c r="Y57" s="367"/>
      <c r="Z57" s="367"/>
      <c r="AA57" s="367"/>
      <c r="AB57" s="367"/>
      <c r="AC57" s="319"/>
      <c r="AD57" s="153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39"/>
      <c r="BE57" s="506"/>
      <c r="BF57" s="506" t="str">
        <f>IF(T57="","",T57)</f>
        <v>Добавить строку</v>
      </c>
      <c r="BG57" s="506"/>
      <c r="BH57" s="506"/>
    </row>
    <row s="2611" customFormat="1" customHeight="1" ht="0">
      <c r="A58" s="1373" t="s">
        <v>239</v>
      </c>
      <c r="B58" s="1373" t="s">
        <v>240</v>
      </c>
      <c r="C58" s="1373" t="s">
        <v>241</v>
      </c>
      <c r="D58" s="1373" t="s">
        <v>509</v>
      </c>
      <c r="E58" s="2108"/>
      <c r="F58" s="2108"/>
      <c r="G58" s="2108"/>
      <c r="H58" s="2108"/>
      <c r="I58" s="2109"/>
      <c r="J58" s="1373"/>
      <c r="K58" s="1373"/>
      <c r="L58" s="1376"/>
      <c r="M58" s="516"/>
      <c r="N58" s="516"/>
      <c r="O58" s="516"/>
      <c r="P58" s="2111"/>
      <c r="Q58" s="1492"/>
      <c r="R58" s="352"/>
      <c r="S58" s="1416"/>
      <c r="T58" s="1417"/>
      <c r="U58" s="1418"/>
      <c r="V58" s="1418"/>
      <c r="W58" s="1418"/>
      <c r="X58" s="1418"/>
      <c r="Y58" s="1418"/>
      <c r="Z58" s="1418"/>
      <c r="AA58" s="1418"/>
      <c r="AB58" s="1418"/>
      <c r="AC58" s="1418"/>
      <c r="AD58" s="1418"/>
      <c r="AE58" s="1418"/>
      <c r="AF58" s="1418"/>
      <c r="AG58" s="1418"/>
      <c r="AH58" s="1418"/>
      <c r="AI58" s="1418"/>
      <c r="AJ58" s="1418"/>
      <c r="AK58" s="1418"/>
      <c r="AL58" s="1418"/>
      <c r="AM58" s="1418"/>
      <c r="AN58" s="1418"/>
      <c r="AO58" s="1418"/>
      <c r="AP58" s="1418"/>
      <c r="AQ58" s="1418"/>
      <c r="AR58" s="1418"/>
      <c r="AS58" s="1418"/>
      <c r="AT58" s="1418"/>
      <c r="AU58" s="1418"/>
      <c r="AV58" s="1418"/>
      <c r="AW58" s="1418"/>
      <c r="AX58" s="1418"/>
      <c r="AY58" s="1418"/>
      <c r="AZ58" s="1418"/>
      <c r="BA58" s="1418"/>
      <c r="BB58" s="1418"/>
      <c r="BC58" s="1419"/>
      <c r="BE58" s="506"/>
      <c r="BF58" s="506" t="str">
        <f>IF(T58="","",T58)</f>
        <v/>
      </c>
      <c r="BG58" s="506"/>
      <c r="BH58" s="506"/>
    </row>
    <row s="2611" customFormat="1" customHeight="1" ht="0">
      <c r="A59" s="1373" t="s">
        <v>239</v>
      </c>
      <c r="B59" s="1373" t="s">
        <v>240</v>
      </c>
      <c r="C59" s="1373" t="s">
        <v>241</v>
      </c>
      <c r="D59" s="1373" t="s">
        <v>509</v>
      </c>
      <c r="E59" s="2108"/>
      <c r="F59" s="2108"/>
      <c r="G59" s="2108"/>
      <c r="H59" s="2107"/>
      <c r="I59" s="1373"/>
      <c r="J59" s="1373"/>
      <c r="K59" s="1373"/>
      <c r="L59" s="1376"/>
      <c r="M59" s="1345"/>
      <c r="N59" s="1345"/>
      <c r="O59" s="524"/>
      <c r="P59" s="385"/>
      <c r="Q59" s="1374"/>
      <c r="R59" s="1431"/>
      <c r="S59" s="1416"/>
      <c r="T59" s="1417"/>
      <c r="U59" s="1418"/>
      <c r="V59" s="1418"/>
      <c r="W59" s="1418"/>
      <c r="X59" s="1418"/>
      <c r="Y59" s="1418"/>
      <c r="Z59" s="1418"/>
      <c r="AA59" s="1418"/>
      <c r="AB59" s="1418"/>
      <c r="AC59" s="1418"/>
      <c r="AD59" s="1418"/>
      <c r="AE59" s="1418"/>
      <c r="AF59" s="1418"/>
      <c r="AG59" s="1418"/>
      <c r="AH59" s="1418"/>
      <c r="AI59" s="1418"/>
      <c r="AJ59" s="1418"/>
      <c r="AK59" s="1418"/>
      <c r="AL59" s="1418"/>
      <c r="AM59" s="1418"/>
      <c r="AN59" s="1418"/>
      <c r="AO59" s="1418"/>
      <c r="AP59" s="1418"/>
      <c r="AQ59" s="1418"/>
      <c r="AR59" s="1418"/>
      <c r="AS59" s="1418"/>
      <c r="AT59" s="1418"/>
      <c r="AU59" s="1418"/>
      <c r="AV59" s="1418"/>
      <c r="AW59" s="1418"/>
      <c r="AX59" s="1418"/>
      <c r="AY59" s="1418"/>
      <c r="AZ59" s="1418"/>
      <c r="BA59" s="1418"/>
      <c r="BB59" s="1418"/>
      <c r="BC59" s="1419"/>
      <c r="BE59" s="506"/>
      <c r="BF59" s="506" t="str">
        <f>IF(T59="","",T59)</f>
        <v/>
      </c>
      <c r="BG59" s="506"/>
      <c r="BH59" s="506"/>
    </row>
    <row s="3273" customFormat="1" customHeight="1" ht="0">
      <c r="A60" s="1373" t="s">
        <v>239</v>
      </c>
      <c r="B60" s="1373" t="s">
        <v>240</v>
      </c>
      <c r="C60" s="1373" t="s">
        <v>241</v>
      </c>
      <c r="D60" s="1344"/>
      <c r="E60" s="2108"/>
      <c r="F60" s="2108"/>
      <c r="G60" s="2107"/>
      <c r="H60" s="1344"/>
      <c r="I60" s="1344"/>
      <c r="J60" s="1344"/>
      <c r="K60" s="1344"/>
      <c r="L60" s="1494"/>
      <c r="M60" s="1345"/>
      <c r="N60" s="1345"/>
      <c r="P60" s="1346"/>
      <c r="Q60" s="1347"/>
      <c r="R60" s="1346"/>
      <c r="S60" s="1352"/>
      <c r="T60" s="1355"/>
      <c r="U60" s="1354"/>
      <c r="V60" s="1354"/>
      <c r="W60" s="1354"/>
      <c r="X60" s="1354"/>
      <c r="Y60" s="1354"/>
      <c r="Z60" s="1354"/>
      <c r="AA60" s="1354"/>
      <c r="AB60" s="1354"/>
      <c r="AC60" s="1354"/>
      <c r="AD60" s="1354"/>
      <c r="AE60" s="1354"/>
      <c r="AF60" s="1354"/>
      <c r="AG60" s="1354"/>
      <c r="AH60" s="1354"/>
      <c r="AI60" s="1354"/>
      <c r="AJ60" s="1354"/>
      <c r="AK60" s="1354"/>
      <c r="AL60" s="1354"/>
      <c r="AM60" s="1354"/>
      <c r="AN60" s="1354"/>
      <c r="AO60" s="1354"/>
      <c r="AP60" s="1354"/>
      <c r="AQ60" s="1354"/>
      <c r="AR60" s="1354"/>
      <c r="AS60" s="1354"/>
      <c r="AT60" s="1354"/>
      <c r="AU60" s="1354"/>
      <c r="AV60" s="1354"/>
      <c r="AW60" s="1354"/>
      <c r="AX60" s="1354"/>
      <c r="AY60" s="1354"/>
      <c r="AZ60" s="1354"/>
      <c r="BA60" s="1354"/>
      <c r="BB60" s="1354"/>
      <c r="BC60" s="1354"/>
      <c r="BE60" s="795"/>
      <c r="BF60" s="795" t="str">
        <f>IF(T60="","",T60)</f>
        <v/>
      </c>
      <c r="BG60" s="795"/>
      <c r="BH60" s="795"/>
    </row>
    <row s="3273" customFormat="1" customHeight="1" ht="0">
      <c r="A61" s="1373" t="s">
        <v>239</v>
      </c>
      <c r="B61" s="1373" t="s">
        <v>240</v>
      </c>
      <c r="C61" s="1344"/>
      <c r="D61" s="1344"/>
      <c r="E61" s="2108"/>
      <c r="F61" s="2107"/>
      <c r="G61" s="1344"/>
      <c r="H61" s="1344"/>
      <c r="I61" s="1344"/>
      <c r="J61" s="1344"/>
      <c r="K61" s="1344"/>
      <c r="L61" s="1494"/>
      <c r="M61" s="1351"/>
      <c r="N61" s="1351"/>
      <c r="P61" s="1346"/>
      <c r="Q61" s="1347"/>
      <c r="R61" s="1346"/>
      <c r="S61" s="1352"/>
      <c r="T61" s="1355" t="s">
        <v>182</v>
      </c>
      <c r="U61" s="1354"/>
      <c r="V61" s="1354"/>
      <c r="W61" s="1354"/>
      <c r="X61" s="1354"/>
      <c r="Y61" s="1354"/>
      <c r="Z61" s="1354"/>
      <c r="AA61" s="1354"/>
      <c r="AB61" s="1354"/>
      <c r="AC61" s="1354"/>
      <c r="AD61" s="1354"/>
      <c r="AE61" s="1354"/>
      <c r="AF61" s="1354"/>
      <c r="AG61" s="1354"/>
      <c r="AH61" s="1354"/>
      <c r="AI61" s="1354"/>
      <c r="AJ61" s="1354"/>
      <c r="AK61" s="1354"/>
      <c r="AL61" s="1354"/>
      <c r="AM61" s="1354"/>
      <c r="AN61" s="1354"/>
      <c r="AO61" s="1354"/>
      <c r="AP61" s="1354"/>
      <c r="AQ61" s="1354"/>
      <c r="AR61" s="1354"/>
      <c r="AS61" s="1354"/>
      <c r="AT61" s="1354"/>
      <c r="AU61" s="1354"/>
      <c r="AV61" s="1354"/>
      <c r="AW61" s="1354"/>
      <c r="AX61" s="1354"/>
      <c r="AY61" s="1354"/>
      <c r="AZ61" s="1354"/>
      <c r="BA61" s="1354"/>
      <c r="BB61" s="1354"/>
      <c r="BC61" s="1354"/>
      <c r="BE61" s="795"/>
      <c r="BF61" s="795" t="str">
        <f>IF(T61="","",T61)</f>
        <v>Добавить централизованную систему для дифференциации</v>
      </c>
      <c r="BG61" s="795"/>
      <c r="BH61" s="795"/>
    </row>
    <row s="2611" customFormat="1" customHeight="1" ht="0">
      <c r="A62" s="1373" t="s">
        <v>239</v>
      </c>
      <c r="B62" s="1373"/>
      <c r="C62" s="1373"/>
      <c r="D62" s="1373"/>
      <c r="E62" s="2107"/>
      <c r="F62" s="1373"/>
      <c r="G62" s="1373"/>
      <c r="H62" s="1373"/>
      <c r="I62" s="1373"/>
      <c r="J62" s="1373"/>
      <c r="K62" s="1373"/>
      <c r="L62" s="1376"/>
      <c r="M62" s="1351"/>
      <c r="N62" s="1351"/>
      <c r="O62" s="524"/>
      <c r="P62" s="385"/>
      <c r="Q62" s="1374"/>
      <c r="R62" s="385"/>
      <c r="S62" s="1352"/>
      <c r="T62" s="1355" t="s">
        <v>183</v>
      </c>
      <c r="U62" s="1354"/>
      <c r="V62" s="1354"/>
      <c r="W62" s="1354"/>
      <c r="X62" s="1354"/>
      <c r="Y62" s="1354"/>
      <c r="Z62" s="1354"/>
      <c r="AA62" s="1354"/>
      <c r="AB62" s="1354"/>
      <c r="AC62" s="1354"/>
      <c r="AD62" s="1354"/>
      <c r="AE62" s="1354"/>
      <c r="AF62" s="1354"/>
      <c r="AG62" s="1354"/>
      <c r="AH62" s="1354"/>
      <c r="AI62" s="1354"/>
      <c r="AJ62" s="1354"/>
      <c r="AK62" s="1354"/>
      <c r="AL62" s="1354"/>
      <c r="AM62" s="1354"/>
      <c r="AN62" s="1354"/>
      <c r="AO62" s="1354"/>
      <c r="AP62" s="1354"/>
      <c r="AQ62" s="1354"/>
      <c r="AR62" s="1354"/>
      <c r="AS62" s="1354"/>
      <c r="AT62" s="1354"/>
      <c r="AU62" s="1354"/>
      <c r="AV62" s="1354"/>
      <c r="AW62" s="1354"/>
      <c r="AX62" s="1354"/>
      <c r="AY62" s="1354"/>
      <c r="AZ62" s="1354"/>
      <c r="BA62" s="1354"/>
      <c r="BB62" s="1354"/>
      <c r="BC62" s="1354"/>
      <c r="BE62" s="506"/>
      <c r="BF62" s="506" t="str">
        <f>IF(T62="","",T62)</f>
        <v>Добавить территорию для дифференциации</v>
      </c>
      <c r="BG62" s="506"/>
      <c r="BH62" s="506"/>
    </row>
    <row s="3273" customFormat="1" customHeight="1" ht="0">
      <c r="A63" s="1344"/>
      <c r="B63" s="1344"/>
      <c r="C63" s="1344"/>
      <c r="D63" s="1344"/>
      <c r="E63" s="1373"/>
      <c r="F63" s="1344"/>
      <c r="G63" s="1344"/>
      <c r="H63" s="1344"/>
      <c r="I63" s="1344"/>
      <c r="J63" s="1344"/>
      <c r="K63" s="1344"/>
      <c r="L63" s="1494"/>
      <c r="M63" s="1351"/>
      <c r="N63" s="1351"/>
      <c r="P63" s="1346"/>
      <c r="Q63" s="1347"/>
      <c r="R63" s="1346"/>
      <c r="S63" s="1352"/>
      <c r="T63" s="1355" t="s">
        <v>184</v>
      </c>
      <c r="U63" s="1354"/>
      <c r="V63" s="1354"/>
      <c r="W63" s="1354"/>
      <c r="X63" s="1354"/>
      <c r="Y63" s="1354"/>
      <c r="Z63" s="1354"/>
      <c r="AA63" s="1354"/>
      <c r="AB63" s="1354"/>
      <c r="AC63" s="1354"/>
      <c r="AD63" s="1354"/>
      <c r="AE63" s="1354"/>
      <c r="AF63" s="1354"/>
      <c r="AG63" s="1354"/>
      <c r="AH63" s="1354"/>
      <c r="AI63" s="1354"/>
      <c r="AJ63" s="1354"/>
      <c r="AK63" s="1354"/>
      <c r="AL63" s="1354"/>
      <c r="AM63" s="1354"/>
      <c r="AN63" s="1354"/>
      <c r="AO63" s="1354"/>
      <c r="AP63" s="1354"/>
      <c r="AQ63" s="1354"/>
      <c r="AR63" s="1354"/>
      <c r="AS63" s="1354"/>
      <c r="AT63" s="1354"/>
      <c r="AU63" s="1354"/>
      <c r="AV63" s="1354"/>
      <c r="AW63" s="1354"/>
      <c r="AX63" s="1354"/>
      <c r="AY63" s="1354"/>
      <c r="AZ63" s="1354"/>
      <c r="BA63" s="1354"/>
      <c r="BB63" s="1354"/>
      <c r="BC63" s="1354"/>
      <c r="BE63" s="795"/>
      <c r="BF63" s="795" t="str">
        <f>IF(T63="","",T63)</f>
        <v>Добавить наименование тарифа</v>
      </c>
      <c r="BG63" s="795"/>
      <c r="BH63" s="795"/>
    </row>
    <row customHeight="1" ht="11.25">
      <c r="M64" s="1168"/>
      <c r="N64" s="1168"/>
      <c r="O64" s="543"/>
      <c r="P64" s="1168"/>
      <c r="Q64" s="1168"/>
      <c r="R64" s="1163"/>
      <c r="S64" s="1163"/>
      <c r="BD64" s="1163"/>
      <c r="BE64" s="1163"/>
      <c r="BF64" s="1163"/>
      <c r="BG64" s="1163"/>
      <c r="BH64" s="1163"/>
    </row>
    <row customHeight="1" ht="18.75">
      <c r="O65" s="543"/>
      <c r="S65" s="1273"/>
      <c r="T65" s="2106"/>
      <c r="U65" s="2106"/>
      <c r="V65" s="2106"/>
      <c r="W65" s="2106"/>
      <c r="X65" s="2106"/>
      <c r="Y65" s="2106"/>
      <c r="Z65" s="2106"/>
      <c r="AA65" s="2106"/>
      <c r="AB65" s="2106"/>
      <c r="AC65" s="2106"/>
      <c r="AD65" s="2106"/>
      <c r="AE65" s="2106"/>
      <c r="AF65" s="2106"/>
      <c r="AG65" s="2106"/>
      <c r="AH65" s="2106"/>
      <c r="AI65" s="2106"/>
      <c r="AJ65" s="2106"/>
      <c r="AK65" s="2106"/>
      <c r="AL65" s="2106"/>
      <c r="AM65" s="2106"/>
      <c r="AN65" s="2106"/>
      <c r="AO65" s="2106"/>
      <c r="AP65" s="2106"/>
      <c r="AQ65" s="2106"/>
      <c r="AR65" s="2106"/>
      <c r="AS65" s="2106"/>
      <c r="AT65" s="2106"/>
      <c r="AU65" s="2106"/>
      <c r="AV65" s="2106"/>
      <c r="AW65" s="2106"/>
      <c r="AX65" s="2106"/>
      <c r="AY65" s="2106"/>
      <c r="AZ65" s="2106"/>
      <c r="BA65" s="2106"/>
      <c r="BB65" s="2106"/>
      <c r="BC65" s="2106"/>
    </row>
    <row customHeight="1" ht="14.25">
      <c r="O66" s="543"/>
      <c r="T66" s="1479"/>
      <c r="U66" s="1479"/>
      <c r="V66" s="1479"/>
      <c r="W66" s="1479"/>
      <c r="X66" s="1479"/>
      <c r="Y66" s="1479"/>
      <c r="Z66" s="1479"/>
      <c r="AA66" s="1479"/>
      <c r="AB66" s="1479"/>
      <c r="AC66" s="1479"/>
      <c r="AD66" s="1479"/>
      <c r="AE66" s="1479"/>
      <c r="AF66" s="1479"/>
      <c r="AG66" s="1479"/>
      <c r="AH66" s="1479"/>
      <c r="AI66" s="1479"/>
      <c r="AJ66" s="1479"/>
      <c r="AK66" s="1479"/>
      <c r="AL66" s="1479"/>
      <c r="AM66" s="1479"/>
      <c r="AN66" s="1479"/>
      <c r="AO66" s="1479"/>
      <c r="AP66" s="1479"/>
      <c r="AQ66" s="1479"/>
      <c r="AR66" s="1479"/>
      <c r="AS66" s="1479"/>
      <c r="AT66" s="1479"/>
      <c r="AU66" s="1479"/>
      <c r="AV66" s="1479"/>
      <c r="AW66" s="1479"/>
      <c r="AX66" s="1479"/>
      <c r="AY66" s="1479"/>
      <c r="AZ66" s="1479"/>
      <c r="BA66" s="1479"/>
      <c r="BB66" s="1479"/>
      <c r="BC66" s="1479"/>
    </row>
    <row customHeight="1" ht="18.75">
      <c r="O67" s="543"/>
      <c r="S67" s="1273"/>
      <c r="T67" s="2106"/>
      <c r="U67" s="2106"/>
      <c r="V67" s="2106"/>
      <c r="W67" s="2106"/>
      <c r="X67" s="2106"/>
      <c r="Y67" s="2106"/>
      <c r="Z67" s="2106"/>
      <c r="AA67" s="2106"/>
      <c r="AB67" s="2106"/>
      <c r="AC67" s="2106"/>
      <c r="AD67" s="2106"/>
      <c r="AE67" s="2106"/>
      <c r="AF67" s="2106"/>
      <c r="AG67" s="2106"/>
      <c r="AH67" s="2106"/>
      <c r="AI67" s="2106"/>
      <c r="AJ67" s="2106"/>
      <c r="AK67" s="2106"/>
      <c r="AL67" s="2106"/>
      <c r="AM67" s="2106"/>
      <c r="AN67" s="2106"/>
      <c r="AO67" s="2106"/>
      <c r="AP67" s="2106"/>
      <c r="AQ67" s="2106"/>
      <c r="AR67" s="2106"/>
      <c r="AS67" s="2106"/>
      <c r="AT67" s="2106"/>
      <c r="AU67" s="2106"/>
      <c r="AV67" s="2106"/>
      <c r="AW67" s="2106"/>
      <c r="AX67" s="2106"/>
      <c r="AY67" s="2106"/>
      <c r="AZ67" s="2106"/>
      <c r="BA67" s="2106"/>
      <c r="BB67" s="2106"/>
      <c r="BC67" s="2106"/>
    </row>
    <row customHeight="1" ht="14.25">
      <c r="O68" s="54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D8A4CAF-7BAC-47C9-509E-556E50E9CD7C}"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92" width="10.57421875" hidden="1"/>
    <col min="2" max="2" style="3292" width="11.00390625" hidden="1" customWidth="1"/>
    <col min="3" max="3" style="3292" width="10.57421875" hidden="1"/>
    <col min="4" max="4" style="3292" width="11.8515625" hidden="1" customWidth="1"/>
    <col min="5" max="5" style="3292" width="10.00390625" hidden="1" customWidth="1"/>
    <col min="6" max="6" style="3292" width="8.7109375" hidden="1" customWidth="1"/>
    <col min="7" max="7" style="3292" width="7.57421875" hidden="1" customWidth="1"/>
    <col min="8" max="8" style="3292" width="11.421875" hidden="1" customWidth="1"/>
    <col min="9" max="9" style="3292" width="14.140625" hidden="1" customWidth="1"/>
    <col min="10" max="10" style="3292" width="9.8515625" hidden="1" customWidth="1"/>
    <col min="11" max="11" style="3292" width="14.7109375" hidden="1" customWidth="1"/>
    <col min="12" max="12" style="3823" width="19.140625" hidden="1" customWidth="1"/>
    <col min="13" max="14" style="3294" width="12.28125" hidden="1" customWidth="1"/>
    <col min="15" max="15" style="3294" width="23.421875" hidden="1" customWidth="1"/>
    <col min="16" max="16" style="3828" width="3.7109375" customWidth="1"/>
    <col min="17" max="18" style="3371" width="3.7109375" customWidth="1"/>
    <col min="19" max="19" style="3372" width="12.7109375" customWidth="1"/>
    <col min="20" max="20" style="2939" width="35.7109375" customWidth="1"/>
    <col min="21" max="21" style="2939" width="0.140625" customWidth="1"/>
    <col min="22" max="24" style="2939" width="24.7109375" hidden="1" customWidth="1"/>
    <col min="25" max="25" style="2939" width="11.7109375" hidden="1" customWidth="1"/>
    <col min="26" max="26" style="2939" width="3.7109375" hidden="1" customWidth="1"/>
    <col min="27" max="27" style="2939" width="11.7109375" hidden="1" customWidth="1"/>
    <col min="28" max="28" style="2939" width="8.57421875" hidden="1" customWidth="1"/>
    <col min="29" max="31" style="2939" width="24.7109375" customWidth="1"/>
    <col min="32" max="32" style="2939" width="11.7109375" customWidth="1"/>
    <col min="33" max="33" style="2939" width="3.7109375" customWidth="1"/>
    <col min="34" max="34" style="2939" width="11.7109375" customWidth="1"/>
    <col min="35" max="35" style="2939" width="8.57421875" hidden="1" customWidth="1"/>
    <col min="36" max="36" style="2939" width="4.7109375" customWidth="1"/>
    <col min="37" max="37" style="2939" width="115.7109375" customWidth="1"/>
    <col min="38" max="39" style="2611" width="10.57421875"/>
    <col min="40" max="40" style="2611" width="11.140625" customWidth="1"/>
    <col min="41" max="42" style="2611"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523">
        <f>INDEX(PT_DIFFERENTIATION_NUM_NTAR,MATCH(A2,PT_DIFFERENTIATION_NTAR_ID,0))</f>
      </c>
      <c r="T2" s="286" t="s">
        <v>124</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517"/>
      <c r="Q3" s="348"/>
      <c r="R3" s="349"/>
      <c r="S3" s="1523">
        <f>INDEX(PT_DIFFERENTIATION_NUM_TER,MATCH(B3,PT_DIFFERENTIATION_TER_ID,0))</f>
      </c>
      <c r="T3" s="298" t="s">
        <v>392</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393</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523">
        <f>INDEX(PT_DIFFERENTIATION_NUM_CS,MATCH(C4,PT_DIFFERENTIATION_CS_ID,0))</f>
      </c>
      <c r="T4" s="299" t="s">
        <v>510</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511</v>
      </c>
      <c r="AM4" s="506"/>
      <c r="AN4" s="506" t="str">
        <f>IF(T4="","",T4)</f>
        <v>Наименование централизованной системы водоотведения</v>
      </c>
      <c r="AO4" s="506"/>
      <c r="AP4" s="506"/>
    </row>
    <row customHeight="1" ht="23.25" hidden="1">
      <c r="A5" s="1393"/>
      <c r="B5" s="1393"/>
      <c r="C5" s="1393"/>
      <c r="D5" s="1393"/>
      <c r="E5" s="2108"/>
      <c r="F5" s="2108"/>
      <c r="G5" s="2108"/>
      <c r="H5" s="2108"/>
      <c r="I5" s="2109">
        <f>S4&amp;".1"</f>
      </c>
      <c r="J5" s="1393"/>
      <c r="K5" s="1393"/>
      <c r="L5" s="1394"/>
      <c r="P5" s="2111">
        <v>1</v>
      </c>
      <c r="Q5" s="1511"/>
      <c r="R5" s="352"/>
      <c r="S5" s="1523">
        <f>$I5</f>
      </c>
      <c r="T5" s="273" t="s">
        <v>479</v>
      </c>
      <c r="U5" s="288"/>
      <c r="V5" s="2194"/>
      <c r="W5" s="2195"/>
      <c r="X5" s="2195"/>
      <c r="Y5" s="2195"/>
      <c r="Z5" s="2195"/>
      <c r="AA5" s="2195"/>
      <c r="AB5" s="2196"/>
      <c r="AC5" s="2197"/>
      <c r="AD5" s="2198"/>
      <c r="AE5" s="2198"/>
      <c r="AF5" s="2198"/>
      <c r="AG5" s="2198"/>
      <c r="AH5" s="2198"/>
      <c r="AI5" s="2198"/>
      <c r="AJ5" s="2199"/>
      <c r="AK5" s="1286" t="s">
        <v>480</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401</v>
      </c>
      <c r="P6" s="2111"/>
      <c r="Q6" s="2111">
        <v>1</v>
      </c>
      <c r="R6" s="353"/>
      <c r="S6" s="1523">
        <f>$J6</f>
      </c>
      <c r="T6" s="274" t="s">
        <v>402</v>
      </c>
      <c r="U6" s="288"/>
      <c r="V6" s="2095"/>
      <c r="W6" s="2096"/>
      <c r="X6" s="2096"/>
      <c r="Y6" s="2096"/>
      <c r="Z6" s="2096"/>
      <c r="AA6" s="2096"/>
      <c r="AB6" s="2097"/>
      <c r="AC6" s="2095"/>
      <c r="AD6" s="2096"/>
      <c r="AE6" s="2096"/>
      <c r="AF6" s="2096"/>
      <c r="AG6" s="2096"/>
      <c r="AH6" s="2096"/>
      <c r="AI6" s="2096"/>
      <c r="AJ6" s="2097"/>
      <c r="AK6" s="1337" t="s">
        <v>481</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523">
        <f>$K7</f>
      </c>
      <c r="T7" s="1467"/>
      <c r="U7" s="288"/>
      <c r="V7" s="757"/>
      <c r="W7" s="757"/>
      <c r="X7" s="1285"/>
      <c r="Y7" s="2112"/>
      <c r="Z7" s="1981" t="s">
        <v>62</v>
      </c>
      <c r="AA7" s="2112"/>
      <c r="AB7" s="1981" t="s">
        <v>62</v>
      </c>
      <c r="AC7" s="757"/>
      <c r="AD7" s="757"/>
      <c r="AE7" s="1285"/>
      <c r="AF7" s="2112"/>
      <c r="AG7" s="1981" t="s">
        <v>62</v>
      </c>
      <c r="AH7" s="2114"/>
      <c r="AI7" s="1981" t="s">
        <v>62</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520"/>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482</v>
      </c>
      <c r="U9" s="367"/>
      <c r="V9" s="367"/>
      <c r="W9" s="367"/>
      <c r="X9" s="367"/>
      <c r="Y9" s="367"/>
      <c r="Z9" s="367"/>
      <c r="AA9" s="367"/>
      <c r="AB9" s="367"/>
      <c r="AC9" s="367"/>
      <c r="AD9" s="367"/>
      <c r="AE9" s="367"/>
      <c r="AF9" s="367"/>
      <c r="AG9" s="367"/>
      <c r="AH9" s="367"/>
      <c r="AI9" s="367"/>
      <c r="AJ9" s="367"/>
      <c r="AK9" s="1286" t="s">
        <v>483</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511"/>
      <c r="R10" s="352"/>
      <c r="S10" s="1308"/>
      <c r="T10" s="364" t="s">
        <v>407</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484</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73" customFormat="1" customHeight="1" ht="14.25" hidden="1">
      <c r="A12" s="1373"/>
      <c r="B12" s="1373"/>
      <c r="C12" s="1344"/>
      <c r="D12" s="1344"/>
      <c r="E12" s="2108"/>
      <c r="F12" s="2107"/>
      <c r="G12" s="1344"/>
      <c r="H12" s="1344"/>
      <c r="I12" s="1344"/>
      <c r="J12" s="1344"/>
      <c r="K12" s="1344"/>
      <c r="L12" s="1524"/>
      <c r="M12" s="1351"/>
      <c r="N12" s="1351"/>
      <c r="P12" s="1346"/>
      <c r="Q12" s="1347"/>
      <c r="R12" s="1346"/>
      <c r="S12" s="1352"/>
      <c r="T12" s="1355" t="s">
        <v>182</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1"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183</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62</v>
      </c>
      <c r="AH15" s="2105"/>
      <c r="AI15" s="2104" t="s">
        <v>62</v>
      </c>
    </row>
    <row customHeight="1" ht="14.25" hidden="1">
      <c r="AC16" s="1390"/>
      <c r="AD16" s="1390"/>
      <c r="AE16" s="324" t="str">
        <f>AF15&amp;"-"&amp;AH15</f>
        <v>-</v>
      </c>
      <c r="AF16" s="2104"/>
      <c r="AG16" s="2104"/>
      <c r="AH16" s="2104"/>
      <c r="AI16" s="2104"/>
    </row>
    <row customHeight="1" ht="14.25" hidden="1">
      <c r="AI17" s="323"/>
    </row>
    <row s="3292" customFormat="1" customHeight="1" ht="22.5" hidden="1">
      <c r="L18" s="1508"/>
      <c r="M18" s="1392"/>
      <c r="N18" s="1392"/>
      <c r="O18" s="1397" t="s">
        <v>409</v>
      </c>
      <c r="P18" s="1392"/>
      <c r="Q18" s="1401"/>
      <c r="R18" s="1401"/>
      <c r="S18" s="735"/>
      <c r="Y18" s="1397"/>
      <c r="AA18" s="1397"/>
      <c r="AB18" s="1396"/>
      <c r="AF18" s="1397"/>
      <c r="AH18" s="1397"/>
      <c r="AI18" s="1396"/>
      <c r="AL18" s="517"/>
      <c r="AM18" s="517"/>
      <c r="AN18" s="517"/>
      <c r="AO18" s="517"/>
      <c r="AP18" s="517"/>
    </row>
    <row s="3292" customFormat="1" customHeight="1" ht="14.25" hidden="1">
      <c r="L19" s="1508"/>
      <c r="M19" s="1392"/>
      <c r="N19" s="1392"/>
      <c r="O19" s="1392"/>
      <c r="P19" s="1392"/>
      <c r="Q19" s="1401"/>
      <c r="R19" s="1401"/>
      <c r="S19" s="735"/>
      <c r="AB19" s="1396"/>
      <c r="AI19" s="1396"/>
      <c r="AL19" s="517"/>
      <c r="AM19" s="517"/>
      <c r="AN19" s="517"/>
      <c r="AO19" s="517"/>
      <c r="AP19" s="517"/>
    </row>
    <row s="3292" customFormat="1" customHeight="1" ht="12" hidden="1">
      <c r="L20" s="1508"/>
      <c r="M20" s="1392"/>
      <c r="N20" s="1392"/>
      <c r="O20" s="1394" t="s">
        <v>410</v>
      </c>
      <c r="P20" s="1392"/>
      <c r="Q20" s="1472"/>
      <c r="R20" s="1472"/>
      <c r="S20" s="735"/>
      <c r="T20" s="1168" t="s">
        <v>411</v>
      </c>
      <c r="Z20" s="172" t="s">
        <v>412</v>
      </c>
      <c r="AB20" s="172" t="s">
        <v>413</v>
      </c>
      <c r="AC20" s="1168" t="s">
        <v>411</v>
      </c>
      <c r="AG20" s="172" t="s">
        <v>414</v>
      </c>
      <c r="AI20" s="172" t="s">
        <v>413</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ЗАО "Байкалэнерго"</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305" customFormat="1" customHeight="1" ht="25.5">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Служба по тарифам Иркутской области</v>
      </c>
      <c r="W27" s="2100"/>
      <c r="X27" s="2100"/>
      <c r="Y27" s="2100"/>
      <c r="Z27" s="2100"/>
      <c r="AA27" s="2100"/>
      <c r="AB27" s="322"/>
      <c r="AC27" s="2100" t="str">
        <f>IF(TITLE_NAME_OR_PR_CHANGE="",IF(TITLE_NAME_OR_PR="","",TITLE_NAME_OR_PR),TITLE_NAME_OR_PR_CHANGE)</f>
        <v>Служба по тарифам Иркутской области</v>
      </c>
      <c r="AD27" s="2100"/>
      <c r="AE27" s="2100"/>
      <c r="AF27" s="2100"/>
      <c r="AG27" s="2100"/>
      <c r="AH27" s="2100"/>
      <c r="AI27" s="322"/>
      <c r="AJ27" s="322"/>
      <c r="AK27" s="268"/>
      <c r="AL27" s="368"/>
      <c r="AM27" s="368"/>
      <c r="AN27" s="368"/>
      <c r="AO27" s="368"/>
      <c r="AP27" s="368"/>
    </row>
    <row s="3305" customFormat="1" customHeight="1" ht="18.75">
      <c r="A28" s="1398"/>
      <c r="B28" s="1398"/>
      <c r="C28" s="1398"/>
      <c r="D28" s="1398"/>
      <c r="E28" s="1398"/>
      <c r="F28" s="1398"/>
      <c r="G28" s="1398"/>
      <c r="H28" s="1398"/>
      <c r="I28" s="1398"/>
      <c r="J28" s="1398"/>
      <c r="K28" s="1398"/>
      <c r="L28" s="1399"/>
      <c r="M28" s="1398"/>
      <c r="N28" s="1398"/>
      <c r="O28" s="1398"/>
      <c r="S28" s="2098" t="s">
        <v>415</v>
      </c>
      <c r="T28" s="2098"/>
      <c r="U28" s="1402"/>
      <c r="V28" s="2099" t="str">
        <f>IF(TITLE_DATE_PR_CHANGE="",IF(TITLE_DATE_PR="","",TITLE_DATE_PR),TITLE_DATE_PR_CHANGE)</f>
        <v>45280.56123842593</v>
      </c>
      <c r="W28" s="2099"/>
      <c r="X28" s="2099"/>
      <c r="Y28" s="2099"/>
      <c r="Z28" s="2099"/>
      <c r="AA28" s="2099"/>
      <c r="AB28" s="322"/>
      <c r="AC28" s="2099" t="str">
        <f>IF(TITLE_DATE_PR_CHANGE="",IF(TITLE_DATE_PR="","",TITLE_DATE_PR),TITLE_DATE_PR_CHANGE)</f>
        <v>45280.56123842593</v>
      </c>
      <c r="AD28" s="2099"/>
      <c r="AE28" s="2099"/>
      <c r="AF28" s="2099"/>
      <c r="AG28" s="2099"/>
      <c r="AH28" s="2099"/>
      <c r="AI28" s="322"/>
      <c r="AJ28" s="322"/>
      <c r="AK28" s="268"/>
      <c r="AL28" s="368"/>
      <c r="AM28" s="368"/>
      <c r="AN28" s="368"/>
      <c r="AO28" s="368"/>
      <c r="AP28" s="368"/>
    </row>
    <row s="3305" customFormat="1" customHeight="1" ht="18.75">
      <c r="A29" s="1398"/>
      <c r="B29" s="1398"/>
      <c r="C29" s="1398"/>
      <c r="D29" s="1398"/>
      <c r="E29" s="1398"/>
      <c r="F29" s="1398"/>
      <c r="G29" s="1398"/>
      <c r="H29" s="1398"/>
      <c r="I29" s="1398"/>
      <c r="J29" s="1398"/>
      <c r="K29" s="1398"/>
      <c r="L29" s="1399"/>
      <c r="M29" s="1398"/>
      <c r="N29" s="1398"/>
      <c r="O29" s="1398"/>
      <c r="S29" s="2098" t="s">
        <v>416</v>
      </c>
      <c r="T29" s="2098"/>
      <c r="U29" s="1402"/>
      <c r="V29" s="2100" t="str">
        <f>IF(TITLE_NUMBER_PR_CHANGE="",IF(TITLE_NUMBER_PR="","",TITLE_NUMBER_PR),TITLE_NUMBER_PR_CHANGE)</f>
        <v>79-477-спр</v>
      </c>
      <c r="W29" s="2100"/>
      <c r="X29" s="2100"/>
      <c r="Y29" s="2100"/>
      <c r="Z29" s="2100"/>
      <c r="AA29" s="2100"/>
      <c r="AB29" s="322"/>
      <c r="AC29" s="2100" t="str">
        <f>IF(TITLE_NUMBER_PR_CHANGE="",IF(TITLE_NUMBER_PR="","",TITLE_NUMBER_PR),TITLE_NUMBER_PR_CHANGE)</f>
        <v>79-477-спр</v>
      </c>
      <c r="AD29" s="2100"/>
      <c r="AE29" s="2100"/>
      <c r="AF29" s="2100"/>
      <c r="AG29" s="2100"/>
      <c r="AH29" s="2100"/>
      <c r="AI29" s="322"/>
      <c r="AJ29" s="322"/>
      <c r="AK29" s="268"/>
      <c r="AL29" s="368"/>
      <c r="AM29" s="368"/>
      <c r="AN29" s="368"/>
      <c r="AO29" s="368"/>
      <c r="AP29" s="368"/>
    </row>
    <row s="3305" customFormat="1" customHeight="1" ht="18.75">
      <c r="A30" s="1398"/>
      <c r="B30" s="1398"/>
      <c r="C30" s="1398"/>
      <c r="D30" s="1398"/>
      <c r="E30" s="1398"/>
      <c r="F30" s="1398"/>
      <c r="G30" s="1398"/>
      <c r="H30" s="1398"/>
      <c r="I30" s="1398"/>
      <c r="J30" s="1398"/>
      <c r="K30" s="1398"/>
      <c r="L30" s="1399"/>
      <c r="M30" s="1398"/>
      <c r="N30" s="1398"/>
      <c r="O30" s="1398"/>
      <c r="S30" s="2098" t="s">
        <v>40</v>
      </c>
      <c r="T30" s="2098"/>
      <c r="U30" s="1402"/>
      <c r="V30" s="2100" t="str">
        <f>IF(TITLE_IST_PUB_CHANGE="",IF(TITLE_IST_PUB="","",TITLE_IST_PUB),TITLE_IST_PUB_CHANGE)</f>
        <v>Официальный сайт службы по тарифам Иркутской области http://irkobl.ru</v>
      </c>
      <c r="W30" s="2100"/>
      <c r="X30" s="2100"/>
      <c r="Y30" s="2100"/>
      <c r="Z30" s="2100"/>
      <c r="AA30" s="2100"/>
      <c r="AB30" s="322"/>
      <c r="AC30" s="2100" t="str">
        <f>IF(TITLE_IST_PUB_CHANGE="",IF(TITLE_IST_PUB="","",TITLE_IST_PUB),TITLE_IST_PUB_CHANGE)</f>
        <v>Официальный сайт службы по тарифам Иркутской области http://irkobl.ru</v>
      </c>
      <c r="AD30" s="2100"/>
      <c r="AE30" s="2100"/>
      <c r="AF30" s="2100"/>
      <c r="AG30" s="2100"/>
      <c r="AH30" s="2100"/>
      <c r="AI30" s="322"/>
      <c r="AJ30" s="322"/>
      <c r="AK30" s="268"/>
      <c r="AL30" s="368"/>
      <c r="AM30" s="368"/>
      <c r="AN30" s="368"/>
      <c r="AO30" s="368"/>
      <c r="AP30" s="368"/>
    </row>
    <row customHeight="1" ht="14.25" hidden="1">
      <c r="Q31" s="377"/>
      <c r="R31" s="377"/>
      <c r="S31" s="1305"/>
      <c r="T31" s="361"/>
      <c r="U31" s="361"/>
      <c r="V31" s="316"/>
      <c r="W31" s="316"/>
      <c r="X31" s="316"/>
      <c r="Y31" s="316"/>
      <c r="Z31" s="316"/>
      <c r="AA31" s="316"/>
      <c r="AB31" s="316"/>
      <c r="AC31" s="316"/>
      <c r="AD31" s="316"/>
      <c r="AE31" s="316"/>
      <c r="AF31" s="316"/>
      <c r="AG31" s="316"/>
      <c r="AH31" s="316"/>
      <c r="AI31" s="316"/>
      <c r="AJ31" s="515"/>
    </row>
    <row s="3305" customFormat="1" customHeight="1" ht="18.75" hidden="1">
      <c r="A32" s="1398"/>
      <c r="B32" s="1398"/>
      <c r="C32" s="1398"/>
      <c r="D32" s="1398"/>
      <c r="E32" s="1398"/>
      <c r="F32" s="1398"/>
      <c r="G32" s="1398"/>
      <c r="H32" s="1398"/>
      <c r="I32" s="1398"/>
      <c r="J32" s="1398"/>
      <c r="K32" s="1398"/>
      <c r="L32" s="1399"/>
      <c r="M32" s="1398"/>
      <c r="N32" s="1398"/>
      <c r="O32" s="1398"/>
      <c r="S32" s="2098" t="s">
        <v>417</v>
      </c>
      <c r="T32" s="2098"/>
      <c r="U32" s="1402"/>
      <c r="V32" s="2099" t="str">
        <f>IF(TITLE_DATE_PR_CHANGE="",IF(TITLE_DATE_PR="","",TITLE_DATE_PR),TITLE_DATE_PR_CHANGE)</f>
        <v>45280.56123842593</v>
      </c>
      <c r="W32" s="2099"/>
      <c r="X32" s="2099"/>
      <c r="Y32" s="2099"/>
      <c r="Z32" s="2099"/>
      <c r="AA32" s="2099"/>
      <c r="AB32" s="322"/>
      <c r="AC32" s="2099" t="str">
        <f>IF(TITLE_DATE_PR_CHANGE="",IF(TITLE_DATE_PR="","",TITLE_DATE_PR),TITLE_DATE_PR_CHANGE)</f>
        <v>45280.56123842593</v>
      </c>
      <c r="AD32" s="2099"/>
      <c r="AE32" s="2099"/>
      <c r="AF32" s="2099"/>
      <c r="AG32" s="2099"/>
      <c r="AH32" s="2099"/>
      <c r="AI32" s="322"/>
      <c r="AJ32" s="322"/>
      <c r="AK32" s="268"/>
      <c r="AL32" s="368"/>
      <c r="AM32" s="368"/>
      <c r="AN32" s="368"/>
      <c r="AO32" s="368"/>
      <c r="AP32" s="368"/>
    </row>
    <row s="3305" customFormat="1" customHeight="1" ht="18.75" hidden="1">
      <c r="A33" s="1398"/>
      <c r="B33" s="1398"/>
      <c r="C33" s="1398"/>
      <c r="D33" s="1398"/>
      <c r="E33" s="1398"/>
      <c r="F33" s="1398"/>
      <c r="G33" s="1398"/>
      <c r="H33" s="1398"/>
      <c r="I33" s="1398"/>
      <c r="J33" s="1398"/>
      <c r="K33" s="1398"/>
      <c r="L33" s="1399"/>
      <c r="M33" s="1398"/>
      <c r="N33" s="1398"/>
      <c r="O33" s="1398"/>
      <c r="S33" s="2098" t="s">
        <v>418</v>
      </c>
      <c r="T33" s="2098"/>
      <c r="U33" s="1402"/>
      <c r="V33" s="2100" t="str">
        <f>IF(TITLE_NUMBER_PR_CHANGE="",IF(TITLE_NUMBER_PR="","",TITLE_NUMBER_PR),TITLE_NUMBER_PR_CHANGE)</f>
        <v>79-477-спр</v>
      </c>
      <c r="W33" s="2100"/>
      <c r="X33" s="2100"/>
      <c r="Y33" s="2100"/>
      <c r="Z33" s="2100"/>
      <c r="AA33" s="2100"/>
      <c r="AB33" s="322"/>
      <c r="AC33" s="2100" t="str">
        <f>IF(TITLE_NUMBER_PR_CHANGE="",IF(TITLE_NUMBER_PR="","",TITLE_NUMBER_PR),TITLE_NUMBER_PR_CHANGE)</f>
        <v>79-477-спр</v>
      </c>
      <c r="AD33" s="2100"/>
      <c r="AE33" s="2100"/>
      <c r="AF33" s="2100"/>
      <c r="AG33" s="2100"/>
      <c r="AH33" s="2100"/>
      <c r="AI33" s="322"/>
      <c r="AJ33" s="322"/>
      <c r="AK33" s="268"/>
      <c r="AL33" s="368"/>
      <c r="AM33" s="368"/>
      <c r="AN33" s="368"/>
      <c r="AO33" s="368"/>
      <c r="AP33" s="368"/>
    </row>
    <row s="3305" customFormat="1" customHeight="1" ht="0.75">
      <c r="A34" s="1398"/>
      <c r="B34" s="1398"/>
      <c r="C34" s="1398"/>
      <c r="D34" s="1398"/>
      <c r="E34" s="1398"/>
      <c r="F34" s="1398"/>
      <c r="G34" s="1398"/>
      <c r="H34" s="1398"/>
      <c r="I34" s="1398"/>
      <c r="J34" s="1398"/>
      <c r="K34" s="1398"/>
      <c r="L34" s="1399"/>
      <c r="M34" s="1398"/>
      <c r="N34" s="1398"/>
      <c r="O34" s="1398"/>
      <c r="S34" s="318"/>
      <c r="T34" s="318"/>
      <c r="U34" s="1518"/>
      <c r="V34" s="322"/>
      <c r="W34" s="322"/>
      <c r="X34" s="322"/>
      <c r="Y34" s="322"/>
      <c r="Z34" s="322"/>
      <c r="AA34" s="322"/>
      <c r="AB34" s="266" t="s">
        <v>419</v>
      </c>
      <c r="AC34" s="322"/>
      <c r="AD34" s="322"/>
      <c r="AE34" s="322"/>
      <c r="AF34" s="322"/>
      <c r="AG34" s="322"/>
      <c r="AH34" s="322"/>
      <c r="AI34" s="266" t="s">
        <v>419</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293</v>
      </c>
      <c r="T36" s="1971"/>
      <c r="U36" s="1971"/>
      <c r="V36" s="1971"/>
      <c r="W36" s="1971"/>
      <c r="X36" s="1971"/>
      <c r="Y36" s="1971"/>
      <c r="Z36" s="1971"/>
      <c r="AA36" s="1971"/>
      <c r="AB36" s="1971"/>
      <c r="AC36" s="1971"/>
      <c r="AD36" s="1971"/>
      <c r="AE36" s="1971"/>
      <c r="AF36" s="1971"/>
      <c r="AG36" s="1971"/>
      <c r="AH36" s="1971"/>
      <c r="AI36" s="1971"/>
      <c r="AJ36" s="1971"/>
      <c r="AK36" s="1971" t="s">
        <v>294</v>
      </c>
    </row>
    <row customHeight="1" ht="14.25">
      <c r="Q37" s="377"/>
      <c r="R37" s="377"/>
      <c r="S37" s="2125" t="s">
        <v>88</v>
      </c>
      <c r="T37" s="2062" t="s">
        <v>420</v>
      </c>
      <c r="U37" s="289"/>
      <c r="V37" s="2126" t="s">
        <v>421</v>
      </c>
      <c r="W37" s="2127"/>
      <c r="X37" s="2127"/>
      <c r="Y37" s="2127"/>
      <c r="Z37" s="2127"/>
      <c r="AA37" s="2128"/>
      <c r="AB37" s="2129" t="s">
        <v>422</v>
      </c>
      <c r="AC37" s="2126" t="s">
        <v>421</v>
      </c>
      <c r="AD37" s="2127"/>
      <c r="AE37" s="2127"/>
      <c r="AF37" s="2127"/>
      <c r="AG37" s="2127"/>
      <c r="AH37" s="2128"/>
      <c r="AI37" s="2129" t="s">
        <v>423</v>
      </c>
      <c r="AJ37" s="2132" t="s">
        <v>424</v>
      </c>
      <c r="AK37" s="1971"/>
    </row>
    <row customHeight="1" ht="33.75">
      <c r="Q38" s="377"/>
      <c r="R38" s="377"/>
      <c r="S38" s="2125"/>
      <c r="T38" s="2062"/>
      <c r="U38" s="1038"/>
      <c r="V38" s="1513" t="s">
        <v>485</v>
      </c>
      <c r="W38" s="2118" t="s">
        <v>427</v>
      </c>
      <c r="X38" s="2120"/>
      <c r="Y38" s="2118" t="s">
        <v>428</v>
      </c>
      <c r="Z38" s="2119"/>
      <c r="AA38" s="2120"/>
      <c r="AB38" s="2130"/>
      <c r="AC38" s="1513" t="s">
        <v>485</v>
      </c>
      <c r="AD38" s="2118" t="s">
        <v>427</v>
      </c>
      <c r="AE38" s="2120"/>
      <c r="AF38" s="2118" t="s">
        <v>428</v>
      </c>
      <c r="AG38" s="2119"/>
      <c r="AH38" s="2120"/>
      <c r="AI38" s="2130"/>
      <c r="AJ38" s="2133"/>
      <c r="AK38" s="1971"/>
    </row>
    <row customHeight="1" ht="86.25">
      <c r="A39" s="1400"/>
      <c r="B39" s="1400" t="s">
        <v>136</v>
      </c>
      <c r="C39" s="1400" t="s">
        <v>137</v>
      </c>
      <c r="D39" s="1400" t="s">
        <v>138</v>
      </c>
      <c r="E39" s="1394" t="s">
        <v>429</v>
      </c>
      <c r="F39" s="1394" t="s">
        <v>430</v>
      </c>
      <c r="G39" s="1394" t="s">
        <v>431</v>
      </c>
      <c r="H39" s="1394"/>
      <c r="I39" s="1394" t="s">
        <v>486</v>
      </c>
      <c r="J39" s="1394" t="s">
        <v>434</v>
      </c>
      <c r="K39" s="1394" t="s">
        <v>487</v>
      </c>
      <c r="L39" s="1394" t="s">
        <v>410</v>
      </c>
      <c r="Q39" s="377"/>
      <c r="R39" s="377"/>
      <c r="S39" s="2125"/>
      <c r="T39" s="2062"/>
      <c r="U39" s="290"/>
      <c r="V39" s="1513" t="s">
        <v>512</v>
      </c>
      <c r="W39" s="1237" t="s">
        <v>513</v>
      </c>
      <c r="X39" s="1237" t="s">
        <v>490</v>
      </c>
      <c r="Y39" s="1519" t="s">
        <v>438</v>
      </c>
      <c r="Z39" s="2121" t="s">
        <v>439</v>
      </c>
      <c r="AA39" s="2122"/>
      <c r="AB39" s="2131"/>
      <c r="AC39" s="1513" t="s">
        <v>512</v>
      </c>
      <c r="AD39" s="1237" t="s">
        <v>513</v>
      </c>
      <c r="AE39" s="1237" t="s">
        <v>490</v>
      </c>
      <c r="AF39" s="1519" t="s">
        <v>438</v>
      </c>
      <c r="AG39" s="2121" t="s">
        <v>439</v>
      </c>
      <c r="AH39" s="2122"/>
      <c r="AI39" s="2131"/>
      <c r="AJ39" s="2134"/>
      <c r="AK39" s="1971"/>
    </row>
    <row s="2610" customFormat="1" customHeight="1" ht="11.25" hidden="1">
      <c r="A40" s="1400"/>
      <c r="B40" s="1400"/>
      <c r="C40" s="1400"/>
      <c r="D40" s="1400"/>
      <c r="E40" s="1400"/>
      <c r="F40" s="1400"/>
      <c r="G40" s="1400"/>
      <c r="H40" s="1400"/>
      <c r="I40" s="1400"/>
      <c r="J40" s="1400"/>
      <c r="K40" s="1400"/>
      <c r="L40" s="1394"/>
      <c r="M40" s="1392"/>
      <c r="N40" s="1392"/>
      <c r="O40" s="1392"/>
      <c r="P40" s="1264"/>
      <c r="Q40" s="1265"/>
      <c r="R40" s="1280">
        <v>1</v>
      </c>
      <c r="S40" s="1307" t="s">
        <v>110</v>
      </c>
      <c r="T40" s="1281" t="s">
        <v>111</v>
      </c>
      <c r="U40" s="1263" t="str">
        <f>OFFSET(U40,0,-1)</f>
        <v>2</v>
      </c>
      <c r="V40" s="1512">
        <f>OFFSET(V40,0,-1)+1</f>
        <v>3</v>
      </c>
      <c r="W40" s="1512">
        <f>OFFSET(W40,0,-1)+1</f>
        <v>4</v>
      </c>
      <c r="X40" s="1512">
        <f>OFFSET(X40,0,-1)+1</f>
        <v>5</v>
      </c>
      <c r="Y40" s="1512">
        <f>OFFSET(Y40,0,-1)+1</f>
        <v>6</v>
      </c>
      <c r="Z40" s="2123">
        <f>OFFSET(Z40,0,-1)+1</f>
        <v>7</v>
      </c>
      <c r="AA40" s="2123"/>
      <c r="AB40" s="1512">
        <f>OFFSET(AB40,0,-2)+1</f>
        <v>8</v>
      </c>
      <c r="AC40" s="1512">
        <f>OFFSET(AC40,0,-1)+1</f>
        <v>9</v>
      </c>
      <c r="AD40" s="1512">
        <f>OFFSET(AD40,0,-1)+1</f>
        <v>10</v>
      </c>
      <c r="AE40" s="1512">
        <f>OFFSET(AE40,0,-1)+1</f>
        <v>11</v>
      </c>
      <c r="AF40" s="1512">
        <f>OFFSET(AF40,0,-1)+1</f>
        <v>12</v>
      </c>
      <c r="AG40" s="2123">
        <f>OFFSET(AG40,0,-1)+1</f>
        <v>13</v>
      </c>
      <c r="AH40" s="2123"/>
      <c r="AI40" s="1512">
        <f>OFFSET(AI40,0,-2)+1</f>
        <v>14</v>
      </c>
      <c r="AJ40" s="1263">
        <f>OFFSET(AJ40,0,-1)</f>
        <v>14</v>
      </c>
      <c r="AK40" s="1512">
        <f>OFFSET(AK40,0,-1)+1</f>
        <v>15</v>
      </c>
      <c r="AL40" s="517"/>
      <c r="AM40" s="517"/>
      <c r="AN40" s="517"/>
      <c r="AO40" s="517"/>
      <c r="AP40" s="517"/>
    </row>
    <row customHeight="1" ht="23.25">
      <c r="A41" s="1393" t="s">
        <v>259</v>
      </c>
      <c r="B41" s="1393"/>
      <c r="C41" s="1393"/>
      <c r="D41" s="1393"/>
      <c r="E41" s="2107">
        <v>1</v>
      </c>
      <c r="F41" s="1393"/>
      <c r="G41" s="1393"/>
      <c r="H41" s="1393"/>
      <c r="I41" s="1393"/>
      <c r="J41" s="1393"/>
      <c r="K41" s="1393"/>
      <c r="L41" s="1394"/>
      <c r="M41" s="1395"/>
      <c r="N41" s="1395"/>
      <c r="O41" s="1395"/>
      <c r="P41" s="357"/>
      <c r="Q41" s="356"/>
      <c r="R41" s="351"/>
      <c r="S41" s="1523">
        <f>INDEX(PT_DIFFERENTIATION_NUM_NTAR,MATCH(A41,PT_DIFFERENTIATION_NTAR_ID,0))</f>
        <v>0</v>
      </c>
      <c r="T41" s="286" t="s">
        <v>124</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259</v>
      </c>
      <c r="B42" s="1393" t="s">
        <v>260</v>
      </c>
      <c r="C42" s="1393"/>
      <c r="D42" s="1393"/>
      <c r="E42" s="2108"/>
      <c r="F42" s="2107">
        <v>1</v>
      </c>
      <c r="G42" s="1393"/>
      <c r="H42" s="1393"/>
      <c r="I42" s="1393"/>
      <c r="J42" s="1393"/>
      <c r="K42" s="1393"/>
      <c r="L42" s="1394"/>
      <c r="M42" s="1395"/>
      <c r="N42" s="1395"/>
      <c r="O42" s="1395"/>
      <c r="P42" s="1517"/>
      <c r="Q42" s="348"/>
      <c r="R42" s="349"/>
      <c r="S42" s="1523" t="str">
        <f>INDEX(PT_DIFFERENTIATION_NUM_TER,MATCH(B42,PT_DIFFERENTIATION_TER_ID,0))</f>
        <v>.</v>
      </c>
      <c r="T42" s="298" t="s">
        <v>392</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393</v>
      </c>
      <c r="AM42" s="506"/>
      <c r="AN42" s="506" t="str">
        <f>IF(T42="","",T42)</f>
        <v>Территория действия тарифа</v>
      </c>
      <c r="AO42" s="506"/>
      <c r="AP42" s="506"/>
    </row>
    <row customHeight="1" ht="23.25">
      <c r="A43" s="1393" t="s">
        <v>259</v>
      </c>
      <c r="B43" s="1393" t="s">
        <v>260</v>
      </c>
      <c r="C43" s="1393" t="s">
        <v>261</v>
      </c>
      <c r="D43" s="1393"/>
      <c r="E43" s="2108"/>
      <c r="F43" s="2108"/>
      <c r="G43" s="2107">
        <v>1</v>
      </c>
      <c r="H43" s="1393"/>
      <c r="I43" s="1393"/>
      <c r="J43" s="1393"/>
      <c r="K43" s="1393"/>
      <c r="L43" s="1394"/>
      <c r="M43" s="1395"/>
      <c r="N43" s="1395"/>
      <c r="O43" s="1395"/>
      <c r="P43" s="350"/>
      <c r="Q43" s="348"/>
      <c r="R43" s="349"/>
      <c r="S43" s="1523" t="str">
        <f>INDEX(PT_DIFFERENTIATION_NUM_CS,MATCH(C43,PT_DIFFERENTIATION_CS_ID,0))</f>
        <v>..</v>
      </c>
      <c r="T43" s="299" t="s">
        <v>510</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511</v>
      </c>
      <c r="AM43" s="506"/>
      <c r="AN43" s="506" t="str">
        <f>IF(T43="","",T43)</f>
        <v>Наименование централизованной системы водоотведения</v>
      </c>
      <c r="AO43" s="506"/>
      <c r="AP43" s="506"/>
    </row>
    <row customHeight="1" ht="23.25">
      <c r="A44" s="1393" t="s">
        <v>259</v>
      </c>
      <c r="B44" s="1393" t="s">
        <v>260</v>
      </c>
      <c r="C44" s="1393" t="s">
        <v>261</v>
      </c>
      <c r="D44" s="1393" t="s">
        <v>514</v>
      </c>
      <c r="E44" s="2108"/>
      <c r="F44" s="2108"/>
      <c r="G44" s="2108"/>
      <c r="H44" s="2108"/>
      <c r="I44" s="2109" t="str">
        <f>S43&amp;".1"</f>
        <v>...1</v>
      </c>
      <c r="J44" s="1393"/>
      <c r="K44" s="1393"/>
      <c r="L44" s="1394"/>
      <c r="P44" s="2111">
        <v>1</v>
      </c>
      <c r="Q44" s="1511"/>
      <c r="R44" s="352"/>
      <c r="S44" s="1523" t="str">
        <f>$I44</f>
        <v>...1</v>
      </c>
      <c r="T44" s="273" t="s">
        <v>479</v>
      </c>
      <c r="U44" s="288"/>
      <c r="V44" s="2194"/>
      <c r="W44" s="2195"/>
      <c r="X44" s="2195"/>
      <c r="Y44" s="2195"/>
      <c r="Z44" s="2195"/>
      <c r="AA44" s="2195"/>
      <c r="AB44" s="2196"/>
      <c r="AC44" s="2197"/>
      <c r="AD44" s="2198"/>
      <c r="AE44" s="2198"/>
      <c r="AF44" s="2198"/>
      <c r="AG44" s="2198"/>
      <c r="AH44" s="2198"/>
      <c r="AI44" s="2198"/>
      <c r="AJ44" s="2199"/>
      <c r="AK44" s="1286" t="s">
        <v>480</v>
      </c>
      <c r="AM44" s="506"/>
      <c r="AN44" s="506" t="str">
        <f>IF(T44="","",T44)</f>
        <v>Наименование признака дифференциации</v>
      </c>
      <c r="AO44" s="506"/>
      <c r="AP44" s="506"/>
    </row>
    <row customHeight="1" ht="23.25">
      <c r="A45" s="1393" t="s">
        <v>259</v>
      </c>
      <c r="B45" s="1393" t="s">
        <v>260</v>
      </c>
      <c r="C45" s="1393" t="s">
        <v>261</v>
      </c>
      <c r="D45" s="1393" t="s">
        <v>514</v>
      </c>
      <c r="E45" s="2108"/>
      <c r="F45" s="2108"/>
      <c r="G45" s="2108"/>
      <c r="H45" s="2108"/>
      <c r="I45" s="2110"/>
      <c r="J45" s="2109" t="str">
        <f>I44&amp;".1"</f>
        <v>...1.1</v>
      </c>
      <c r="K45" s="1393"/>
      <c r="L45" s="1394" t="s">
        <v>401</v>
      </c>
      <c r="P45" s="2111"/>
      <c r="Q45" s="2111">
        <v>1</v>
      </c>
      <c r="R45" s="353"/>
      <c r="S45" s="1523" t="str">
        <f>$J45</f>
        <v>...1.1</v>
      </c>
      <c r="T45" s="274" t="s">
        <v>402</v>
      </c>
      <c r="U45" s="288"/>
      <c r="V45" s="2095"/>
      <c r="W45" s="2096"/>
      <c r="X45" s="2096"/>
      <c r="Y45" s="2096"/>
      <c r="Z45" s="2096"/>
      <c r="AA45" s="2096"/>
      <c r="AB45" s="2097"/>
      <c r="AC45" s="2095"/>
      <c r="AD45" s="2096"/>
      <c r="AE45" s="2096"/>
      <c r="AF45" s="2096"/>
      <c r="AG45" s="2096"/>
      <c r="AH45" s="2096"/>
      <c r="AI45" s="2096"/>
      <c r="AJ45" s="2097"/>
      <c r="AK45" s="1337" t="s">
        <v>481</v>
      </c>
      <c r="AM45" s="506"/>
      <c r="AN45" s="506" t="str">
        <f>IF(T45="","",T45)</f>
        <v>Группа потребителей</v>
      </c>
      <c r="AO45" s="506"/>
      <c r="AP45" s="506"/>
    </row>
    <row customHeight="1" ht="23.25">
      <c r="A46" s="1393" t="s">
        <v>259</v>
      </c>
      <c r="B46" s="1393" t="s">
        <v>260</v>
      </c>
      <c r="C46" s="1393" t="s">
        <v>261</v>
      </c>
      <c r="D46" s="1393" t="s">
        <v>514</v>
      </c>
      <c r="E46" s="2108"/>
      <c r="F46" s="2108"/>
      <c r="G46" s="2108"/>
      <c r="H46" s="2108"/>
      <c r="I46" s="2110"/>
      <c r="J46" s="2110"/>
      <c r="K46" s="2109" t="str">
        <f>J45&amp;".1"</f>
        <v>...1.1.1</v>
      </c>
      <c r="L46" s="1394"/>
      <c r="P46" s="2111"/>
      <c r="Q46" s="2111"/>
      <c r="R46" s="353">
        <v>1</v>
      </c>
      <c r="S46" s="1523" t="str">
        <f>$K46</f>
        <v>...1.1.1</v>
      </c>
      <c r="T46" s="1467"/>
      <c r="U46" s="288"/>
      <c r="V46" s="1390"/>
      <c r="W46" s="1390"/>
      <c r="X46" s="1391"/>
      <c r="Y46" s="2105"/>
      <c r="Z46" s="2104" t="s">
        <v>62</v>
      </c>
      <c r="AA46" s="2105"/>
      <c r="AB46" s="2104" t="s">
        <v>62</v>
      </c>
      <c r="AC46" s="757"/>
      <c r="AD46" s="757"/>
      <c r="AE46" s="1285"/>
      <c r="AF46" s="2112"/>
      <c r="AG46" s="1981" t="s">
        <v>62</v>
      </c>
      <c r="AH46" s="2114"/>
      <c r="AI46" s="1981" t="s">
        <v>57</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259</v>
      </c>
      <c r="B47" s="1393" t="s">
        <v>260</v>
      </c>
      <c r="C47" s="1393" t="s">
        <v>261</v>
      </c>
      <c r="D47" s="1393" t="s">
        <v>514</v>
      </c>
      <c r="E47" s="2108"/>
      <c r="F47" s="2108"/>
      <c r="G47" s="2108"/>
      <c r="H47" s="2108"/>
      <c r="I47" s="2110"/>
      <c r="J47" s="2110"/>
      <c r="K47" s="2109"/>
      <c r="L47" s="1394"/>
      <c r="P47" s="2111"/>
      <c r="Q47" s="2111"/>
      <c r="R47" s="353"/>
      <c r="S47" s="1520"/>
      <c r="T47" s="288"/>
      <c r="U47" s="288"/>
      <c r="V47" s="1390"/>
      <c r="W47" s="1390"/>
      <c r="X47" s="324" t="str">
        <f>Y46&amp;"-"&amp;AA46</f>
        <v>-</v>
      </c>
      <c r="Y47" s="2104"/>
      <c r="Z47" s="2104"/>
      <c r="AA47" s="2104"/>
      <c r="AB47" s="2104"/>
      <c r="AC47" s="320"/>
      <c r="AD47" s="320"/>
      <c r="AE47" s="324" t="str">
        <f>AF46&amp;"-"&amp;AH46</f>
        <v>-</v>
      </c>
      <c r="AF47" s="2113"/>
      <c r="AG47" s="1981"/>
      <c r="AH47" s="2115"/>
      <c r="AI47" s="1981"/>
      <c r="AJ47" s="1469"/>
      <c r="AK47" s="2200"/>
      <c r="AM47" s="506"/>
      <c r="AN47" s="506" t="str">
        <f>IF(T47="","",T47)</f>
        <v/>
      </c>
      <c r="AO47" s="506"/>
      <c r="AP47" s="506"/>
    </row>
    <row customHeight="1" ht="21">
      <c r="A48" s="1393" t="s">
        <v>259</v>
      </c>
      <c r="B48" s="1393" t="s">
        <v>260</v>
      </c>
      <c r="C48" s="1393" t="s">
        <v>261</v>
      </c>
      <c r="D48" s="1393" t="s">
        <v>514</v>
      </c>
      <c r="E48" s="2108"/>
      <c r="F48" s="2108"/>
      <c r="G48" s="2108"/>
      <c r="H48" s="2108"/>
      <c r="I48" s="2110"/>
      <c r="J48" s="2109"/>
      <c r="K48" s="1393"/>
      <c r="L48" s="1394"/>
      <c r="P48" s="2111"/>
      <c r="Q48" s="2111"/>
      <c r="R48" s="352"/>
      <c r="S48" s="1308"/>
      <c r="T48" s="275" t="s">
        <v>482</v>
      </c>
      <c r="U48" s="367"/>
      <c r="V48" s="367"/>
      <c r="W48" s="367"/>
      <c r="X48" s="367"/>
      <c r="Y48" s="367"/>
      <c r="Z48" s="367"/>
      <c r="AA48" s="367"/>
      <c r="AB48" s="367"/>
      <c r="AC48" s="367"/>
      <c r="AD48" s="367"/>
      <c r="AE48" s="367"/>
      <c r="AF48" s="367"/>
      <c r="AG48" s="367"/>
      <c r="AH48" s="367"/>
      <c r="AI48" s="367"/>
      <c r="AJ48" s="367"/>
      <c r="AK48" s="1286" t="s">
        <v>483</v>
      </c>
      <c r="AM48" s="506"/>
      <c r="AN48" s="506" t="str">
        <f>IF(T48="","",T48)</f>
        <v>Добавить значение признака дифференциации</v>
      </c>
      <c r="AO48" s="506"/>
      <c r="AP48" s="506"/>
    </row>
    <row customHeight="1" ht="21">
      <c r="A49" s="1393" t="s">
        <v>259</v>
      </c>
      <c r="B49" s="1393" t="s">
        <v>260</v>
      </c>
      <c r="C49" s="1393" t="s">
        <v>261</v>
      </c>
      <c r="D49" s="1393" t="s">
        <v>514</v>
      </c>
      <c r="E49" s="2108"/>
      <c r="F49" s="2108"/>
      <c r="G49" s="2108"/>
      <c r="H49" s="2108"/>
      <c r="I49" s="2109"/>
      <c r="J49" s="1393"/>
      <c r="K49" s="1393"/>
      <c r="L49" s="1394"/>
      <c r="P49" s="2111"/>
      <c r="Q49" s="1511"/>
      <c r="R49" s="352"/>
      <c r="S49" s="1308"/>
      <c r="T49" s="364" t="s">
        <v>407</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259</v>
      </c>
      <c r="B50" s="1393" t="s">
        <v>260</v>
      </c>
      <c r="C50" s="1393" t="s">
        <v>261</v>
      </c>
      <c r="D50" s="1393" t="s">
        <v>514</v>
      </c>
      <c r="E50" s="2108"/>
      <c r="F50" s="2108"/>
      <c r="G50" s="2108"/>
      <c r="H50" s="2107"/>
      <c r="I50" s="1393"/>
      <c r="J50" s="1393"/>
      <c r="K50" s="1393"/>
      <c r="L50" s="1394"/>
      <c r="M50" s="1395"/>
      <c r="N50" s="1395"/>
      <c r="O50" s="543"/>
      <c r="P50" s="356"/>
      <c r="Q50" s="376"/>
      <c r="R50" s="351"/>
      <c r="S50" s="1308"/>
      <c r="T50" s="372" t="s">
        <v>484</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73" customFormat="1" customHeight="1" ht="0">
      <c r="A51" s="1373" t="s">
        <v>259</v>
      </c>
      <c r="B51" s="1373" t="s">
        <v>260</v>
      </c>
      <c r="C51" s="1344"/>
      <c r="D51" s="1344"/>
      <c r="E51" s="2108"/>
      <c r="F51" s="2107"/>
      <c r="G51" s="1344"/>
      <c r="H51" s="1344"/>
      <c r="I51" s="1344"/>
      <c r="J51" s="1344"/>
      <c r="K51" s="1344"/>
      <c r="L51" s="1524"/>
      <c r="M51" s="1351"/>
      <c r="N51" s="1351"/>
      <c r="P51" s="1346"/>
      <c r="Q51" s="1347"/>
      <c r="R51" s="1346"/>
      <c r="S51" s="1352"/>
      <c r="T51" s="1355" t="s">
        <v>182</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1" customFormat="1" customHeight="1" ht="0">
      <c r="A52" s="1373" t="s">
        <v>259</v>
      </c>
      <c r="B52" s="1373"/>
      <c r="C52" s="1373"/>
      <c r="D52" s="1373"/>
      <c r="E52" s="2107"/>
      <c r="F52" s="1373"/>
      <c r="G52" s="1373"/>
      <c r="H52" s="1373"/>
      <c r="I52" s="1373"/>
      <c r="J52" s="1373"/>
      <c r="K52" s="1373"/>
      <c r="L52" s="1376"/>
      <c r="M52" s="1351"/>
      <c r="N52" s="1351"/>
      <c r="O52" s="524"/>
      <c r="P52" s="385"/>
      <c r="Q52" s="1374"/>
      <c r="R52" s="385"/>
      <c r="S52" s="1352"/>
      <c r="T52" s="1355" t="s">
        <v>183</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73" customFormat="1" customHeight="1" ht="0">
      <c r="A53" s="1344"/>
      <c r="B53" s="1344"/>
      <c r="C53" s="1344"/>
      <c r="D53" s="1344"/>
      <c r="E53" s="1373"/>
      <c r="F53" s="1344"/>
      <c r="G53" s="1344"/>
      <c r="H53" s="1344"/>
      <c r="I53" s="1344"/>
      <c r="J53" s="1344"/>
      <c r="K53" s="1344"/>
      <c r="L53" s="1524"/>
      <c r="M53" s="1351"/>
      <c r="N53" s="1351"/>
      <c r="P53" s="1346"/>
      <c r="Q53" s="1347"/>
      <c r="R53" s="1346"/>
      <c r="S53" s="1352"/>
      <c r="T53" s="1355" t="s">
        <v>184</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94E8FD4-508A-3B18-8A9D-A9110F24D333}"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92" width="10.57421875" hidden="1"/>
    <col min="2" max="2" style="3292" width="11.00390625" hidden="1" customWidth="1"/>
    <col min="3" max="3" style="3292" width="10.57421875" hidden="1"/>
    <col min="4" max="4" style="3292" width="11.8515625" hidden="1" customWidth="1"/>
    <col min="5" max="5" style="3292" width="10.00390625" hidden="1" customWidth="1"/>
    <col min="6" max="6" style="3292" width="8.7109375" hidden="1" customWidth="1"/>
    <col min="7" max="7" style="3292" width="7.57421875" hidden="1" customWidth="1"/>
    <col min="8" max="8" style="3292" width="11.421875" hidden="1" customWidth="1"/>
    <col min="9" max="9" style="3292" width="14.140625" hidden="1" customWidth="1"/>
    <col min="10" max="10" style="3292" width="9.8515625" hidden="1" customWidth="1"/>
    <col min="11" max="11" style="3292" width="14.7109375" hidden="1" customWidth="1"/>
    <col min="12" max="12" style="3823" width="19.140625" hidden="1" customWidth="1"/>
    <col min="13" max="14" style="3294" width="12.28125" hidden="1" customWidth="1"/>
    <col min="15" max="15" style="3294" width="23.421875" hidden="1" customWidth="1"/>
    <col min="16" max="16" style="3828" width="3.7109375" customWidth="1"/>
    <col min="17" max="18" style="3371" width="3.7109375" customWidth="1"/>
    <col min="19" max="19" style="3372" width="12.7109375" customWidth="1"/>
    <col min="20" max="20" style="2939" width="35.7109375" customWidth="1"/>
    <col min="21" max="21" style="2939" width="0.140625" customWidth="1"/>
    <col min="22" max="24" style="2939" width="24.7109375" hidden="1" customWidth="1"/>
    <col min="25" max="25" style="2939" width="11.7109375" hidden="1" customWidth="1"/>
    <col min="26" max="26" style="2939" width="3.7109375" hidden="1" customWidth="1"/>
    <col min="27" max="27" style="2939" width="11.7109375" hidden="1" customWidth="1"/>
    <col min="28" max="28" style="2939" width="8.57421875" hidden="1" customWidth="1"/>
    <col min="29" max="31" style="2939" width="24.7109375" customWidth="1"/>
    <col min="32" max="32" style="2939" width="11.7109375" customWidth="1"/>
    <col min="33" max="33" style="2939" width="3.7109375" customWidth="1"/>
    <col min="34" max="34" style="2939" width="11.7109375" customWidth="1"/>
    <col min="35" max="35" style="2939" width="8.57421875" hidden="1" customWidth="1"/>
    <col min="36" max="36" style="2939" width="4.7109375" customWidth="1"/>
    <col min="37" max="37" style="2939" width="115.7109375" customWidth="1"/>
    <col min="38" max="39" style="2611" width="10.57421875"/>
    <col min="40" max="40" style="2611" width="11.140625" customWidth="1"/>
    <col min="41" max="42" style="2611"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523">
        <f>INDEX(PT_DIFFERENTIATION_NUM_NTAR,MATCH(A2,PT_DIFFERENTIATION_NTAR_ID,0))</f>
      </c>
      <c r="T2" s="286" t="s">
        <v>124</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517"/>
      <c r="Q3" s="348"/>
      <c r="R3" s="349"/>
      <c r="S3" s="1523">
        <f>INDEX(PT_DIFFERENTIATION_NUM_TER,MATCH(B3,PT_DIFFERENTIATION_TER_ID,0))</f>
      </c>
      <c r="T3" s="298" t="s">
        <v>392</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393</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523">
        <f>INDEX(PT_DIFFERENTIATION_NUM_CS,MATCH(C4,PT_DIFFERENTIATION_CS_ID,0))</f>
      </c>
      <c r="T4" s="299" t="s">
        <v>510</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511</v>
      </c>
      <c r="AM4" s="506"/>
      <c r="AN4" s="506" t="str">
        <f>IF(T4="","",T4)</f>
        <v>Наименование централизованной системы водоотведения</v>
      </c>
      <c r="AO4" s="506"/>
      <c r="AP4" s="506"/>
    </row>
    <row customHeight="1" ht="23.25" hidden="1">
      <c r="A5" s="1393"/>
      <c r="B5" s="1393"/>
      <c r="C5" s="1393"/>
      <c r="D5" s="1393"/>
      <c r="E5" s="2108"/>
      <c r="F5" s="2108"/>
      <c r="G5" s="2108"/>
      <c r="H5" s="2108"/>
      <c r="I5" s="2109">
        <f>S4&amp;".1"</f>
      </c>
      <c r="J5" s="1393"/>
      <c r="K5" s="1393"/>
      <c r="L5" s="1394"/>
      <c r="P5" s="2111">
        <v>1</v>
      </c>
      <c r="Q5" s="1511"/>
      <c r="R5" s="352"/>
      <c r="S5" s="1523">
        <f>$I5</f>
      </c>
      <c r="T5" s="273" t="s">
        <v>479</v>
      </c>
      <c r="U5" s="288"/>
      <c r="V5" s="2194"/>
      <c r="W5" s="2195"/>
      <c r="X5" s="2195"/>
      <c r="Y5" s="2195"/>
      <c r="Z5" s="2195"/>
      <c r="AA5" s="2195"/>
      <c r="AB5" s="2196"/>
      <c r="AC5" s="2197"/>
      <c r="AD5" s="2198"/>
      <c r="AE5" s="2198"/>
      <c r="AF5" s="2198"/>
      <c r="AG5" s="2198"/>
      <c r="AH5" s="2198"/>
      <c r="AI5" s="2198"/>
      <c r="AJ5" s="2199"/>
      <c r="AK5" s="1286" t="s">
        <v>480</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401</v>
      </c>
      <c r="P6" s="2111"/>
      <c r="Q6" s="2111">
        <v>1</v>
      </c>
      <c r="R6" s="353"/>
      <c r="S6" s="1523">
        <f>$J6</f>
      </c>
      <c r="T6" s="274" t="s">
        <v>402</v>
      </c>
      <c r="U6" s="288"/>
      <c r="V6" s="2095"/>
      <c r="W6" s="2096"/>
      <c r="X6" s="2096"/>
      <c r="Y6" s="2096"/>
      <c r="Z6" s="2096"/>
      <c r="AA6" s="2096"/>
      <c r="AB6" s="2097"/>
      <c r="AC6" s="2095"/>
      <c r="AD6" s="2096"/>
      <c r="AE6" s="2096"/>
      <c r="AF6" s="2096"/>
      <c r="AG6" s="2096"/>
      <c r="AH6" s="2096"/>
      <c r="AI6" s="2096"/>
      <c r="AJ6" s="2097"/>
      <c r="AK6" s="1337" t="s">
        <v>481</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523">
        <f>$K7</f>
      </c>
      <c r="T7" s="1467"/>
      <c r="U7" s="288"/>
      <c r="V7" s="757"/>
      <c r="W7" s="757"/>
      <c r="X7" s="1285"/>
      <c r="Y7" s="2112"/>
      <c r="Z7" s="1981" t="s">
        <v>62</v>
      </c>
      <c r="AA7" s="2112"/>
      <c r="AB7" s="1981" t="s">
        <v>62</v>
      </c>
      <c r="AC7" s="757"/>
      <c r="AD7" s="757"/>
      <c r="AE7" s="1285"/>
      <c r="AF7" s="2112"/>
      <c r="AG7" s="1981" t="s">
        <v>62</v>
      </c>
      <c r="AH7" s="2114"/>
      <c r="AI7" s="1981" t="s">
        <v>62</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520"/>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482</v>
      </c>
      <c r="U9" s="367"/>
      <c r="V9" s="367"/>
      <c r="W9" s="367"/>
      <c r="X9" s="367"/>
      <c r="Y9" s="367"/>
      <c r="Z9" s="367"/>
      <c r="AA9" s="367"/>
      <c r="AB9" s="367"/>
      <c r="AC9" s="367"/>
      <c r="AD9" s="367"/>
      <c r="AE9" s="367"/>
      <c r="AF9" s="367"/>
      <c r="AG9" s="367"/>
      <c r="AH9" s="367"/>
      <c r="AI9" s="367"/>
      <c r="AJ9" s="367"/>
      <c r="AK9" s="1286" t="s">
        <v>483</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511"/>
      <c r="R10" s="352"/>
      <c r="S10" s="1308"/>
      <c r="T10" s="364" t="s">
        <v>407</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484</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73" customFormat="1" customHeight="1" ht="14.25" hidden="1">
      <c r="A12" s="1373"/>
      <c r="B12" s="1373"/>
      <c r="C12" s="1344"/>
      <c r="D12" s="1344"/>
      <c r="E12" s="2108"/>
      <c r="F12" s="2107"/>
      <c r="G12" s="1344"/>
      <c r="H12" s="1344"/>
      <c r="I12" s="1344"/>
      <c r="J12" s="1344"/>
      <c r="K12" s="1344"/>
      <c r="L12" s="1524"/>
      <c r="M12" s="1351"/>
      <c r="N12" s="1351"/>
      <c r="P12" s="1346"/>
      <c r="Q12" s="1347"/>
      <c r="R12" s="1346"/>
      <c r="S12" s="1352"/>
      <c r="T12" s="1355" t="s">
        <v>182</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1"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183</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62</v>
      </c>
      <c r="AH15" s="2105"/>
      <c r="AI15" s="2104" t="s">
        <v>62</v>
      </c>
    </row>
    <row customHeight="1" ht="14.25" hidden="1">
      <c r="AC16" s="1390"/>
      <c r="AD16" s="1390"/>
      <c r="AE16" s="324" t="str">
        <f>AF15&amp;"-"&amp;AH15</f>
        <v>-</v>
      </c>
      <c r="AF16" s="2104"/>
      <c r="AG16" s="2104"/>
      <c r="AH16" s="2104"/>
      <c r="AI16" s="2104"/>
    </row>
    <row customHeight="1" ht="14.25" hidden="1">
      <c r="AI17" s="323"/>
    </row>
    <row s="3292" customFormat="1" customHeight="1" ht="22.5" hidden="1">
      <c r="L18" s="1508"/>
      <c r="M18" s="1392"/>
      <c r="N18" s="1392"/>
      <c r="O18" s="1397" t="s">
        <v>409</v>
      </c>
      <c r="P18" s="1392"/>
      <c r="Q18" s="1401"/>
      <c r="R18" s="1401"/>
      <c r="S18" s="735"/>
      <c r="Y18" s="1397"/>
      <c r="AA18" s="1397"/>
      <c r="AB18" s="1396"/>
      <c r="AF18" s="1397"/>
      <c r="AH18" s="1397"/>
      <c r="AI18" s="1396"/>
      <c r="AL18" s="517"/>
      <c r="AM18" s="517"/>
      <c r="AN18" s="517"/>
      <c r="AO18" s="517"/>
      <c r="AP18" s="517"/>
    </row>
    <row s="3292" customFormat="1" customHeight="1" ht="14.25" hidden="1">
      <c r="L19" s="1508"/>
      <c r="M19" s="1392"/>
      <c r="N19" s="1392"/>
      <c r="O19" s="1392"/>
      <c r="P19" s="1392"/>
      <c r="Q19" s="1401"/>
      <c r="R19" s="1401"/>
      <c r="S19" s="735"/>
      <c r="AB19" s="1396"/>
      <c r="AI19" s="1396"/>
      <c r="AL19" s="517"/>
      <c r="AM19" s="517"/>
      <c r="AN19" s="517"/>
      <c r="AO19" s="517"/>
      <c r="AP19" s="517"/>
    </row>
    <row s="3292" customFormat="1" customHeight="1" ht="12" hidden="1">
      <c r="L20" s="1508"/>
      <c r="M20" s="1392"/>
      <c r="N20" s="1392"/>
      <c r="O20" s="1394" t="s">
        <v>410</v>
      </c>
      <c r="P20" s="1392"/>
      <c r="Q20" s="1472"/>
      <c r="R20" s="1472"/>
      <c r="S20" s="735"/>
      <c r="T20" s="1168" t="s">
        <v>411</v>
      </c>
      <c r="Z20" s="172" t="s">
        <v>412</v>
      </c>
      <c r="AB20" s="172" t="s">
        <v>413</v>
      </c>
      <c r="AC20" s="1168" t="s">
        <v>411</v>
      </c>
      <c r="AG20" s="172" t="s">
        <v>414</v>
      </c>
      <c r="AI20" s="172" t="s">
        <v>413</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ЗАО "Байкалэнерго"</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305" customFormat="1" customHeight="1" ht="25.5">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Служба по тарифам Иркутской области</v>
      </c>
      <c r="W27" s="2100"/>
      <c r="X27" s="2100"/>
      <c r="Y27" s="2100"/>
      <c r="Z27" s="2100"/>
      <c r="AA27" s="2100"/>
      <c r="AB27" s="322"/>
      <c r="AC27" s="2100" t="str">
        <f>IF(TITLE_NAME_OR_PR_CHANGE="",IF(TITLE_NAME_OR_PR="","",TITLE_NAME_OR_PR),TITLE_NAME_OR_PR_CHANGE)</f>
        <v>Служба по тарифам Иркутской области</v>
      </c>
      <c r="AD27" s="2100"/>
      <c r="AE27" s="2100"/>
      <c r="AF27" s="2100"/>
      <c r="AG27" s="2100"/>
      <c r="AH27" s="2100"/>
      <c r="AI27" s="322"/>
      <c r="AJ27" s="322"/>
      <c r="AK27" s="268"/>
      <c r="AL27" s="368"/>
      <c r="AM27" s="368"/>
      <c r="AN27" s="368"/>
      <c r="AO27" s="368"/>
      <c r="AP27" s="368"/>
    </row>
    <row s="3305" customFormat="1" customHeight="1" ht="18.75">
      <c r="A28" s="1398"/>
      <c r="B28" s="1398"/>
      <c r="C28" s="1398"/>
      <c r="D28" s="1398"/>
      <c r="E28" s="1398"/>
      <c r="F28" s="1398"/>
      <c r="G28" s="1398"/>
      <c r="H28" s="1398"/>
      <c r="I28" s="1398"/>
      <c r="J28" s="1398"/>
      <c r="K28" s="1398"/>
      <c r="L28" s="1399"/>
      <c r="M28" s="1398"/>
      <c r="N28" s="1398"/>
      <c r="O28" s="1398"/>
      <c r="S28" s="2098" t="s">
        <v>415</v>
      </c>
      <c r="T28" s="2098"/>
      <c r="U28" s="1402"/>
      <c r="V28" s="2099" t="str">
        <f>IF(TITLE_DATE_PR_CHANGE="",IF(TITLE_DATE_PR="","",TITLE_DATE_PR),TITLE_DATE_PR_CHANGE)</f>
        <v>45280.56123842593</v>
      </c>
      <c r="W28" s="2099"/>
      <c r="X28" s="2099"/>
      <c r="Y28" s="2099"/>
      <c r="Z28" s="2099"/>
      <c r="AA28" s="2099"/>
      <c r="AB28" s="322"/>
      <c r="AC28" s="2099" t="str">
        <f>IF(TITLE_DATE_PR_CHANGE="",IF(TITLE_DATE_PR="","",TITLE_DATE_PR),TITLE_DATE_PR_CHANGE)</f>
        <v>45280.56123842593</v>
      </c>
      <c r="AD28" s="2099"/>
      <c r="AE28" s="2099"/>
      <c r="AF28" s="2099"/>
      <c r="AG28" s="2099"/>
      <c r="AH28" s="2099"/>
      <c r="AI28" s="322"/>
      <c r="AJ28" s="322"/>
      <c r="AK28" s="268"/>
      <c r="AL28" s="368"/>
      <c r="AM28" s="368"/>
      <c r="AN28" s="368"/>
      <c r="AO28" s="368"/>
      <c r="AP28" s="368"/>
    </row>
    <row s="3305" customFormat="1" customHeight="1" ht="18.75">
      <c r="A29" s="1398"/>
      <c r="B29" s="1398"/>
      <c r="C29" s="1398"/>
      <c r="D29" s="1398"/>
      <c r="E29" s="1398"/>
      <c r="F29" s="1398"/>
      <c r="G29" s="1398"/>
      <c r="H29" s="1398"/>
      <c r="I29" s="1398"/>
      <c r="J29" s="1398"/>
      <c r="K29" s="1398"/>
      <c r="L29" s="1399"/>
      <c r="M29" s="1398"/>
      <c r="N29" s="1398"/>
      <c r="O29" s="1398"/>
      <c r="S29" s="2098" t="s">
        <v>416</v>
      </c>
      <c r="T29" s="2098"/>
      <c r="U29" s="1402"/>
      <c r="V29" s="2100" t="str">
        <f>IF(TITLE_NUMBER_PR_CHANGE="",IF(TITLE_NUMBER_PR="","",TITLE_NUMBER_PR),TITLE_NUMBER_PR_CHANGE)</f>
        <v>79-477-спр</v>
      </c>
      <c r="W29" s="2100"/>
      <c r="X29" s="2100"/>
      <c r="Y29" s="2100"/>
      <c r="Z29" s="2100"/>
      <c r="AA29" s="2100"/>
      <c r="AB29" s="322"/>
      <c r="AC29" s="2100" t="str">
        <f>IF(TITLE_NUMBER_PR_CHANGE="",IF(TITLE_NUMBER_PR="","",TITLE_NUMBER_PR),TITLE_NUMBER_PR_CHANGE)</f>
        <v>79-477-спр</v>
      </c>
      <c r="AD29" s="2100"/>
      <c r="AE29" s="2100"/>
      <c r="AF29" s="2100"/>
      <c r="AG29" s="2100"/>
      <c r="AH29" s="2100"/>
      <c r="AI29" s="322"/>
      <c r="AJ29" s="322"/>
      <c r="AK29" s="268"/>
      <c r="AL29" s="368"/>
      <c r="AM29" s="368"/>
      <c r="AN29" s="368"/>
      <c r="AO29" s="368"/>
      <c r="AP29" s="368"/>
    </row>
    <row s="3305" customFormat="1" customHeight="1" ht="18.75">
      <c r="A30" s="1398"/>
      <c r="B30" s="1398"/>
      <c r="C30" s="1398"/>
      <c r="D30" s="1398"/>
      <c r="E30" s="1398"/>
      <c r="F30" s="1398"/>
      <c r="G30" s="1398"/>
      <c r="H30" s="1398"/>
      <c r="I30" s="1398"/>
      <c r="J30" s="1398"/>
      <c r="K30" s="1398"/>
      <c r="L30" s="1399"/>
      <c r="M30" s="1398"/>
      <c r="N30" s="1398"/>
      <c r="O30" s="1398"/>
      <c r="S30" s="2098" t="s">
        <v>40</v>
      </c>
      <c r="T30" s="2098"/>
      <c r="U30" s="1402"/>
      <c r="V30" s="2100" t="str">
        <f>IF(TITLE_IST_PUB_CHANGE="",IF(TITLE_IST_PUB="","",TITLE_IST_PUB),TITLE_IST_PUB_CHANGE)</f>
        <v>Официальный сайт службы по тарифам Иркутской области http://irkobl.ru</v>
      </c>
      <c r="W30" s="2100"/>
      <c r="X30" s="2100"/>
      <c r="Y30" s="2100"/>
      <c r="Z30" s="2100"/>
      <c r="AA30" s="2100"/>
      <c r="AB30" s="322"/>
      <c r="AC30" s="2100" t="str">
        <f>IF(TITLE_IST_PUB_CHANGE="",IF(TITLE_IST_PUB="","",TITLE_IST_PUB),TITLE_IST_PUB_CHANGE)</f>
        <v>Официальный сайт службы по тарифам Иркутской области http://irkobl.ru</v>
      </c>
      <c r="AD30" s="2100"/>
      <c r="AE30" s="2100"/>
      <c r="AF30" s="2100"/>
      <c r="AG30" s="2100"/>
      <c r="AH30" s="2100"/>
      <c r="AI30" s="322"/>
      <c r="AJ30" s="322"/>
      <c r="AK30" s="268"/>
      <c r="AL30" s="368"/>
      <c r="AM30" s="368"/>
      <c r="AN30" s="368"/>
      <c r="AO30" s="368"/>
      <c r="AP30" s="368"/>
    </row>
    <row customHeight="1" ht="14.25" hidden="1">
      <c r="Q31" s="377"/>
      <c r="R31" s="377"/>
      <c r="S31" s="1305"/>
      <c r="T31" s="361"/>
      <c r="U31" s="361"/>
      <c r="V31" s="316"/>
      <c r="W31" s="316"/>
      <c r="X31" s="316"/>
      <c r="Y31" s="316"/>
      <c r="Z31" s="316"/>
      <c r="AA31" s="316"/>
      <c r="AB31" s="316"/>
      <c r="AC31" s="316"/>
      <c r="AD31" s="316"/>
      <c r="AE31" s="316"/>
      <c r="AF31" s="316"/>
      <c r="AG31" s="316"/>
      <c r="AH31" s="316"/>
      <c r="AI31" s="316"/>
      <c r="AJ31" s="515"/>
    </row>
    <row s="3305" customFormat="1" customHeight="1" ht="18.75" hidden="1">
      <c r="A32" s="1398"/>
      <c r="B32" s="1398"/>
      <c r="C32" s="1398"/>
      <c r="D32" s="1398"/>
      <c r="E32" s="1398"/>
      <c r="F32" s="1398"/>
      <c r="G32" s="1398"/>
      <c r="H32" s="1398"/>
      <c r="I32" s="1398"/>
      <c r="J32" s="1398"/>
      <c r="K32" s="1398"/>
      <c r="L32" s="1399"/>
      <c r="M32" s="1398"/>
      <c r="N32" s="1398"/>
      <c r="O32" s="1398"/>
      <c r="S32" s="2098" t="s">
        <v>417</v>
      </c>
      <c r="T32" s="2098"/>
      <c r="U32" s="1402"/>
      <c r="V32" s="2099" t="str">
        <f>IF(TITLE_DATE_PR_CHANGE="",IF(TITLE_DATE_PR="","",TITLE_DATE_PR),TITLE_DATE_PR_CHANGE)</f>
        <v>45280.56123842593</v>
      </c>
      <c r="W32" s="2099"/>
      <c r="X32" s="2099"/>
      <c r="Y32" s="2099"/>
      <c r="Z32" s="2099"/>
      <c r="AA32" s="2099"/>
      <c r="AB32" s="322"/>
      <c r="AC32" s="2099" t="str">
        <f>IF(TITLE_DATE_PR_CHANGE="",IF(TITLE_DATE_PR="","",TITLE_DATE_PR),TITLE_DATE_PR_CHANGE)</f>
        <v>45280.56123842593</v>
      </c>
      <c r="AD32" s="2099"/>
      <c r="AE32" s="2099"/>
      <c r="AF32" s="2099"/>
      <c r="AG32" s="2099"/>
      <c r="AH32" s="2099"/>
      <c r="AI32" s="322"/>
      <c r="AJ32" s="322"/>
      <c r="AK32" s="268"/>
      <c r="AL32" s="368"/>
      <c r="AM32" s="368"/>
      <c r="AN32" s="368"/>
      <c r="AO32" s="368"/>
      <c r="AP32" s="368"/>
    </row>
    <row s="3305" customFormat="1" customHeight="1" ht="18.75" hidden="1">
      <c r="A33" s="1398"/>
      <c r="B33" s="1398"/>
      <c r="C33" s="1398"/>
      <c r="D33" s="1398"/>
      <c r="E33" s="1398"/>
      <c r="F33" s="1398"/>
      <c r="G33" s="1398"/>
      <c r="H33" s="1398"/>
      <c r="I33" s="1398"/>
      <c r="J33" s="1398"/>
      <c r="K33" s="1398"/>
      <c r="L33" s="1399"/>
      <c r="M33" s="1398"/>
      <c r="N33" s="1398"/>
      <c r="O33" s="1398"/>
      <c r="S33" s="2098" t="s">
        <v>418</v>
      </c>
      <c r="T33" s="2098"/>
      <c r="U33" s="1402"/>
      <c r="V33" s="2100" t="str">
        <f>IF(TITLE_NUMBER_PR_CHANGE="",IF(TITLE_NUMBER_PR="","",TITLE_NUMBER_PR),TITLE_NUMBER_PR_CHANGE)</f>
        <v>79-477-спр</v>
      </c>
      <c r="W33" s="2100"/>
      <c r="X33" s="2100"/>
      <c r="Y33" s="2100"/>
      <c r="Z33" s="2100"/>
      <c r="AA33" s="2100"/>
      <c r="AB33" s="322"/>
      <c r="AC33" s="2100" t="str">
        <f>IF(TITLE_NUMBER_PR_CHANGE="",IF(TITLE_NUMBER_PR="","",TITLE_NUMBER_PR),TITLE_NUMBER_PR_CHANGE)</f>
        <v>79-477-спр</v>
      </c>
      <c r="AD33" s="2100"/>
      <c r="AE33" s="2100"/>
      <c r="AF33" s="2100"/>
      <c r="AG33" s="2100"/>
      <c r="AH33" s="2100"/>
      <c r="AI33" s="322"/>
      <c r="AJ33" s="322"/>
      <c r="AK33" s="268"/>
      <c r="AL33" s="368"/>
      <c r="AM33" s="368"/>
      <c r="AN33" s="368"/>
      <c r="AO33" s="368"/>
      <c r="AP33" s="368"/>
    </row>
    <row s="3305" customFormat="1" customHeight="1" ht="0.75">
      <c r="A34" s="1398"/>
      <c r="B34" s="1398"/>
      <c r="C34" s="1398"/>
      <c r="D34" s="1398"/>
      <c r="E34" s="1398"/>
      <c r="F34" s="1398"/>
      <c r="G34" s="1398"/>
      <c r="H34" s="1398"/>
      <c r="I34" s="1398"/>
      <c r="J34" s="1398"/>
      <c r="K34" s="1398"/>
      <c r="L34" s="1399"/>
      <c r="M34" s="1398"/>
      <c r="N34" s="1398"/>
      <c r="O34" s="1398"/>
      <c r="S34" s="318"/>
      <c r="T34" s="318"/>
      <c r="U34" s="1518"/>
      <c r="V34" s="322"/>
      <c r="W34" s="322"/>
      <c r="X34" s="322"/>
      <c r="Y34" s="322"/>
      <c r="Z34" s="322"/>
      <c r="AA34" s="322"/>
      <c r="AB34" s="266" t="s">
        <v>419</v>
      </c>
      <c r="AC34" s="322"/>
      <c r="AD34" s="322"/>
      <c r="AE34" s="322"/>
      <c r="AF34" s="322"/>
      <c r="AG34" s="322"/>
      <c r="AH34" s="322"/>
      <c r="AI34" s="266" t="s">
        <v>419</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293</v>
      </c>
      <c r="T36" s="1971"/>
      <c r="U36" s="1971"/>
      <c r="V36" s="1971"/>
      <c r="W36" s="1971"/>
      <c r="X36" s="1971"/>
      <c r="Y36" s="1971"/>
      <c r="Z36" s="1971"/>
      <c r="AA36" s="1971"/>
      <c r="AB36" s="1971"/>
      <c r="AC36" s="1971"/>
      <c r="AD36" s="1971"/>
      <c r="AE36" s="1971"/>
      <c r="AF36" s="1971"/>
      <c r="AG36" s="1971"/>
      <c r="AH36" s="1971"/>
      <c r="AI36" s="1971"/>
      <c r="AJ36" s="1971"/>
      <c r="AK36" s="1971" t="s">
        <v>294</v>
      </c>
    </row>
    <row customHeight="1" ht="14.25">
      <c r="Q37" s="377"/>
      <c r="R37" s="377"/>
      <c r="S37" s="2125" t="s">
        <v>88</v>
      </c>
      <c r="T37" s="2062" t="s">
        <v>420</v>
      </c>
      <c r="U37" s="289"/>
      <c r="V37" s="2126" t="s">
        <v>421</v>
      </c>
      <c r="W37" s="2127"/>
      <c r="X37" s="2127"/>
      <c r="Y37" s="2127"/>
      <c r="Z37" s="2127"/>
      <c r="AA37" s="2128"/>
      <c r="AB37" s="2129" t="s">
        <v>422</v>
      </c>
      <c r="AC37" s="2126" t="s">
        <v>421</v>
      </c>
      <c r="AD37" s="2127"/>
      <c r="AE37" s="2127"/>
      <c r="AF37" s="2127"/>
      <c r="AG37" s="2127"/>
      <c r="AH37" s="2128"/>
      <c r="AI37" s="2129" t="s">
        <v>423</v>
      </c>
      <c r="AJ37" s="2132" t="s">
        <v>424</v>
      </c>
      <c r="AK37" s="1971"/>
    </row>
    <row customHeight="1" ht="33.75">
      <c r="Q38" s="377"/>
      <c r="R38" s="377"/>
      <c r="S38" s="2125"/>
      <c r="T38" s="2062"/>
      <c r="U38" s="1038"/>
      <c r="V38" s="1513" t="s">
        <v>485</v>
      </c>
      <c r="W38" s="2118" t="s">
        <v>427</v>
      </c>
      <c r="X38" s="2120"/>
      <c r="Y38" s="2118" t="s">
        <v>428</v>
      </c>
      <c r="Z38" s="2119"/>
      <c r="AA38" s="2120"/>
      <c r="AB38" s="2130"/>
      <c r="AC38" s="1513" t="s">
        <v>485</v>
      </c>
      <c r="AD38" s="2118" t="s">
        <v>427</v>
      </c>
      <c r="AE38" s="2120"/>
      <c r="AF38" s="2118" t="s">
        <v>428</v>
      </c>
      <c r="AG38" s="2119"/>
      <c r="AH38" s="2120"/>
      <c r="AI38" s="2130"/>
      <c r="AJ38" s="2133"/>
      <c r="AK38" s="1971"/>
    </row>
    <row customHeight="1" ht="86.25">
      <c r="A39" s="1400"/>
      <c r="B39" s="1400" t="s">
        <v>136</v>
      </c>
      <c r="C39" s="1400" t="s">
        <v>137</v>
      </c>
      <c r="D39" s="1400" t="s">
        <v>138</v>
      </c>
      <c r="E39" s="1394" t="s">
        <v>429</v>
      </c>
      <c r="F39" s="1394" t="s">
        <v>430</v>
      </c>
      <c r="G39" s="1394" t="s">
        <v>431</v>
      </c>
      <c r="H39" s="1394"/>
      <c r="I39" s="1394" t="s">
        <v>486</v>
      </c>
      <c r="J39" s="1394" t="s">
        <v>434</v>
      </c>
      <c r="K39" s="1394" t="s">
        <v>487</v>
      </c>
      <c r="L39" s="1394" t="s">
        <v>410</v>
      </c>
      <c r="Q39" s="377"/>
      <c r="R39" s="377"/>
      <c r="S39" s="2125"/>
      <c r="T39" s="2062"/>
      <c r="U39" s="290"/>
      <c r="V39" s="1513" t="s">
        <v>512</v>
      </c>
      <c r="W39" s="1237" t="s">
        <v>513</v>
      </c>
      <c r="X39" s="1237" t="s">
        <v>490</v>
      </c>
      <c r="Y39" s="1519" t="s">
        <v>438</v>
      </c>
      <c r="Z39" s="2121" t="s">
        <v>439</v>
      </c>
      <c r="AA39" s="2122"/>
      <c r="AB39" s="2131"/>
      <c r="AC39" s="1513" t="s">
        <v>512</v>
      </c>
      <c r="AD39" s="1237" t="s">
        <v>513</v>
      </c>
      <c r="AE39" s="1237" t="s">
        <v>490</v>
      </c>
      <c r="AF39" s="1519" t="s">
        <v>438</v>
      </c>
      <c r="AG39" s="2121" t="s">
        <v>439</v>
      </c>
      <c r="AH39" s="2122"/>
      <c r="AI39" s="2131"/>
      <c r="AJ39" s="2134"/>
      <c r="AK39" s="1971"/>
    </row>
    <row s="2610" customFormat="1" customHeight="1" ht="0">
      <c r="A40" s="1400"/>
      <c r="B40" s="1400"/>
      <c r="C40" s="1400"/>
      <c r="D40" s="1400"/>
      <c r="E40" s="1400"/>
      <c r="F40" s="1400"/>
      <c r="G40" s="1400"/>
      <c r="H40" s="1400"/>
      <c r="I40" s="1400"/>
      <c r="J40" s="1400"/>
      <c r="K40" s="1400"/>
      <c r="L40" s="1394"/>
      <c r="M40" s="1392"/>
      <c r="N40" s="1392"/>
      <c r="O40" s="1392"/>
      <c r="P40" s="1264"/>
      <c r="Q40" s="1265"/>
      <c r="R40" s="1280">
        <v>1</v>
      </c>
      <c r="S40" s="1307" t="s">
        <v>110</v>
      </c>
      <c r="T40" s="1281" t="s">
        <v>111</v>
      </c>
      <c r="U40" s="1263" t="str">
        <f>OFFSET(U40,0,-1)</f>
        <v>2</v>
      </c>
      <c r="V40" s="1512">
        <f>OFFSET(V40,0,-1)+1</f>
        <v>3</v>
      </c>
      <c r="W40" s="1512">
        <f>OFFSET(W40,0,-1)+1</f>
        <v>4</v>
      </c>
      <c r="X40" s="1512">
        <f>OFFSET(X40,0,-1)+1</f>
        <v>5</v>
      </c>
      <c r="Y40" s="1512">
        <f>OFFSET(Y40,0,-1)+1</f>
        <v>6</v>
      </c>
      <c r="Z40" s="2123">
        <f>OFFSET(Z40,0,-1)+1</f>
        <v>7</v>
      </c>
      <c r="AA40" s="2123"/>
      <c r="AB40" s="1512">
        <f>OFFSET(AB40,0,-2)+1</f>
        <v>8</v>
      </c>
      <c r="AC40" s="1512">
        <f>OFFSET(AC40,0,-1)+1</f>
        <v>9</v>
      </c>
      <c r="AD40" s="1512">
        <f>OFFSET(AD40,0,-1)+1</f>
        <v>10</v>
      </c>
      <c r="AE40" s="1512">
        <f>OFFSET(AE40,0,-1)+1</f>
        <v>11</v>
      </c>
      <c r="AF40" s="1512">
        <f>OFFSET(AF40,0,-1)+1</f>
        <v>12</v>
      </c>
      <c r="AG40" s="2123">
        <f>OFFSET(AG40,0,-1)+1</f>
        <v>13</v>
      </c>
      <c r="AH40" s="2123"/>
      <c r="AI40" s="1512">
        <f>OFFSET(AI40,0,-2)+1</f>
        <v>14</v>
      </c>
      <c r="AJ40" s="1263">
        <f>OFFSET(AJ40,0,-1)</f>
        <v>14</v>
      </c>
      <c r="AK40" s="1512">
        <f>OFFSET(AK40,0,-1)+1</f>
        <v>15</v>
      </c>
      <c r="AL40" s="517"/>
      <c r="AM40" s="517"/>
      <c r="AN40" s="517"/>
      <c r="AO40" s="517"/>
      <c r="AP40" s="517"/>
    </row>
    <row customHeight="1" ht="23.25">
      <c r="A41" s="1393" t="s">
        <v>264</v>
      </c>
      <c r="B41" s="1393"/>
      <c r="C41" s="1393"/>
      <c r="D41" s="1393"/>
      <c r="E41" s="2107">
        <v>1</v>
      </c>
      <c r="F41" s="1393"/>
      <c r="G41" s="1393"/>
      <c r="H41" s="1393"/>
      <c r="I41" s="1393"/>
      <c r="J41" s="1393"/>
      <c r="K41" s="1393"/>
      <c r="L41" s="1394"/>
      <c r="M41" s="1395"/>
      <c r="N41" s="1395"/>
      <c r="O41" s="1395"/>
      <c r="P41" s="357"/>
      <c r="Q41" s="356"/>
      <c r="R41" s="351"/>
      <c r="S41" s="1523">
        <f>INDEX(PT_DIFFERENTIATION_NUM_NTAR,MATCH(A41,PT_DIFFERENTIATION_NTAR_ID,0))</f>
        <v>0</v>
      </c>
      <c r="T41" s="286" t="s">
        <v>124</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264</v>
      </c>
      <c r="B42" s="1393" t="s">
        <v>265</v>
      </c>
      <c r="C42" s="1393"/>
      <c r="D42" s="1393"/>
      <c r="E42" s="2108"/>
      <c r="F42" s="2107">
        <v>1</v>
      </c>
      <c r="G42" s="1393"/>
      <c r="H42" s="1393"/>
      <c r="I42" s="1393"/>
      <c r="J42" s="1393"/>
      <c r="K42" s="1393"/>
      <c r="L42" s="1394"/>
      <c r="M42" s="1395"/>
      <c r="N42" s="1395"/>
      <c r="O42" s="1395"/>
      <c r="P42" s="1517"/>
      <c r="Q42" s="348"/>
      <c r="R42" s="349"/>
      <c r="S42" s="1523" t="str">
        <f>INDEX(PT_DIFFERENTIATION_NUM_TER,MATCH(B42,PT_DIFFERENTIATION_TER_ID,0))</f>
        <v>.</v>
      </c>
      <c r="T42" s="298" t="s">
        <v>392</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393</v>
      </c>
      <c r="AM42" s="506"/>
      <c r="AN42" s="506" t="str">
        <f>IF(T42="","",T42)</f>
        <v>Территория действия тарифа</v>
      </c>
      <c r="AO42" s="506"/>
      <c r="AP42" s="506"/>
    </row>
    <row customHeight="1" ht="23.25">
      <c r="A43" s="1393" t="s">
        <v>264</v>
      </c>
      <c r="B43" s="1393" t="s">
        <v>265</v>
      </c>
      <c r="C43" s="1393" t="s">
        <v>266</v>
      </c>
      <c r="D43" s="1393"/>
      <c r="E43" s="2108"/>
      <c r="F43" s="2108"/>
      <c r="G43" s="2107">
        <v>1</v>
      </c>
      <c r="H43" s="1393"/>
      <c r="I43" s="1393"/>
      <c r="J43" s="1393"/>
      <c r="K43" s="1393"/>
      <c r="L43" s="1394"/>
      <c r="M43" s="1395"/>
      <c r="N43" s="1395"/>
      <c r="O43" s="1395"/>
      <c r="P43" s="350"/>
      <c r="Q43" s="348"/>
      <c r="R43" s="349"/>
      <c r="S43" s="1523" t="str">
        <f>INDEX(PT_DIFFERENTIATION_NUM_CS,MATCH(C43,PT_DIFFERENTIATION_CS_ID,0))</f>
        <v>..</v>
      </c>
      <c r="T43" s="299" t="s">
        <v>510</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511</v>
      </c>
      <c r="AM43" s="506"/>
      <c r="AN43" s="506" t="str">
        <f>IF(T43="","",T43)</f>
        <v>Наименование централизованной системы водоотведения</v>
      </c>
      <c r="AO43" s="506"/>
      <c r="AP43" s="506"/>
    </row>
    <row customHeight="1" ht="23.25">
      <c r="A44" s="1393" t="s">
        <v>264</v>
      </c>
      <c r="B44" s="1393" t="s">
        <v>265</v>
      </c>
      <c r="C44" s="1393" t="s">
        <v>266</v>
      </c>
      <c r="D44" s="1393" t="s">
        <v>515</v>
      </c>
      <c r="E44" s="2108"/>
      <c r="F44" s="2108"/>
      <c r="G44" s="2108"/>
      <c r="H44" s="2108"/>
      <c r="I44" s="2109" t="str">
        <f>S43&amp;".1"</f>
        <v>...1</v>
      </c>
      <c r="J44" s="1393"/>
      <c r="K44" s="1393"/>
      <c r="L44" s="1394"/>
      <c r="P44" s="2111">
        <v>1</v>
      </c>
      <c r="Q44" s="1511"/>
      <c r="R44" s="352"/>
      <c r="S44" s="1523" t="str">
        <f>$I44</f>
        <v>...1</v>
      </c>
      <c r="T44" s="273" t="s">
        <v>479</v>
      </c>
      <c r="U44" s="288"/>
      <c r="V44" s="2194"/>
      <c r="W44" s="2195"/>
      <c r="X44" s="2195"/>
      <c r="Y44" s="2195"/>
      <c r="Z44" s="2195"/>
      <c r="AA44" s="2195"/>
      <c r="AB44" s="2196"/>
      <c r="AC44" s="2197"/>
      <c r="AD44" s="2198"/>
      <c r="AE44" s="2198"/>
      <c r="AF44" s="2198"/>
      <c r="AG44" s="2198"/>
      <c r="AH44" s="2198"/>
      <c r="AI44" s="2198"/>
      <c r="AJ44" s="2199"/>
      <c r="AK44" s="1286" t="s">
        <v>480</v>
      </c>
      <c r="AM44" s="506"/>
      <c r="AN44" s="506" t="str">
        <f>IF(T44="","",T44)</f>
        <v>Наименование признака дифференциации</v>
      </c>
      <c r="AO44" s="506"/>
      <c r="AP44" s="506"/>
    </row>
    <row customHeight="1" ht="23.25">
      <c r="A45" s="1393" t="s">
        <v>264</v>
      </c>
      <c r="B45" s="1393" t="s">
        <v>265</v>
      </c>
      <c r="C45" s="1393" t="s">
        <v>266</v>
      </c>
      <c r="D45" s="1393" t="s">
        <v>515</v>
      </c>
      <c r="E45" s="2108"/>
      <c r="F45" s="2108"/>
      <c r="G45" s="2108"/>
      <c r="H45" s="2108"/>
      <c r="I45" s="2110"/>
      <c r="J45" s="2109" t="str">
        <f>I44&amp;".1"</f>
        <v>...1.1</v>
      </c>
      <c r="K45" s="1393"/>
      <c r="L45" s="1394" t="s">
        <v>401</v>
      </c>
      <c r="P45" s="2111"/>
      <c r="Q45" s="2111">
        <v>1</v>
      </c>
      <c r="R45" s="353"/>
      <c r="S45" s="1523" t="str">
        <f>$J45</f>
        <v>...1.1</v>
      </c>
      <c r="T45" s="274" t="s">
        <v>402</v>
      </c>
      <c r="U45" s="288"/>
      <c r="V45" s="2095"/>
      <c r="W45" s="2096"/>
      <c r="X45" s="2096"/>
      <c r="Y45" s="2096"/>
      <c r="Z45" s="2096"/>
      <c r="AA45" s="2096"/>
      <c r="AB45" s="2097"/>
      <c r="AC45" s="2095"/>
      <c r="AD45" s="2096"/>
      <c r="AE45" s="2096"/>
      <c r="AF45" s="2096"/>
      <c r="AG45" s="2096"/>
      <c r="AH45" s="2096"/>
      <c r="AI45" s="2096"/>
      <c r="AJ45" s="2097"/>
      <c r="AK45" s="1337" t="s">
        <v>481</v>
      </c>
      <c r="AM45" s="506"/>
      <c r="AN45" s="506" t="str">
        <f>IF(T45="","",T45)</f>
        <v>Группа потребителей</v>
      </c>
      <c r="AO45" s="506"/>
      <c r="AP45" s="506"/>
    </row>
    <row customHeight="1" ht="23.25">
      <c r="A46" s="1393" t="s">
        <v>264</v>
      </c>
      <c r="B46" s="1393" t="s">
        <v>265</v>
      </c>
      <c r="C46" s="1393" t="s">
        <v>266</v>
      </c>
      <c r="D46" s="1393" t="s">
        <v>515</v>
      </c>
      <c r="E46" s="2108"/>
      <c r="F46" s="2108"/>
      <c r="G46" s="2108"/>
      <c r="H46" s="2108"/>
      <c r="I46" s="2110"/>
      <c r="J46" s="2110"/>
      <c r="K46" s="2109" t="str">
        <f>J45&amp;".1"</f>
        <v>...1.1.1</v>
      </c>
      <c r="L46" s="1394"/>
      <c r="P46" s="2111"/>
      <c r="Q46" s="2111"/>
      <c r="R46" s="353">
        <v>1</v>
      </c>
      <c r="S46" s="1523" t="str">
        <f>$K46</f>
        <v>...1.1.1</v>
      </c>
      <c r="T46" s="1467"/>
      <c r="U46" s="288"/>
      <c r="V46" s="1390"/>
      <c r="W46" s="1390"/>
      <c r="X46" s="1391"/>
      <c r="Y46" s="2105"/>
      <c r="Z46" s="2104" t="s">
        <v>62</v>
      </c>
      <c r="AA46" s="2105"/>
      <c r="AB46" s="2104" t="s">
        <v>62</v>
      </c>
      <c r="AC46" s="757"/>
      <c r="AD46" s="757"/>
      <c r="AE46" s="1285"/>
      <c r="AF46" s="2112"/>
      <c r="AG46" s="1981" t="s">
        <v>62</v>
      </c>
      <c r="AH46" s="2114"/>
      <c r="AI46" s="1981" t="s">
        <v>57</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264</v>
      </c>
      <c r="B47" s="1393" t="s">
        <v>265</v>
      </c>
      <c r="C47" s="1393" t="s">
        <v>266</v>
      </c>
      <c r="D47" s="1393" t="s">
        <v>515</v>
      </c>
      <c r="E47" s="2108"/>
      <c r="F47" s="2108"/>
      <c r="G47" s="2108"/>
      <c r="H47" s="2108"/>
      <c r="I47" s="2110"/>
      <c r="J47" s="2110"/>
      <c r="K47" s="2109"/>
      <c r="L47" s="1394"/>
      <c r="P47" s="2111"/>
      <c r="Q47" s="2111"/>
      <c r="R47" s="353"/>
      <c r="S47" s="1520"/>
      <c r="T47" s="288"/>
      <c r="U47" s="288"/>
      <c r="V47" s="1390"/>
      <c r="W47" s="1390"/>
      <c r="X47" s="324" t="str">
        <f>Y46&amp;"-"&amp;AA46</f>
        <v>-</v>
      </c>
      <c r="Y47" s="2104"/>
      <c r="Z47" s="2104"/>
      <c r="AA47" s="2104"/>
      <c r="AB47" s="2104"/>
      <c r="AC47" s="320"/>
      <c r="AD47" s="320"/>
      <c r="AE47" s="324" t="str">
        <f>AF46&amp;"-"&amp;AH46</f>
        <v>-</v>
      </c>
      <c r="AF47" s="2113"/>
      <c r="AG47" s="1981"/>
      <c r="AH47" s="2115"/>
      <c r="AI47" s="1981"/>
      <c r="AJ47" s="1469"/>
      <c r="AK47" s="2200"/>
      <c r="AM47" s="506"/>
      <c r="AN47" s="506" t="str">
        <f>IF(T47="","",T47)</f>
        <v/>
      </c>
      <c r="AO47" s="506"/>
      <c r="AP47" s="506"/>
    </row>
    <row customHeight="1" ht="21">
      <c r="A48" s="1393" t="s">
        <v>264</v>
      </c>
      <c r="B48" s="1393" t="s">
        <v>265</v>
      </c>
      <c r="C48" s="1393" t="s">
        <v>266</v>
      </c>
      <c r="D48" s="1393" t="s">
        <v>515</v>
      </c>
      <c r="E48" s="2108"/>
      <c r="F48" s="2108"/>
      <c r="G48" s="2108"/>
      <c r="H48" s="2108"/>
      <c r="I48" s="2110"/>
      <c r="J48" s="2109"/>
      <c r="K48" s="1393"/>
      <c r="L48" s="1394"/>
      <c r="P48" s="2111"/>
      <c r="Q48" s="2111"/>
      <c r="R48" s="352"/>
      <c r="S48" s="1308"/>
      <c r="T48" s="275" t="s">
        <v>482</v>
      </c>
      <c r="U48" s="367"/>
      <c r="V48" s="367"/>
      <c r="W48" s="367"/>
      <c r="X48" s="367"/>
      <c r="Y48" s="367"/>
      <c r="Z48" s="367"/>
      <c r="AA48" s="367"/>
      <c r="AB48" s="367"/>
      <c r="AC48" s="367"/>
      <c r="AD48" s="367"/>
      <c r="AE48" s="367"/>
      <c r="AF48" s="367"/>
      <c r="AG48" s="367"/>
      <c r="AH48" s="367"/>
      <c r="AI48" s="367"/>
      <c r="AJ48" s="367"/>
      <c r="AK48" s="1286" t="s">
        <v>483</v>
      </c>
      <c r="AM48" s="506"/>
      <c r="AN48" s="506" t="str">
        <f>IF(T48="","",T48)</f>
        <v>Добавить значение признака дифференциации</v>
      </c>
      <c r="AO48" s="506"/>
      <c r="AP48" s="506"/>
    </row>
    <row customHeight="1" ht="21">
      <c r="A49" s="1393" t="s">
        <v>264</v>
      </c>
      <c r="B49" s="1393" t="s">
        <v>265</v>
      </c>
      <c r="C49" s="1393" t="s">
        <v>266</v>
      </c>
      <c r="D49" s="1393" t="s">
        <v>515</v>
      </c>
      <c r="E49" s="2108"/>
      <c r="F49" s="2108"/>
      <c r="G49" s="2108"/>
      <c r="H49" s="2108"/>
      <c r="I49" s="2109"/>
      <c r="J49" s="1393"/>
      <c r="K49" s="1393"/>
      <c r="L49" s="1394"/>
      <c r="P49" s="2111"/>
      <c r="Q49" s="1511"/>
      <c r="R49" s="352"/>
      <c r="S49" s="1308"/>
      <c r="T49" s="364" t="s">
        <v>407</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264</v>
      </c>
      <c r="B50" s="1393" t="s">
        <v>265</v>
      </c>
      <c r="C50" s="1393" t="s">
        <v>266</v>
      </c>
      <c r="D50" s="1393" t="s">
        <v>515</v>
      </c>
      <c r="E50" s="2108"/>
      <c r="F50" s="2108"/>
      <c r="G50" s="2108"/>
      <c r="H50" s="2107"/>
      <c r="I50" s="1393"/>
      <c r="J50" s="1393"/>
      <c r="K50" s="1393"/>
      <c r="L50" s="1394"/>
      <c r="M50" s="1395"/>
      <c r="N50" s="1395"/>
      <c r="O50" s="543"/>
      <c r="P50" s="356"/>
      <c r="Q50" s="376"/>
      <c r="R50" s="351"/>
      <c r="S50" s="1308"/>
      <c r="T50" s="372" t="s">
        <v>484</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73" customFormat="1" customHeight="1" ht="0">
      <c r="A51" s="1373" t="s">
        <v>264</v>
      </c>
      <c r="B51" s="1373" t="s">
        <v>265</v>
      </c>
      <c r="C51" s="1344"/>
      <c r="D51" s="1344"/>
      <c r="E51" s="2108"/>
      <c r="F51" s="2107"/>
      <c r="G51" s="1344"/>
      <c r="H51" s="1344"/>
      <c r="I51" s="1344"/>
      <c r="J51" s="1344"/>
      <c r="K51" s="1344"/>
      <c r="L51" s="1524"/>
      <c r="M51" s="1351"/>
      <c r="N51" s="1351"/>
      <c r="P51" s="1346"/>
      <c r="Q51" s="1347"/>
      <c r="R51" s="1346"/>
      <c r="S51" s="1352"/>
      <c r="T51" s="1355" t="s">
        <v>182</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1" customFormat="1" customHeight="1" ht="0">
      <c r="A52" s="1373" t="s">
        <v>264</v>
      </c>
      <c r="B52" s="1373"/>
      <c r="C52" s="1373"/>
      <c r="D52" s="1373"/>
      <c r="E52" s="2107"/>
      <c r="F52" s="1373"/>
      <c r="G52" s="1373"/>
      <c r="H52" s="1373"/>
      <c r="I52" s="1373"/>
      <c r="J52" s="1373"/>
      <c r="K52" s="1373"/>
      <c r="L52" s="1376"/>
      <c r="M52" s="1351"/>
      <c r="N52" s="1351"/>
      <c r="O52" s="524"/>
      <c r="P52" s="385"/>
      <c r="Q52" s="1374"/>
      <c r="R52" s="385"/>
      <c r="S52" s="1352"/>
      <c r="T52" s="1355" t="s">
        <v>183</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73" customFormat="1" customHeight="1" ht="0">
      <c r="A53" s="1344"/>
      <c r="B53" s="1344"/>
      <c r="C53" s="1344"/>
      <c r="D53" s="1344"/>
      <c r="E53" s="1373"/>
      <c r="F53" s="1344"/>
      <c r="G53" s="1344"/>
      <c r="H53" s="1344"/>
      <c r="I53" s="1344"/>
      <c r="J53" s="1344"/>
      <c r="K53" s="1344"/>
      <c r="L53" s="1524"/>
      <c r="M53" s="1351"/>
      <c r="N53" s="1351"/>
      <c r="P53" s="1346"/>
      <c r="Q53" s="1347"/>
      <c r="R53" s="1346"/>
      <c r="S53" s="1352"/>
      <c r="T53" s="1355" t="s">
        <v>184</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06D5EAD-6E1D-0857-5B92-7AB2E19B413E}"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3292" width="11.57421875" hidden="1" customWidth="1"/>
    <col min="2" max="2" style="3292" width="11.00390625" hidden="1" customWidth="1"/>
    <col min="3" max="3" style="3292" width="10.57421875" hidden="1"/>
    <col min="4" max="4" style="3292" width="12.8515625" hidden="1" customWidth="1"/>
    <col min="5" max="5" style="3292" width="10.00390625" hidden="1" customWidth="1"/>
    <col min="6" max="6" style="3292" width="8.7109375" hidden="1" customWidth="1"/>
    <col min="7" max="7" style="3292" width="7.57421875" hidden="1" customWidth="1"/>
    <col min="8" max="8" style="3292" width="11.421875" hidden="1" customWidth="1"/>
    <col min="9" max="9" style="3292" width="12.00390625" hidden="1" customWidth="1"/>
    <col min="10" max="10" style="3292" width="9.8515625" hidden="1" customWidth="1"/>
    <col min="11" max="11" style="3292" width="11.421875" hidden="1" customWidth="1"/>
    <col min="12" max="12" style="3823" width="19.140625" hidden="1" customWidth="1"/>
    <col min="13" max="14" style="3294" width="12.28125" hidden="1" customWidth="1"/>
    <col min="15" max="15" style="3294" width="23.421875" hidden="1" customWidth="1"/>
    <col min="16" max="16" style="3294" width="3.7109375" hidden="1" customWidth="1"/>
    <col min="17" max="17" style="3296" width="3.7109375" hidden="1" customWidth="1"/>
    <col min="18" max="18" style="3371" width="3.7109375" customWidth="1"/>
    <col min="19" max="19" style="3372" width="12.7109375" customWidth="1"/>
    <col min="20" max="20" style="2939" width="32.00390625" customWidth="1"/>
    <col min="21" max="21" style="2939" width="0.140625" customWidth="1"/>
    <col min="22" max="25" style="2939" width="21.7109375" hidden="1" customWidth="1"/>
    <col min="26" max="26" style="2939" width="11.7109375" hidden="1" customWidth="1"/>
    <col min="27" max="27" style="2939" width="3.7109375" hidden="1" customWidth="1"/>
    <col min="28" max="28" style="2939" width="11.7109375" hidden="1" customWidth="1"/>
    <col min="29" max="29" style="2939" width="8.57421875" hidden="1" customWidth="1"/>
    <col min="30" max="32" style="2939" width="3.7109375" customWidth="1"/>
    <col min="33" max="33" style="2939" width="24.7109375" customWidth="1"/>
    <col min="34" max="36" style="2939" width="3.7109375" customWidth="1"/>
    <col min="37" max="37" style="2939" width="24.7109375" customWidth="1"/>
    <col min="38" max="40" style="2939" width="3.7109375" customWidth="1"/>
    <col min="41" max="41" style="2939" width="18.8515625" customWidth="1"/>
    <col min="42" max="44" style="2939" width="3.7109375" customWidth="1"/>
    <col min="45" max="45" style="2939" width="18.8515625" customWidth="1"/>
    <col min="46" max="49" style="2939" width="21.7109375" customWidth="1"/>
    <col min="50" max="50" style="2939" width="11.7109375" customWidth="1"/>
    <col min="51" max="51" style="2939" width="3.7109375" customWidth="1"/>
    <col min="52" max="52" style="2939" width="11.7109375" customWidth="1"/>
    <col min="53" max="53" style="2939" width="8.57421875" hidden="1" customWidth="1"/>
    <col min="54" max="54" style="2939" width="4.7109375" customWidth="1"/>
    <col min="55" max="55" style="2939" width="115.7109375" customWidth="1"/>
    <col min="56" max="57" style="2611" width="10.57421875"/>
    <col min="58" max="58" style="2611" width="11.140625" customWidth="1"/>
    <col min="59" max="60" style="2611" width="10.57421875"/>
  </cols>
  <sheetData>
    <row customHeight="1" ht="14.25" hidden="1">
      <c r="W1" s="323"/>
      <c r="Y1" s="323"/>
      <c r="Z1" s="323"/>
      <c r="AW1" s="323"/>
      <c r="AX1" s="323"/>
    </row>
    <row customHeight="1" ht="21" hidden="1">
      <c r="A2" s="1393"/>
      <c r="B2" s="1393"/>
      <c r="C2" s="1393"/>
      <c r="D2" s="1393"/>
      <c r="E2" s="2107">
        <v>1</v>
      </c>
      <c r="F2" s="1393"/>
      <c r="G2" s="1393"/>
      <c r="H2" s="1393"/>
      <c r="I2" s="1393"/>
      <c r="J2" s="1393"/>
      <c r="K2" s="1393"/>
      <c r="L2" s="1394"/>
      <c r="M2" s="1395"/>
      <c r="N2" s="1395"/>
      <c r="O2" s="1395"/>
      <c r="P2" s="1439"/>
      <c r="Q2" s="879"/>
      <c r="R2" s="351"/>
      <c r="S2" s="1523">
        <f>INDEX(PT_DIFFERENTIATION_NUM_NTAR,MATCH(A2,PT_DIFFERENTIATION_NTAR_ID,0))</f>
      </c>
      <c r="T2" s="286" t="s">
        <v>124</v>
      </c>
      <c r="U2" s="288"/>
      <c r="V2" s="2102"/>
      <c r="W2" s="2102"/>
      <c r="X2" s="2102"/>
      <c r="Y2" s="2102"/>
      <c r="Z2" s="2102"/>
      <c r="AA2" s="2102"/>
      <c r="AB2" s="2102"/>
      <c r="AC2" s="2103"/>
      <c r="AD2" s="2101">
        <f>INDEX(PT_DIFFERENTIATION_NTAR,MATCH(A2,PT_DIFFERENTIATION_NTAR_ID,0))</f>
      </c>
      <c r="AE2" s="2102"/>
      <c r="AF2" s="2102"/>
      <c r="AG2" s="2102"/>
      <c r="AH2" s="2102"/>
      <c r="AI2" s="2102"/>
      <c r="AJ2" s="2102"/>
      <c r="AK2" s="2102"/>
      <c r="AL2" s="2102"/>
      <c r="AM2" s="2102"/>
      <c r="AN2" s="2102"/>
      <c r="AO2" s="2102"/>
      <c r="AP2" s="2102"/>
      <c r="AQ2" s="2102"/>
      <c r="AR2" s="2102"/>
      <c r="AS2" s="2102"/>
      <c r="AT2" s="2102"/>
      <c r="AU2" s="2102"/>
      <c r="AV2" s="2102"/>
      <c r="AW2" s="2102"/>
      <c r="AX2" s="2102"/>
      <c r="AY2" s="2102"/>
      <c r="AZ2" s="2102"/>
      <c r="BA2" s="2102"/>
      <c r="BB2" s="2103"/>
      <c r="BC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6"/>
      <c r="BF2" s="506" t="str">
        <f>IF(T2="","",T2)</f>
        <v>Наименование тарифа</v>
      </c>
      <c r="BG2" s="506"/>
      <c r="BH2" s="506"/>
    </row>
    <row customHeight="1" ht="21" hidden="1">
      <c r="A3" s="1393"/>
      <c r="B3" s="1393"/>
      <c r="C3" s="1393"/>
      <c r="D3" s="1393"/>
      <c r="E3" s="2108"/>
      <c r="F3" s="2107">
        <v>1</v>
      </c>
      <c r="G3" s="1393"/>
      <c r="H3" s="1393"/>
      <c r="I3" s="1393"/>
      <c r="J3" s="1393"/>
      <c r="K3" s="1393"/>
      <c r="L3" s="1394"/>
      <c r="M3" s="1395"/>
      <c r="N3" s="1395"/>
      <c r="O3" s="1395"/>
      <c r="P3" s="1440"/>
      <c r="Q3" s="1441"/>
      <c r="R3" s="349"/>
      <c r="S3" s="1523">
        <f>INDEX(PT_DIFFERENTIATION_NUM_TER,MATCH(B3,PT_DIFFERENTIATION_TER_ID,0))</f>
      </c>
      <c r="T3" s="298" t="s">
        <v>392</v>
      </c>
      <c r="U3" s="288"/>
      <c r="V3" s="2102"/>
      <c r="W3" s="2102"/>
      <c r="X3" s="2102"/>
      <c r="Y3" s="2102"/>
      <c r="Z3" s="2102"/>
      <c r="AA3" s="2102"/>
      <c r="AB3" s="2102"/>
      <c r="AC3" s="2103"/>
      <c r="AD3" s="2101">
        <f>INDEX(PT_DIFFERENTIATION_TER,MATCH(B3,PT_DIFFERENTIATION_TER_ID,0))</f>
      </c>
      <c r="AE3" s="2102"/>
      <c r="AF3" s="2102"/>
      <c r="AG3" s="2102"/>
      <c r="AH3" s="2102"/>
      <c r="AI3" s="2102"/>
      <c r="AJ3" s="2102"/>
      <c r="AK3" s="2102"/>
      <c r="AL3" s="2102"/>
      <c r="AM3" s="2102"/>
      <c r="AN3" s="2102"/>
      <c r="AO3" s="2102"/>
      <c r="AP3" s="2102"/>
      <c r="AQ3" s="2102"/>
      <c r="AR3" s="2102"/>
      <c r="AS3" s="2102"/>
      <c r="AT3" s="2102"/>
      <c r="AU3" s="2102"/>
      <c r="AV3" s="2102"/>
      <c r="AW3" s="2102"/>
      <c r="AX3" s="2102"/>
      <c r="AY3" s="2102"/>
      <c r="AZ3" s="2102"/>
      <c r="BA3" s="2102"/>
      <c r="BB3" s="2103"/>
      <c r="BC3" s="1286" t="s">
        <v>393</v>
      </c>
      <c r="BE3" s="506"/>
      <c r="BF3" s="506" t="str">
        <f>IF(T3="","",T3)</f>
        <v>Территория действия тарифа</v>
      </c>
      <c r="BG3" s="506"/>
      <c r="BH3" s="506"/>
    </row>
    <row customHeight="1" ht="33.75" hidden="1">
      <c r="A4" s="1393"/>
      <c r="B4" s="1393"/>
      <c r="C4" s="1393"/>
      <c r="D4" s="1393"/>
      <c r="E4" s="2108"/>
      <c r="F4" s="2108"/>
      <c r="G4" s="2107">
        <v>1</v>
      </c>
      <c r="H4" s="1393"/>
      <c r="I4" s="1393"/>
      <c r="J4" s="1393"/>
      <c r="K4" s="1393"/>
      <c r="L4" s="1394"/>
      <c r="M4" s="1395"/>
      <c r="N4" s="1395"/>
      <c r="O4" s="1395"/>
      <c r="P4" s="1442"/>
      <c r="Q4" s="1441"/>
      <c r="R4" s="349"/>
      <c r="S4" s="1523">
        <f>INDEX(PT_DIFFERENTIATION_NUM_CS,MATCH(C4,PT_DIFFERENTIATION_CS_ID,0))</f>
      </c>
      <c r="T4" s="299" t="s">
        <v>510</v>
      </c>
      <c r="U4" s="288"/>
      <c r="V4" s="2102"/>
      <c r="W4" s="2102"/>
      <c r="X4" s="2102"/>
      <c r="Y4" s="2102"/>
      <c r="Z4" s="2102"/>
      <c r="AA4" s="2102"/>
      <c r="AB4" s="2102"/>
      <c r="AC4" s="2103"/>
      <c r="AD4" s="2101">
        <f>INDEX(PT_DIFFERENTIATION_CS,MATCH(C4,PT_DIFFERENTIATION_CS_ID,0))</f>
      </c>
      <c r="AE4" s="2102"/>
      <c r="AF4" s="2102"/>
      <c r="AG4" s="2102"/>
      <c r="AH4" s="2102"/>
      <c r="AI4" s="2102"/>
      <c r="AJ4" s="2102"/>
      <c r="AK4" s="2102"/>
      <c r="AL4" s="2102"/>
      <c r="AM4" s="2102"/>
      <c r="AN4" s="2102"/>
      <c r="AO4" s="2102"/>
      <c r="AP4" s="2102"/>
      <c r="AQ4" s="2102"/>
      <c r="AR4" s="2102"/>
      <c r="AS4" s="2102"/>
      <c r="AT4" s="2102"/>
      <c r="AU4" s="2102"/>
      <c r="AV4" s="2102"/>
      <c r="AW4" s="2102"/>
      <c r="AX4" s="2102"/>
      <c r="AY4" s="2102"/>
      <c r="AZ4" s="2102"/>
      <c r="BA4" s="2102"/>
      <c r="BB4" s="2103"/>
      <c r="BC4" s="1286" t="s">
        <v>511</v>
      </c>
      <c r="BE4" s="506"/>
      <c r="BF4" s="506" t="str">
        <f>IF(T4="","",T4)</f>
        <v>Наименование централизованной системы водоотведения</v>
      </c>
      <c r="BG4" s="506"/>
      <c r="BH4" s="506"/>
    </row>
    <row s="2611" customFormat="1" customHeight="1" ht="14.25" hidden="1">
      <c r="A5" s="1373"/>
      <c r="B5" s="1373"/>
      <c r="C5" s="1373"/>
      <c r="D5" s="1373"/>
      <c r="E5" s="2108"/>
      <c r="F5" s="2108"/>
      <c r="G5" s="2108"/>
      <c r="H5" s="2107">
        <v>1</v>
      </c>
      <c r="I5" s="1373"/>
      <c r="J5" s="1373"/>
      <c r="K5" s="1373"/>
      <c r="L5" s="1376"/>
      <c r="M5" s="1345"/>
      <c r="N5" s="1345"/>
      <c r="O5" s="1345"/>
      <c r="P5" s="1527"/>
      <c r="Q5" s="1528"/>
      <c r="R5" s="353"/>
      <c r="S5" s="1049"/>
      <c r="T5" s="1529"/>
      <c r="U5" s="1414"/>
      <c r="V5" s="2148"/>
      <c r="W5" s="2148"/>
      <c r="X5" s="2148"/>
      <c r="Y5" s="2148"/>
      <c r="Z5" s="2148"/>
      <c r="AA5" s="2148"/>
      <c r="AB5" s="2148"/>
      <c r="AC5" s="2149"/>
      <c r="AD5" s="2147"/>
      <c r="AE5" s="2148"/>
      <c r="AF5" s="2148"/>
      <c r="AG5" s="2148"/>
      <c r="AH5" s="2148"/>
      <c r="AI5" s="2148"/>
      <c r="AJ5" s="2148"/>
      <c r="AK5" s="2148"/>
      <c r="AL5" s="2148"/>
      <c r="AM5" s="2148"/>
      <c r="AN5" s="2148"/>
      <c r="AO5" s="2148"/>
      <c r="AP5" s="2148"/>
      <c r="AQ5" s="2148"/>
      <c r="AR5" s="2148"/>
      <c r="AS5" s="2148"/>
      <c r="AT5" s="2148"/>
      <c r="AU5" s="2148"/>
      <c r="AV5" s="2148"/>
      <c r="AW5" s="2148"/>
      <c r="AX5" s="2148"/>
      <c r="AY5" s="2148"/>
      <c r="AZ5" s="2148"/>
      <c r="BA5" s="2148"/>
      <c r="BB5" s="2149"/>
      <c r="BC5" s="1415" t="s">
        <v>397</v>
      </c>
      <c r="BE5" s="506"/>
      <c r="BF5" s="506" t="str">
        <f>IF(T5="","",T5)</f>
        <v/>
      </c>
      <c r="BG5" s="506"/>
      <c r="BH5" s="506"/>
    </row>
    <row s="2611" customFormat="1" customHeight="1" ht="14.25" hidden="1">
      <c r="A6" s="1373"/>
      <c r="B6" s="1373"/>
      <c r="C6" s="1373"/>
      <c r="D6" s="1373"/>
      <c r="E6" s="2108"/>
      <c r="F6" s="2108"/>
      <c r="G6" s="2108"/>
      <c r="H6" s="2108"/>
      <c r="I6" s="2109" t="str">
        <f>S5&amp;".1"</f>
        <v>.1</v>
      </c>
      <c r="J6" s="1373"/>
      <c r="K6" s="1373"/>
      <c r="L6" s="1376" t="s">
        <v>398</v>
      </c>
      <c r="M6" s="516"/>
      <c r="N6" s="516"/>
      <c r="O6" s="516"/>
      <c r="P6" s="2111">
        <v>1</v>
      </c>
      <c r="Q6" s="1511"/>
      <c r="R6" s="352"/>
      <c r="S6" s="1049"/>
      <c r="T6" s="1413"/>
      <c r="U6" s="1414"/>
      <c r="V6" s="2148"/>
      <c r="W6" s="2148"/>
      <c r="X6" s="2148"/>
      <c r="Y6" s="2148"/>
      <c r="Z6" s="2148"/>
      <c r="AA6" s="2148"/>
      <c r="AB6" s="2148"/>
      <c r="AC6" s="2149"/>
      <c r="AD6" s="2147"/>
      <c r="AE6" s="2148"/>
      <c r="AF6" s="2148"/>
      <c r="AG6" s="2148"/>
      <c r="AH6" s="2148"/>
      <c r="AI6" s="2148"/>
      <c r="AJ6" s="2148"/>
      <c r="AK6" s="2148"/>
      <c r="AL6" s="2148"/>
      <c r="AM6" s="2148"/>
      <c r="AN6" s="2148"/>
      <c r="AO6" s="2148"/>
      <c r="AP6" s="2148"/>
      <c r="AQ6" s="2148"/>
      <c r="AR6" s="2148"/>
      <c r="AS6" s="2148"/>
      <c r="AT6" s="2148"/>
      <c r="AU6" s="2148"/>
      <c r="AV6" s="2148"/>
      <c r="AW6" s="2148"/>
      <c r="AX6" s="2148"/>
      <c r="AY6" s="2148"/>
      <c r="AZ6" s="2148"/>
      <c r="BA6" s="2148"/>
      <c r="BB6" s="2149"/>
      <c r="BC6" s="1415"/>
      <c r="BE6" s="506"/>
      <c r="BF6" s="506" t="str">
        <f>IF(T6="","",T6)</f>
        <v/>
      </c>
      <c r="BG6" s="506"/>
      <c r="BH6" s="506"/>
    </row>
    <row s="2611" customFormat="1" customHeight="1" ht="14.25" hidden="1">
      <c r="A7" s="1373"/>
      <c r="B7" s="1373"/>
      <c r="C7" s="1373"/>
      <c r="D7" s="1373"/>
      <c r="E7" s="2108"/>
      <c r="F7" s="2108"/>
      <c r="G7" s="2108"/>
      <c r="H7" s="2108"/>
      <c r="I7" s="2110"/>
      <c r="J7" s="2109" t="str">
        <f>S5&amp;".1"</f>
        <v>.1</v>
      </c>
      <c r="K7" s="1373"/>
      <c r="L7" s="1376"/>
      <c r="M7" s="516"/>
      <c r="N7" s="516"/>
      <c r="O7" s="516"/>
      <c r="P7" s="2111"/>
      <c r="Q7" s="2111">
        <v>1</v>
      </c>
      <c r="R7" s="353"/>
      <c r="S7" s="1049"/>
      <c r="T7" s="1429"/>
      <c r="U7" s="1414"/>
      <c r="V7" s="2148"/>
      <c r="W7" s="2148"/>
      <c r="X7" s="2148"/>
      <c r="Y7" s="2148"/>
      <c r="Z7" s="2148"/>
      <c r="AA7" s="2148"/>
      <c r="AB7" s="2148"/>
      <c r="AC7" s="2149"/>
      <c r="AD7" s="2147"/>
      <c r="AE7" s="2148"/>
      <c r="AF7" s="2148"/>
      <c r="AG7" s="2148"/>
      <c r="AH7" s="2148"/>
      <c r="AI7" s="2148"/>
      <c r="AJ7" s="2148"/>
      <c r="AK7" s="2148"/>
      <c r="AL7" s="2148"/>
      <c r="AM7" s="2148"/>
      <c r="AN7" s="2148"/>
      <c r="AO7" s="2148"/>
      <c r="AP7" s="2148"/>
      <c r="AQ7" s="2148"/>
      <c r="AR7" s="2148"/>
      <c r="AS7" s="2148"/>
      <c r="AT7" s="2148"/>
      <c r="AU7" s="2148"/>
      <c r="AV7" s="2148"/>
      <c r="AW7" s="2148"/>
      <c r="AX7" s="2148"/>
      <c r="AY7" s="2148"/>
      <c r="AZ7" s="2148"/>
      <c r="BA7" s="2148"/>
      <c r="BB7" s="2149"/>
      <c r="BC7" s="1415"/>
      <c r="BE7" s="506"/>
      <c r="BF7" s="506" t="str">
        <f>IF(T7="","",T7)</f>
        <v/>
      </c>
      <c r="BG7" s="506"/>
      <c r="BH7" s="506"/>
    </row>
    <row customHeight="1" ht="11.25" hidden="1">
      <c r="A8" s="1393"/>
      <c r="B8" s="1393"/>
      <c r="C8" s="1393"/>
      <c r="D8" s="1393"/>
      <c r="E8" s="2108"/>
      <c r="F8" s="2108"/>
      <c r="G8" s="2108"/>
      <c r="H8" s="2108"/>
      <c r="I8" s="2110"/>
      <c r="J8" s="2110"/>
      <c r="K8" s="2109">
        <f>S4&amp;".1"</f>
      </c>
      <c r="L8" s="1394"/>
      <c r="P8" s="2111"/>
      <c r="Q8" s="2111"/>
      <c r="R8" s="2187">
        <v>1</v>
      </c>
      <c r="S8" s="2184">
        <f>$K8</f>
      </c>
      <c r="T8" s="2203"/>
      <c r="U8" s="288"/>
      <c r="V8" s="757"/>
      <c r="W8" s="1285"/>
      <c r="X8" s="757"/>
      <c r="Y8" s="1285"/>
      <c r="Z8" s="1774"/>
      <c r="AA8" s="1499" t="s">
        <v>62</v>
      </c>
      <c r="AB8" s="1774"/>
      <c r="AC8" s="1499" t="s">
        <v>62</v>
      </c>
      <c r="AD8" s="2044" t="s">
        <v>62</v>
      </c>
      <c r="AE8" s="2180"/>
      <c r="AF8" s="2057">
        <v>1</v>
      </c>
      <c r="AG8" s="2202"/>
      <c r="AH8" s="1981" t="s">
        <v>62</v>
      </c>
      <c r="AI8" s="2180"/>
      <c r="AJ8" s="2057">
        <v>1</v>
      </c>
      <c r="AK8" s="2201" t="s">
        <v>24</v>
      </c>
      <c r="AL8" s="1981" t="s">
        <v>62</v>
      </c>
      <c r="AM8" s="2029"/>
      <c r="AN8" s="2057">
        <v>1</v>
      </c>
      <c r="AO8" s="2206"/>
      <c r="AP8" s="2207" t="s">
        <v>62</v>
      </c>
      <c r="AQ8" s="301"/>
      <c r="AR8" s="1516">
        <v>1</v>
      </c>
      <c r="AS8" s="1522" t="s">
        <v>24</v>
      </c>
      <c r="AT8" s="757"/>
      <c r="AU8" s="1285"/>
      <c r="AV8" s="757"/>
      <c r="AW8" s="1285"/>
      <c r="AX8" s="1774"/>
      <c r="AY8" s="1499" t="s">
        <v>62</v>
      </c>
      <c r="AZ8" s="1774"/>
      <c r="BA8" s="1499" t="s">
        <v>62</v>
      </c>
      <c r="BB8" s="1378"/>
      <c r="BC8" s="2137" t="s">
        <v>495</v>
      </c>
      <c r="BE8" s="506"/>
      <c r="BF8" s="506" t="str">
        <f>IF(T8="","",T8)</f>
        <v/>
      </c>
      <c r="BG8" s="506"/>
      <c r="BH8" s="506"/>
    </row>
    <row customHeight="1" ht="11.25" hidden="1">
      <c r="A9" s="1393"/>
      <c r="B9" s="1393"/>
      <c r="C9" s="1393"/>
      <c r="D9" s="1393"/>
      <c r="E9" s="2108"/>
      <c r="F9" s="2108"/>
      <c r="G9" s="2108"/>
      <c r="H9" s="2108"/>
      <c r="I9" s="2110"/>
      <c r="J9" s="2110"/>
      <c r="K9" s="2109"/>
      <c r="L9" s="1394"/>
      <c r="P9" s="2111"/>
      <c r="Q9" s="2111"/>
      <c r="R9" s="2187"/>
      <c r="S9" s="2185"/>
      <c r="T9" s="2204"/>
      <c r="U9" s="288"/>
      <c r="V9" s="1423"/>
      <c r="W9" s="1526"/>
      <c r="X9" s="1423"/>
      <c r="Y9" s="1526"/>
      <c r="Z9" s="1423"/>
      <c r="AA9" s="1423"/>
      <c r="AB9" s="1423"/>
      <c r="AC9" s="1423"/>
      <c r="AD9" s="2045"/>
      <c r="AE9" s="2180"/>
      <c r="AF9" s="2057"/>
      <c r="AG9" s="2202"/>
      <c r="AH9" s="1981"/>
      <c r="AI9" s="2180"/>
      <c r="AJ9" s="2057"/>
      <c r="AK9" s="2201"/>
      <c r="AL9" s="1981"/>
      <c r="AM9" s="2037"/>
      <c r="AN9" s="2057"/>
      <c r="AO9" s="2206"/>
      <c r="AP9" s="2208"/>
      <c r="AQ9" s="308"/>
      <c r="AR9" s="422"/>
      <c r="AS9" s="422" t="s">
        <v>496</v>
      </c>
      <c r="AT9" s="1423"/>
      <c r="AU9" s="1526"/>
      <c r="AV9" s="1423"/>
      <c r="AW9" s="1526"/>
      <c r="AX9" s="1423"/>
      <c r="AY9" s="1423"/>
      <c r="AZ9" s="1423"/>
      <c r="BA9" s="1423"/>
      <c r="BB9" s="1427"/>
      <c r="BC9" s="2138"/>
      <c r="BE9" s="506"/>
      <c r="BF9" s="506"/>
      <c r="BG9" s="506"/>
      <c r="BH9" s="506"/>
    </row>
    <row customHeight="1" ht="11.25" hidden="1">
      <c r="A10" s="1393"/>
      <c r="B10" s="1393"/>
      <c r="C10" s="1393"/>
      <c r="D10" s="1393"/>
      <c r="E10" s="2108"/>
      <c r="F10" s="2108"/>
      <c r="G10" s="2108"/>
      <c r="H10" s="2108"/>
      <c r="I10" s="2110"/>
      <c r="J10" s="2110"/>
      <c r="K10" s="2109"/>
      <c r="L10" s="1394"/>
      <c r="P10" s="2111"/>
      <c r="Q10" s="2111"/>
      <c r="R10" s="2187"/>
      <c r="S10" s="2185"/>
      <c r="T10" s="2204"/>
      <c r="U10" s="288"/>
      <c r="V10" s="1423"/>
      <c r="W10" s="1526"/>
      <c r="X10" s="1423"/>
      <c r="Y10" s="1526"/>
      <c r="Z10" s="1423"/>
      <c r="AA10" s="1423"/>
      <c r="AB10" s="1423"/>
      <c r="AC10" s="1423"/>
      <c r="AD10" s="2045"/>
      <c r="AE10" s="2180"/>
      <c r="AF10" s="2057"/>
      <c r="AG10" s="2202"/>
      <c r="AH10" s="1981"/>
      <c r="AI10" s="2180"/>
      <c r="AJ10" s="2057"/>
      <c r="AK10" s="2201"/>
      <c r="AL10" s="1981"/>
      <c r="AM10" s="308"/>
      <c r="AN10" s="1530"/>
      <c r="AO10" s="1530" t="s">
        <v>516</v>
      </c>
      <c r="AP10" s="422"/>
      <c r="AQ10" s="422"/>
      <c r="AR10" s="422"/>
      <c r="AS10" s="1423"/>
      <c r="AT10" s="1423"/>
      <c r="AU10" s="1526"/>
      <c r="AV10" s="1423"/>
      <c r="AW10" s="1526"/>
      <c r="AX10" s="1423"/>
      <c r="AY10" s="1423"/>
      <c r="AZ10" s="1423"/>
      <c r="BA10" s="1423"/>
      <c r="BB10" s="1427"/>
      <c r="BC10" s="2138"/>
      <c r="BE10" s="506"/>
      <c r="BF10" s="506"/>
      <c r="BG10" s="506"/>
      <c r="BH10" s="506"/>
    </row>
    <row customHeight="1" ht="11.25" hidden="1">
      <c r="A11" s="1393"/>
      <c r="B11" s="1393"/>
      <c r="C11" s="1393"/>
      <c r="D11" s="1393"/>
      <c r="E11" s="2108"/>
      <c r="F11" s="2108"/>
      <c r="G11" s="2108"/>
      <c r="H11" s="2108"/>
      <c r="I11" s="2110"/>
      <c r="J11" s="2110"/>
      <c r="K11" s="2109"/>
      <c r="L11" s="1394"/>
      <c r="P11" s="2111"/>
      <c r="Q11" s="2111"/>
      <c r="R11" s="2187"/>
      <c r="S11" s="2185"/>
      <c r="T11" s="2204"/>
      <c r="U11" s="288"/>
      <c r="V11" s="1423"/>
      <c r="W11" s="1526"/>
      <c r="X11" s="1423"/>
      <c r="Y11" s="1526"/>
      <c r="Z11" s="1423"/>
      <c r="AA11" s="1423"/>
      <c r="AB11" s="1423"/>
      <c r="AC11" s="1423"/>
      <c r="AD11" s="2045"/>
      <c r="AE11" s="2180"/>
      <c r="AF11" s="2057"/>
      <c r="AG11" s="2202"/>
      <c r="AH11" s="1981"/>
      <c r="AI11" s="282"/>
      <c r="AJ11" s="421"/>
      <c r="AK11" s="303" t="s">
        <v>517</v>
      </c>
      <c r="AL11" s="1423"/>
      <c r="AM11" s="1423"/>
      <c r="AN11" s="1423"/>
      <c r="AO11" s="1423"/>
      <c r="AP11" s="1423"/>
      <c r="AQ11" s="1423"/>
      <c r="AR11" s="1423"/>
      <c r="AS11" s="1423"/>
      <c r="AT11" s="1423"/>
      <c r="AU11" s="1526"/>
      <c r="AV11" s="1423"/>
      <c r="AW11" s="1526"/>
      <c r="AX11" s="1423"/>
      <c r="AY11" s="1423"/>
      <c r="AZ11" s="1423"/>
      <c r="BA11" s="1423"/>
      <c r="BB11" s="1427"/>
      <c r="BC11" s="2138"/>
      <c r="BE11" s="506"/>
      <c r="BF11" s="506"/>
      <c r="BG11" s="506"/>
      <c r="BH11" s="506"/>
    </row>
    <row customHeight="1" ht="11.25" hidden="1">
      <c r="A12" s="1393"/>
      <c r="B12" s="1393"/>
      <c r="C12" s="1393"/>
      <c r="D12" s="1393"/>
      <c r="E12" s="2108"/>
      <c r="F12" s="2108"/>
      <c r="G12" s="2108"/>
      <c r="H12" s="2108"/>
      <c r="I12" s="2110"/>
      <c r="J12" s="2110"/>
      <c r="K12" s="2109"/>
      <c r="L12" s="1394"/>
      <c r="P12" s="2111"/>
      <c r="Q12" s="2111"/>
      <c r="R12" s="2187"/>
      <c r="S12" s="2186"/>
      <c r="T12" s="2205"/>
      <c r="U12" s="288"/>
      <c r="V12" s="1423"/>
      <c r="W12" s="1424" t="str">
        <f>Z8&amp;"-"&amp;AB8</f>
        <v>-</v>
      </c>
      <c r="X12" s="1423"/>
      <c r="Y12" s="1424" t="str">
        <f>AB8&amp;"-"&amp;AD8</f>
        <v>-да</v>
      </c>
      <c r="Z12" s="1423"/>
      <c r="AA12" s="1423"/>
      <c r="AB12" s="1423"/>
      <c r="AC12" s="1423"/>
      <c r="AD12" s="1986"/>
      <c r="AE12" s="302"/>
      <c r="AF12" s="304"/>
      <c r="AG12" s="422" t="s">
        <v>499</v>
      </c>
      <c r="AH12" s="1423"/>
      <c r="AI12" s="1423"/>
      <c r="AJ12" s="1423"/>
      <c r="AK12" s="1423"/>
      <c r="AL12" s="1423"/>
      <c r="AM12" s="1423"/>
      <c r="AN12" s="1423"/>
      <c r="AO12" s="1423"/>
      <c r="AP12" s="1423"/>
      <c r="AQ12" s="1423"/>
      <c r="AR12" s="1423"/>
      <c r="AS12" s="1423"/>
      <c r="AT12" s="1423"/>
      <c r="AU12" s="1424" t="str">
        <f>AX8&amp;"-"&amp;AZ8</f>
        <v>-</v>
      </c>
      <c r="AV12" s="1423"/>
      <c r="AW12" s="1424" t="str">
        <f>AZ8&amp;"-"&amp;BB8</f>
        <v>-</v>
      </c>
      <c r="AX12" s="1423"/>
      <c r="AY12" s="1423"/>
      <c r="AZ12" s="1423"/>
      <c r="BA12" s="1423"/>
      <c r="BB12" s="1426" t="str">
        <f>BE8&amp;"-"&amp;BG8</f>
        <v>-</v>
      </c>
      <c r="BC12" s="2138"/>
      <c r="BE12" s="506"/>
      <c r="BF12" s="506" t="str">
        <f>IF(T12="","",T12)</f>
        <v/>
      </c>
      <c r="BG12" s="506"/>
      <c r="BH12" s="506"/>
    </row>
    <row customHeight="1" ht="11.25" hidden="1">
      <c r="A13" s="1393"/>
      <c r="B13" s="1393"/>
      <c r="C13" s="1393"/>
      <c r="D13" s="1393"/>
      <c r="E13" s="2108"/>
      <c r="F13" s="2108"/>
      <c r="G13" s="2108"/>
      <c r="H13" s="2108"/>
      <c r="I13" s="2110"/>
      <c r="J13" s="2109"/>
      <c r="K13" s="1393"/>
      <c r="L13" s="1394"/>
      <c r="P13" s="2111"/>
      <c r="Q13" s="2111"/>
      <c r="R13" s="352"/>
      <c r="S13" s="1308"/>
      <c r="T13" s="275" t="s">
        <v>463</v>
      </c>
      <c r="U13" s="367"/>
      <c r="V13" s="367"/>
      <c r="W13" s="367"/>
      <c r="X13" s="367"/>
      <c r="Y13" s="367"/>
      <c r="Z13" s="367"/>
      <c r="AA13" s="367"/>
      <c r="AB13" s="367"/>
      <c r="AC13" s="367"/>
      <c r="AD13" s="153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39"/>
      <c r="BE13" s="506"/>
      <c r="BF13" s="506" t="str">
        <f>IF(T13="","",T13)</f>
        <v>Добавить строку</v>
      </c>
      <c r="BG13" s="506"/>
      <c r="BH13" s="506"/>
    </row>
    <row s="2611" customFormat="1" customHeight="1" ht="14.25" hidden="1">
      <c r="A14" s="1373"/>
      <c r="B14" s="1373"/>
      <c r="C14" s="1373"/>
      <c r="D14" s="1373"/>
      <c r="E14" s="2108"/>
      <c r="F14" s="2108"/>
      <c r="G14" s="2108"/>
      <c r="H14" s="2108"/>
      <c r="I14" s="2109"/>
      <c r="J14" s="1373"/>
      <c r="K14" s="1373"/>
      <c r="L14" s="1376"/>
      <c r="M14" s="516"/>
      <c r="N14" s="516"/>
      <c r="O14" s="516"/>
      <c r="P14" s="2111"/>
      <c r="Q14" s="1511"/>
      <c r="R14" s="352"/>
      <c r="S14" s="1416"/>
      <c r="T14" s="1417"/>
      <c r="U14" s="1418"/>
      <c r="V14" s="1418"/>
      <c r="W14" s="1418"/>
      <c r="X14" s="1418"/>
      <c r="Y14" s="1418"/>
      <c r="Z14" s="1418"/>
      <c r="AA14" s="1418"/>
      <c r="AB14" s="1418"/>
      <c r="AC14" s="1418"/>
      <c r="AD14" s="1418"/>
      <c r="AE14" s="1418"/>
      <c r="AF14" s="1418"/>
      <c r="AG14" s="1418"/>
      <c r="AH14" s="1418"/>
      <c r="AI14" s="1418"/>
      <c r="AJ14" s="1418"/>
      <c r="AK14" s="1418"/>
      <c r="AL14" s="1418"/>
      <c r="AM14" s="1418"/>
      <c r="AN14" s="1418"/>
      <c r="AO14" s="1418"/>
      <c r="AP14" s="1418"/>
      <c r="AQ14" s="1418"/>
      <c r="AR14" s="1418"/>
      <c r="AS14" s="1418"/>
      <c r="AT14" s="1418"/>
      <c r="AU14" s="1418"/>
      <c r="AV14" s="1418"/>
      <c r="AW14" s="1418"/>
      <c r="AX14" s="1418"/>
      <c r="AY14" s="1418"/>
      <c r="AZ14" s="1418"/>
      <c r="BA14" s="1418"/>
      <c r="BB14" s="1418"/>
      <c r="BC14" s="1419"/>
      <c r="BE14" s="506"/>
      <c r="BF14" s="506" t="str">
        <f>IF(T14="","",T14)</f>
        <v/>
      </c>
      <c r="BG14" s="506"/>
      <c r="BH14" s="506"/>
    </row>
    <row s="2611" customFormat="1" customHeight="1" ht="14.25" hidden="1">
      <c r="A15" s="1373"/>
      <c r="B15" s="1373"/>
      <c r="C15" s="1373"/>
      <c r="D15" s="1373"/>
      <c r="E15" s="2108"/>
      <c r="F15" s="2108"/>
      <c r="G15" s="2108"/>
      <c r="H15" s="2107"/>
      <c r="I15" s="1373"/>
      <c r="J15" s="1373"/>
      <c r="K15" s="1373"/>
      <c r="L15" s="1376"/>
      <c r="M15" s="1345"/>
      <c r="N15" s="1345"/>
      <c r="O15" s="524"/>
      <c r="P15" s="385"/>
      <c r="Q15" s="1374"/>
      <c r="R15" s="1431"/>
      <c r="S15" s="1416"/>
      <c r="T15" s="1417"/>
      <c r="U15" s="1418"/>
      <c r="V15" s="1418"/>
      <c r="W15" s="1418"/>
      <c r="X15" s="1418"/>
      <c r="Y15" s="1418"/>
      <c r="Z15" s="1418"/>
      <c r="AA15" s="1418"/>
      <c r="AB15" s="1418"/>
      <c r="AC15" s="1418"/>
      <c r="AD15" s="1418"/>
      <c r="AE15" s="1418"/>
      <c r="AF15" s="1418"/>
      <c r="AG15" s="1418"/>
      <c r="AH15" s="1418"/>
      <c r="AI15" s="1418"/>
      <c r="AJ15" s="1418"/>
      <c r="AK15" s="1418"/>
      <c r="AL15" s="1418"/>
      <c r="AM15" s="1418"/>
      <c r="AN15" s="1418"/>
      <c r="AO15" s="1418"/>
      <c r="AP15" s="1418"/>
      <c r="AQ15" s="1418"/>
      <c r="AR15" s="1418"/>
      <c r="AS15" s="1418"/>
      <c r="AT15" s="1418"/>
      <c r="AU15" s="1418"/>
      <c r="AV15" s="1418"/>
      <c r="AW15" s="1418"/>
      <c r="AX15" s="1418"/>
      <c r="AY15" s="1418"/>
      <c r="AZ15" s="1418"/>
      <c r="BA15" s="1418"/>
      <c r="BB15" s="1418"/>
      <c r="BC15" s="1419"/>
      <c r="BE15" s="506"/>
      <c r="BF15" s="506" t="str">
        <f>IF(T15="","",T15)</f>
        <v/>
      </c>
      <c r="BG15" s="506"/>
      <c r="BH15" s="506"/>
    </row>
    <row s="3273" customFormat="1" customHeight="1" ht="14.25" hidden="1">
      <c r="A16" s="1373"/>
      <c r="B16" s="1373"/>
      <c r="C16" s="1373"/>
      <c r="D16" s="1344"/>
      <c r="E16" s="2108"/>
      <c r="F16" s="2108"/>
      <c r="G16" s="2107"/>
      <c r="H16" s="1344"/>
      <c r="I16" s="1344"/>
      <c r="J16" s="1344"/>
      <c r="K16" s="1344"/>
      <c r="L16" s="1524"/>
      <c r="M16" s="1345"/>
      <c r="N16" s="1345"/>
      <c r="P16" s="1346"/>
      <c r="Q16" s="1347"/>
      <c r="R16" s="1346"/>
      <c r="S16" s="1352"/>
      <c r="T16" s="1355"/>
      <c r="U16" s="1354"/>
      <c r="V16" s="1354"/>
      <c r="W16" s="1354"/>
      <c r="X16" s="1354"/>
      <c r="Y16" s="1354"/>
      <c r="Z16" s="1354"/>
      <c r="AA16" s="1354"/>
      <c r="AB16" s="1354"/>
      <c r="AC16" s="1354"/>
      <c r="AD16" s="1354"/>
      <c r="AE16" s="1354"/>
      <c r="AF16" s="1354"/>
      <c r="AG16" s="1354"/>
      <c r="AH16" s="1354"/>
      <c r="AI16" s="1354"/>
      <c r="AJ16" s="1354"/>
      <c r="AK16" s="1354"/>
      <c r="AL16" s="1354"/>
      <c r="AM16" s="1354"/>
      <c r="AN16" s="1354"/>
      <c r="AO16" s="1354"/>
      <c r="AP16" s="1354"/>
      <c r="AQ16" s="1354"/>
      <c r="AR16" s="1354"/>
      <c r="AS16" s="1354"/>
      <c r="AT16" s="1354"/>
      <c r="AU16" s="1354"/>
      <c r="AV16" s="1354"/>
      <c r="AW16" s="1354"/>
      <c r="AX16" s="1354"/>
      <c r="AY16" s="1354"/>
      <c r="AZ16" s="1354"/>
      <c r="BA16" s="1354"/>
      <c r="BB16" s="1354"/>
      <c r="BC16" s="1354"/>
      <c r="BE16" s="795"/>
      <c r="BF16" s="795" t="str">
        <f>IF(T16="","",T16)</f>
        <v/>
      </c>
      <c r="BG16" s="795"/>
      <c r="BH16" s="795"/>
    </row>
    <row s="3273" customFormat="1" customHeight="1" ht="14.25" hidden="1">
      <c r="A17" s="1373"/>
      <c r="B17" s="1373"/>
      <c r="C17" s="1344"/>
      <c r="D17" s="1344"/>
      <c r="E17" s="2108"/>
      <c r="F17" s="2107"/>
      <c r="G17" s="1344"/>
      <c r="H17" s="1344"/>
      <c r="I17" s="1344"/>
      <c r="J17" s="1344"/>
      <c r="K17" s="1344"/>
      <c r="L17" s="1524"/>
      <c r="M17" s="1351"/>
      <c r="N17" s="1351"/>
      <c r="P17" s="1346"/>
      <c r="Q17" s="1347"/>
      <c r="R17" s="1346"/>
      <c r="S17" s="1352"/>
      <c r="T17" s="1355" t="s">
        <v>182</v>
      </c>
      <c r="U17" s="1354"/>
      <c r="V17" s="1354"/>
      <c r="W17" s="1354"/>
      <c r="X17" s="1354"/>
      <c r="Y17" s="1354"/>
      <c r="Z17" s="1354"/>
      <c r="AA17" s="1354"/>
      <c r="AB17" s="1354"/>
      <c r="AC17" s="1354"/>
      <c r="AD17" s="1354"/>
      <c r="AE17" s="1354"/>
      <c r="AF17" s="1354"/>
      <c r="AG17" s="1354"/>
      <c r="AH17" s="1354"/>
      <c r="AI17" s="1354"/>
      <c r="AJ17" s="1354"/>
      <c r="AK17" s="1354"/>
      <c r="AL17" s="1354"/>
      <c r="AM17" s="1354"/>
      <c r="AN17" s="1354"/>
      <c r="AO17" s="1354"/>
      <c r="AP17" s="1354"/>
      <c r="AQ17" s="1354"/>
      <c r="AR17" s="1354"/>
      <c r="AS17" s="1354"/>
      <c r="AT17" s="1354"/>
      <c r="AU17" s="1354"/>
      <c r="AV17" s="1354"/>
      <c r="AW17" s="1354"/>
      <c r="AX17" s="1354"/>
      <c r="AY17" s="1354"/>
      <c r="AZ17" s="1354"/>
      <c r="BA17" s="1354"/>
      <c r="BB17" s="1354"/>
      <c r="BC17" s="1354"/>
      <c r="BE17" s="795"/>
      <c r="BF17" s="795" t="str">
        <f>IF(T17="","",T17)</f>
        <v>Добавить централизованную систему для дифференциации</v>
      </c>
      <c r="BG17" s="795"/>
      <c r="BH17" s="795"/>
    </row>
    <row s="2611" customFormat="1" customHeight="1" ht="14.25" hidden="1">
      <c r="A18" s="1373"/>
      <c r="B18" s="1373"/>
      <c r="C18" s="1373"/>
      <c r="D18" s="1373"/>
      <c r="E18" s="2107"/>
      <c r="F18" s="1373"/>
      <c r="G18" s="1373"/>
      <c r="H18" s="1373"/>
      <c r="I18" s="1373"/>
      <c r="J18" s="1373"/>
      <c r="K18" s="1373"/>
      <c r="L18" s="1376"/>
      <c r="M18" s="1351"/>
      <c r="N18" s="1351"/>
      <c r="O18" s="524"/>
      <c r="P18" s="385"/>
      <c r="Q18" s="1374"/>
      <c r="R18" s="385"/>
      <c r="S18" s="1352"/>
      <c r="T18" s="1355" t="s">
        <v>183</v>
      </c>
      <c r="U18" s="1354"/>
      <c r="V18" s="1354"/>
      <c r="W18" s="1354"/>
      <c r="X18" s="1354"/>
      <c r="Y18" s="1354"/>
      <c r="Z18" s="1354"/>
      <c r="AA18" s="1354"/>
      <c r="AB18" s="1354"/>
      <c r="AC18" s="1354"/>
      <c r="AD18" s="1354"/>
      <c r="AE18" s="1354"/>
      <c r="AF18" s="1354"/>
      <c r="AG18" s="1354"/>
      <c r="AH18" s="1354"/>
      <c r="AI18" s="1354"/>
      <c r="AJ18" s="1354"/>
      <c r="AK18" s="1354"/>
      <c r="AL18" s="1354"/>
      <c r="AM18" s="1354"/>
      <c r="AN18" s="1354"/>
      <c r="AO18" s="1354"/>
      <c r="AP18" s="1354"/>
      <c r="AQ18" s="1354"/>
      <c r="AR18" s="1354"/>
      <c r="AS18" s="1354"/>
      <c r="AT18" s="1354"/>
      <c r="AU18" s="1354"/>
      <c r="AV18" s="1354"/>
      <c r="AW18" s="1354"/>
      <c r="AX18" s="1354"/>
      <c r="AY18" s="1354"/>
      <c r="AZ18" s="1354"/>
      <c r="BA18" s="1354"/>
      <c r="BB18" s="1354"/>
      <c r="BC18" s="1354"/>
      <c r="BE18" s="506"/>
      <c r="BF18" s="506" t="str">
        <f>IF(T18="","",T18)</f>
        <v>Добавить территорию для дифференциации</v>
      </c>
      <c r="BG18" s="506"/>
      <c r="BH18" s="506"/>
    </row>
    <row customHeight="1" ht="14.25" hidden="1">
      <c r="AC19" s="323"/>
      <c r="BA19" s="323"/>
    </row>
    <row customHeight="1" ht="14.25" hidden="1">
      <c r="AD20" s="1354" t="s">
        <v>57</v>
      </c>
      <c r="AE20" s="1531"/>
      <c r="AF20" s="554">
        <v>1</v>
      </c>
      <c r="AG20" s="1532"/>
      <c r="AH20" s="1354" t="s">
        <v>57</v>
      </c>
      <c r="AI20" s="1531"/>
      <c r="AJ20" s="554">
        <v>1</v>
      </c>
      <c r="AK20" s="1532"/>
      <c r="AL20" s="1354" t="s">
        <v>57</v>
      </c>
      <c r="AM20" s="1533"/>
      <c r="AN20" s="554">
        <v>1</v>
      </c>
      <c r="AO20" s="1534"/>
      <c r="AP20" s="1354" t="s">
        <v>57</v>
      </c>
      <c r="AQ20" s="1533"/>
      <c r="AR20" s="554">
        <v>1</v>
      </c>
      <c r="AS20" s="1534"/>
      <c r="AT20" s="320"/>
      <c r="AU20" s="390"/>
      <c r="AV20" s="320"/>
      <c r="AW20" s="390"/>
      <c r="AX20" s="1776"/>
      <c r="AY20" s="1515" t="s">
        <v>62</v>
      </c>
      <c r="AZ20" s="1776"/>
      <c r="BA20" s="1515" t="s">
        <v>62</v>
      </c>
    </row>
    <row customHeight="1" ht="14.25" hidden="1">
      <c r="BD21" s="502"/>
      <c r="BE21" s="502"/>
      <c r="BF21" s="502"/>
      <c r="BG21" s="502"/>
      <c r="BH21" s="502"/>
    </row>
    <row customHeight="1" ht="14.25" hidden="1">
      <c r="O22" s="1397" t="s">
        <v>409</v>
      </c>
      <c r="Z22" s="1375"/>
      <c r="AB22" s="1375"/>
      <c r="AC22" s="323"/>
      <c r="AX22" s="1375"/>
      <c r="AZ22" s="1375"/>
      <c r="BA22" s="323"/>
      <c r="BD22" s="502"/>
      <c r="BE22" s="502"/>
      <c r="BF22" s="502"/>
      <c r="BG22" s="502"/>
      <c r="BH22" s="502"/>
    </row>
    <row customHeight="1" ht="14.25" hidden="1">
      <c r="AC23" s="323"/>
      <c r="BA23" s="323"/>
      <c r="BD23" s="502"/>
      <c r="BE23" s="502"/>
      <c r="BF23" s="502"/>
      <c r="BG23" s="502"/>
      <c r="BH23" s="502"/>
    </row>
    <row s="3732" customFormat="1" customHeight="1" ht="14.25" hidden="1">
      <c r="M24" s="1538"/>
      <c r="N24" s="1538"/>
      <c r="O24" s="1539" t="s">
        <v>410</v>
      </c>
      <c r="P24" s="1538"/>
      <c r="Q24" s="1540"/>
      <c r="R24" s="1540"/>
      <c r="AA24" s="1537" t="s">
        <v>412</v>
      </c>
      <c r="AC24" s="1537" t="s">
        <v>413</v>
      </c>
      <c r="AD24" s="1537" t="s">
        <v>464</v>
      </c>
      <c r="AH24" s="1537" t="s">
        <v>464</v>
      </c>
      <c r="AK24" s="1537" t="s">
        <v>500</v>
      </c>
      <c r="AL24" s="1537" t="s">
        <v>464</v>
      </c>
      <c r="AP24" s="1537" t="s">
        <v>464</v>
      </c>
      <c r="AY24" s="1537" t="s">
        <v>412</v>
      </c>
      <c r="BA24" s="1537" t="s">
        <v>413</v>
      </c>
      <c r="BD24" s="1541"/>
      <c r="BE24" s="1541"/>
      <c r="BF24" s="1541"/>
      <c r="BG24" s="1541"/>
      <c r="BH24" s="1541"/>
    </row>
    <row customHeight="1" ht="14.25" hidden="1">
      <c r="O25" s="1394"/>
      <c r="BD25" s="502"/>
      <c r="BE25" s="502"/>
      <c r="BF25" s="502"/>
      <c r="BG25" s="502"/>
      <c r="BH25" s="502"/>
    </row>
    <row customHeight="1" ht="14.25" hidden="1">
      <c r="O26" s="1394"/>
      <c r="BD26" s="502"/>
      <c r="BE26" s="502"/>
      <c r="BF26" s="502"/>
      <c r="BG26" s="502"/>
      <c r="BH26" s="502"/>
    </row>
    <row customHeight="1" ht="14.25">
      <c r="Q27" s="279"/>
      <c r="R27" s="377"/>
      <c r="S27" s="1305"/>
      <c r="T27" s="361"/>
      <c r="U27" s="361"/>
      <c r="V27" s="515"/>
      <c r="W27" s="515"/>
      <c r="X27" s="515"/>
      <c r="Y27" s="515"/>
      <c r="Z27" s="515"/>
      <c r="AA27" s="515"/>
      <c r="AB27" s="515"/>
      <c r="AC27" s="515"/>
      <c r="AD27" s="515"/>
      <c r="AE27" s="515"/>
      <c r="AF27" s="515"/>
      <c r="AG27" s="515"/>
      <c r="AH27" s="515"/>
      <c r="AI27" s="515"/>
      <c r="AJ27" s="515"/>
      <c r="AK27" s="515"/>
      <c r="AL27" s="515"/>
      <c r="AM27" s="515"/>
      <c r="AN27" s="515"/>
      <c r="AO27" s="515"/>
      <c r="AP27" s="515"/>
      <c r="AQ27" s="515"/>
      <c r="AR27" s="515"/>
      <c r="AS27" s="515"/>
      <c r="AT27" s="515"/>
      <c r="AU27" s="515"/>
      <c r="AV27" s="515"/>
      <c r="AW27" s="515"/>
      <c r="AX27" s="515"/>
      <c r="AY27" s="515"/>
      <c r="AZ27" s="515"/>
      <c r="BA27" s="515"/>
    </row>
    <row customHeight="1" ht="14.25">
      <c r="Q28" s="279"/>
      <c r="R28" s="377"/>
      <c r="S28" s="2140" t="str">
        <f>IF(TEMPLATE_GROUP="P",PT_P_FORM_VOTV_5_NAME_FORM,PT_R_FORM_VOTV_17_NAME_FORM)</f>
        <v>Форма 3.  Информация об установленных тарифах на подключение (технологическое присоединение) к централизованной системе водоотведения</v>
      </c>
      <c r="T28" s="2140"/>
      <c r="U28" s="2140"/>
      <c r="V28" s="2140"/>
      <c r="W28" s="2140"/>
      <c r="X28" s="2140"/>
      <c r="Y28" s="2140"/>
      <c r="Z28" s="2140"/>
      <c r="AA28" s="2140"/>
      <c r="AB28" s="2140"/>
      <c r="AC28" s="2140"/>
      <c r="AD28" s="2140"/>
      <c r="AE28" s="2140"/>
      <c r="AF28" s="2140"/>
      <c r="AG28" s="2140"/>
      <c r="AH28" s="2140"/>
      <c r="AI28" s="2140"/>
      <c r="AJ28" s="2140"/>
      <c r="AK28" s="2140"/>
      <c r="AL28" s="2140"/>
      <c r="AM28" s="2140"/>
      <c r="AN28" s="2140"/>
      <c r="AO28" s="2140"/>
      <c r="AP28" s="2140"/>
      <c r="AQ28" s="2140"/>
      <c r="AR28" s="2140"/>
      <c r="AS28" s="2140"/>
      <c r="AT28" s="2140"/>
      <c r="AU28" s="2140"/>
      <c r="AV28" s="2140"/>
      <c r="AW28" s="2140"/>
      <c r="AX28" s="2140"/>
      <c r="AY28" s="2140"/>
      <c r="AZ28" s="2140"/>
      <c r="BA28" s="1261"/>
    </row>
    <row customHeight="1" ht="14.25">
      <c r="Q29" s="279"/>
      <c r="R29" s="377"/>
      <c r="S29" s="2141" t="str">
        <f>IF(org=0,"Не определено",org)</f>
        <v>ЗАО "Байкалэнерго"</v>
      </c>
      <c r="T29" s="2141"/>
      <c r="U29" s="2141"/>
      <c r="V29" s="2141"/>
      <c r="W29" s="2141"/>
      <c r="X29" s="2141"/>
      <c r="Y29" s="2141"/>
      <c r="Z29" s="2141"/>
      <c r="AA29" s="2141"/>
      <c r="AB29" s="2141"/>
      <c r="AC29" s="2141"/>
      <c r="AD29" s="2141"/>
      <c r="AE29" s="2141"/>
      <c r="AF29" s="2141"/>
      <c r="AG29" s="2141"/>
      <c r="AH29" s="2141"/>
      <c r="AI29" s="2141"/>
      <c r="AJ29" s="2141"/>
      <c r="AK29" s="2141"/>
      <c r="AL29" s="2141"/>
      <c r="AM29" s="2141"/>
      <c r="AN29" s="2141"/>
      <c r="AO29" s="2141"/>
      <c r="AP29" s="2141"/>
      <c r="AQ29" s="2141"/>
      <c r="AR29" s="2141"/>
      <c r="AS29" s="2141"/>
      <c r="AT29" s="2141"/>
      <c r="AU29" s="2141"/>
      <c r="AV29" s="2141"/>
      <c r="AW29" s="2141"/>
      <c r="AX29" s="2141"/>
      <c r="AY29" s="2141"/>
      <c r="AZ29" s="2141"/>
      <c r="BA29" s="1261"/>
    </row>
    <row customHeight="1" ht="14.25">
      <c r="Q30" s="279"/>
      <c r="R30" s="377"/>
      <c r="S30" s="1305"/>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5"/>
    </row>
    <row s="3305" customFormat="1" customHeight="1" ht="25.5">
      <c r="A31" s="1398"/>
      <c r="B31" s="1398"/>
      <c r="C31" s="1398"/>
      <c r="D31" s="1398"/>
      <c r="E31" s="1398"/>
      <c r="F31" s="1398"/>
      <c r="G31" s="1398"/>
      <c r="H31" s="1398"/>
      <c r="I31" s="1398"/>
      <c r="J31" s="1398"/>
      <c r="K31" s="1398"/>
      <c r="L31" s="1399"/>
      <c r="M31" s="1398"/>
      <c r="N31" s="1398"/>
      <c r="O31" s="1398"/>
      <c r="P31" s="1398"/>
      <c r="Q31" s="1398"/>
      <c r="S31" s="2098" t="s">
        <v>38</v>
      </c>
      <c r="T31" s="2098"/>
      <c r="U31" s="1402"/>
      <c r="V31" s="2100" t="str">
        <f>IF(TITLE_NAME_OR_PR_CHANGE="",IF(TITLE_NAME_OR_PR="","",TITLE_NAME_OR_PR),TITLE_NAME_OR_PR_CHANGE)</f>
        <v>Служба по тарифам Иркутской области</v>
      </c>
      <c r="W31" s="2100"/>
      <c r="X31" s="2100"/>
      <c r="Y31" s="2100"/>
      <c r="Z31" s="2100"/>
      <c r="AA31" s="2100"/>
      <c r="AB31" s="2100"/>
      <c r="AC31" s="322"/>
      <c r="AD31" s="2100" t="str">
        <f>IF(TITLE_NAME_OR_PR_CHANGE="",IF(TITLE_NAME_OR_PR="","",TITLE_NAME_OR_PR),TITLE_NAME_OR_PR_CHANGE)</f>
        <v>Служба по тарифам Иркутской области</v>
      </c>
      <c r="AE31" s="2100"/>
      <c r="AF31" s="2100"/>
      <c r="AG31" s="2100"/>
      <c r="AH31" s="2100"/>
      <c r="AI31" s="2100"/>
      <c r="AJ31" s="2100"/>
      <c r="AK31" s="2100"/>
      <c r="AL31" s="2100"/>
      <c r="AM31" s="2100"/>
      <c r="AN31" s="2100"/>
      <c r="AO31" s="2100"/>
      <c r="AP31" s="2100"/>
      <c r="AQ31" s="2100"/>
      <c r="AR31" s="2100"/>
      <c r="AS31" s="2100"/>
      <c r="AT31" s="2100"/>
      <c r="AU31" s="2100"/>
      <c r="AV31" s="2100"/>
      <c r="AW31" s="2100"/>
      <c r="AX31" s="2100"/>
      <c r="AY31" s="2100"/>
      <c r="AZ31" s="2100"/>
      <c r="BA31" s="322"/>
      <c r="BB31" s="322"/>
      <c r="BC31" s="268"/>
      <c r="BD31" s="368"/>
      <c r="BE31" s="368"/>
      <c r="BF31" s="368"/>
      <c r="BG31" s="368"/>
      <c r="BH31" s="368"/>
    </row>
    <row s="3305" customFormat="1" customHeight="1" ht="18.75">
      <c r="A32" s="1398"/>
      <c r="B32" s="1398"/>
      <c r="C32" s="1398"/>
      <c r="D32" s="1398"/>
      <c r="E32" s="1398"/>
      <c r="F32" s="1398"/>
      <c r="G32" s="1398"/>
      <c r="H32" s="1398"/>
      <c r="I32" s="1398"/>
      <c r="J32" s="1398"/>
      <c r="K32" s="1398"/>
      <c r="L32" s="1399"/>
      <c r="M32" s="1398"/>
      <c r="N32" s="1398"/>
      <c r="O32" s="1398"/>
      <c r="P32" s="1398"/>
      <c r="Q32" s="1398"/>
      <c r="S32" s="2098" t="s">
        <v>415</v>
      </c>
      <c r="T32" s="2098"/>
      <c r="U32" s="1402"/>
      <c r="V32" s="2099" t="str">
        <f>IF(TITLE_DATE_PR_CHANGE="",IF(TITLE_DATE_PR="","",TITLE_DATE_PR),TITLE_DATE_PR_CHANGE)</f>
        <v>45280.56123842593</v>
      </c>
      <c r="W32" s="2099"/>
      <c r="X32" s="2099"/>
      <c r="Y32" s="2099"/>
      <c r="Z32" s="2099"/>
      <c r="AA32" s="2099"/>
      <c r="AB32" s="2099"/>
      <c r="AC32" s="322"/>
      <c r="AD32" s="2099" t="str">
        <f>IF(TITLE_DATE_PR_CHANGE="",IF(TITLE_DATE_PR="","",TITLE_DATE_PR),TITLE_DATE_PR_CHANGE)</f>
        <v>45280.56123842593</v>
      </c>
      <c r="AE32" s="2099"/>
      <c r="AF32" s="2099"/>
      <c r="AG32" s="2099"/>
      <c r="AH32" s="2099"/>
      <c r="AI32" s="2099"/>
      <c r="AJ32" s="2099"/>
      <c r="AK32" s="2099"/>
      <c r="AL32" s="2099"/>
      <c r="AM32" s="2099"/>
      <c r="AN32" s="2099"/>
      <c r="AO32" s="2099"/>
      <c r="AP32" s="2099"/>
      <c r="AQ32" s="2099"/>
      <c r="AR32" s="2099"/>
      <c r="AS32" s="2099"/>
      <c r="AT32" s="2099"/>
      <c r="AU32" s="2099"/>
      <c r="AV32" s="2099"/>
      <c r="AW32" s="2099"/>
      <c r="AX32" s="2099"/>
      <c r="AY32" s="2099"/>
      <c r="AZ32" s="2099"/>
      <c r="BA32" s="322"/>
      <c r="BB32" s="322"/>
      <c r="BC32" s="268"/>
      <c r="BD32" s="368"/>
      <c r="BE32" s="368"/>
      <c r="BF32" s="368"/>
      <c r="BG32" s="368"/>
      <c r="BH32" s="368"/>
    </row>
    <row s="3305" customFormat="1" customHeight="1" ht="18.75">
      <c r="A33" s="1398"/>
      <c r="B33" s="1398"/>
      <c r="C33" s="1398"/>
      <c r="D33" s="1398"/>
      <c r="E33" s="1398"/>
      <c r="F33" s="1398"/>
      <c r="G33" s="1398"/>
      <c r="H33" s="1398"/>
      <c r="I33" s="1398"/>
      <c r="J33" s="1398"/>
      <c r="K33" s="1398"/>
      <c r="L33" s="1399"/>
      <c r="M33" s="1398"/>
      <c r="N33" s="1398"/>
      <c r="O33" s="1398"/>
      <c r="P33" s="1398"/>
      <c r="Q33" s="1398"/>
      <c r="S33" s="2098" t="s">
        <v>416</v>
      </c>
      <c r="T33" s="2098"/>
      <c r="U33" s="1402"/>
      <c r="V33" s="2100" t="str">
        <f>IF(TITLE_NUMBER_PR_CHANGE="",IF(TITLE_NUMBER_PR="","",TITLE_NUMBER_PR),TITLE_NUMBER_PR_CHANGE)</f>
        <v>79-477-спр</v>
      </c>
      <c r="W33" s="2100"/>
      <c r="X33" s="2100"/>
      <c r="Y33" s="2100"/>
      <c r="Z33" s="2100"/>
      <c r="AA33" s="2100"/>
      <c r="AB33" s="2100"/>
      <c r="AC33" s="322"/>
      <c r="AD33" s="2100" t="str">
        <f>IF(TITLE_NUMBER_PR_CHANGE="",IF(TITLE_NUMBER_PR="","",TITLE_NUMBER_PR),TITLE_NUMBER_PR_CHANGE)</f>
        <v>79-477-спр</v>
      </c>
      <c r="AE33" s="2100"/>
      <c r="AF33" s="2100"/>
      <c r="AG33" s="2100"/>
      <c r="AH33" s="2100"/>
      <c r="AI33" s="2100"/>
      <c r="AJ33" s="2100"/>
      <c r="AK33" s="2100"/>
      <c r="AL33" s="2100"/>
      <c r="AM33" s="2100"/>
      <c r="AN33" s="2100"/>
      <c r="AO33" s="2100"/>
      <c r="AP33" s="2100"/>
      <c r="AQ33" s="2100"/>
      <c r="AR33" s="2100"/>
      <c r="AS33" s="2100"/>
      <c r="AT33" s="2100"/>
      <c r="AU33" s="2100"/>
      <c r="AV33" s="2100"/>
      <c r="AW33" s="2100"/>
      <c r="AX33" s="2100"/>
      <c r="AY33" s="2100"/>
      <c r="AZ33" s="2100"/>
      <c r="BA33" s="322"/>
      <c r="BB33" s="322"/>
      <c r="BC33" s="268"/>
      <c r="BD33" s="368"/>
      <c r="BE33" s="368"/>
      <c r="BF33" s="368"/>
      <c r="BG33" s="368"/>
      <c r="BH33" s="368"/>
    </row>
    <row s="3305" customFormat="1" customHeight="1" ht="18.75">
      <c r="A34" s="1398"/>
      <c r="B34" s="1398"/>
      <c r="C34" s="1398"/>
      <c r="D34" s="1398"/>
      <c r="E34" s="1398"/>
      <c r="F34" s="1398"/>
      <c r="G34" s="1398"/>
      <c r="H34" s="1398"/>
      <c r="I34" s="1398"/>
      <c r="J34" s="1398"/>
      <c r="K34" s="1398"/>
      <c r="L34" s="1399"/>
      <c r="M34" s="1398"/>
      <c r="N34" s="1398"/>
      <c r="O34" s="1398"/>
      <c r="P34" s="1398"/>
      <c r="Q34" s="1398"/>
      <c r="S34" s="2098" t="s">
        <v>40</v>
      </c>
      <c r="T34" s="2098"/>
      <c r="U34" s="1402"/>
      <c r="V34" s="2100" t="str">
        <f>IF(TITLE_IST_PUB_CHANGE="",IF(TITLE_IST_PUB="","",TITLE_IST_PUB),TITLE_IST_PUB_CHANGE)</f>
        <v>Официальный сайт службы по тарифам Иркутской области http://irkobl.ru</v>
      </c>
      <c r="W34" s="2100"/>
      <c r="X34" s="2100"/>
      <c r="Y34" s="2100"/>
      <c r="Z34" s="2100"/>
      <c r="AA34" s="2100"/>
      <c r="AB34" s="2100"/>
      <c r="AC34" s="322"/>
      <c r="AD34" s="2100" t="str">
        <f>IF(TITLE_IST_PUB_CHANGE="",IF(TITLE_IST_PUB="","",TITLE_IST_PUB),TITLE_IST_PUB_CHANGE)</f>
        <v>Официальный сайт службы по тарифам Иркутской области http://irkobl.ru</v>
      </c>
      <c r="AE34" s="2100"/>
      <c r="AF34" s="2100"/>
      <c r="AG34" s="2100"/>
      <c r="AH34" s="2100"/>
      <c r="AI34" s="2100"/>
      <c r="AJ34" s="2100"/>
      <c r="AK34" s="2100"/>
      <c r="AL34" s="2100"/>
      <c r="AM34" s="2100"/>
      <c r="AN34" s="2100"/>
      <c r="AO34" s="2100"/>
      <c r="AP34" s="2100"/>
      <c r="AQ34" s="2100"/>
      <c r="AR34" s="2100"/>
      <c r="AS34" s="2100"/>
      <c r="AT34" s="2100"/>
      <c r="AU34" s="2100"/>
      <c r="AV34" s="2100"/>
      <c r="AW34" s="2100"/>
      <c r="AX34" s="2100"/>
      <c r="AY34" s="2100"/>
      <c r="AZ34" s="2100"/>
      <c r="BA34" s="322"/>
      <c r="BB34" s="322"/>
      <c r="BC34" s="268"/>
      <c r="BD34" s="368"/>
      <c r="BE34" s="368"/>
      <c r="BF34" s="368"/>
      <c r="BG34" s="368"/>
      <c r="BH34" s="368"/>
    </row>
    <row customHeight="1" ht="14.25" hidden="1">
      <c r="Q35" s="279"/>
      <c r="R35" s="377"/>
      <c r="S35" s="1305"/>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5"/>
    </row>
    <row s="3305" customFormat="1" customHeight="1" ht="18.75" hidden="1">
      <c r="A36" s="1398"/>
      <c r="B36" s="1398"/>
      <c r="C36" s="1398"/>
      <c r="D36" s="1398"/>
      <c r="E36" s="1398"/>
      <c r="F36" s="1398"/>
      <c r="G36" s="1398"/>
      <c r="H36" s="1398"/>
      <c r="I36" s="1398"/>
      <c r="J36" s="1398"/>
      <c r="K36" s="1398"/>
      <c r="L36" s="1399"/>
      <c r="M36" s="1398"/>
      <c r="N36" s="1398"/>
      <c r="O36" s="1398"/>
      <c r="P36" s="1398"/>
      <c r="Q36" s="1398"/>
      <c r="S36" s="2098" t="s">
        <v>415</v>
      </c>
      <c r="T36" s="2098"/>
      <c r="U36" s="1402"/>
      <c r="V36" s="2099" t="str">
        <f>IF(TITLE_DATE_PR_CHANGE="",IF(TITLE_DATE_PR="","",TITLE_DATE_PR),TITLE_DATE_PR_CHANGE)</f>
        <v>45280.56123842593</v>
      </c>
      <c r="W36" s="2099"/>
      <c r="X36" s="2099"/>
      <c r="Y36" s="2099"/>
      <c r="Z36" s="2099"/>
      <c r="AA36" s="2099"/>
      <c r="AB36" s="2099"/>
      <c r="AC36" s="322"/>
      <c r="AD36" s="2099" t="str">
        <f>IF(TITLE_DATE_PR_CHANGE="",IF(TITLE_DATE_PR="","",TITLE_DATE_PR),TITLE_DATE_PR_CHANGE)</f>
        <v>45280.56123842593</v>
      </c>
      <c r="AE36" s="2099"/>
      <c r="AF36" s="2099"/>
      <c r="AG36" s="2099"/>
      <c r="AH36" s="2099"/>
      <c r="AI36" s="2099"/>
      <c r="AJ36" s="2099"/>
      <c r="AK36" s="2099"/>
      <c r="AL36" s="2099"/>
      <c r="AM36" s="2099"/>
      <c r="AN36" s="2099"/>
      <c r="AO36" s="2099"/>
      <c r="AP36" s="2099"/>
      <c r="AQ36" s="2099"/>
      <c r="AR36" s="2099"/>
      <c r="AS36" s="2099"/>
      <c r="AT36" s="2099"/>
      <c r="AU36" s="2099"/>
      <c r="AV36" s="2099"/>
      <c r="AW36" s="2099"/>
      <c r="AX36" s="2099"/>
      <c r="AY36" s="2099"/>
      <c r="AZ36" s="2099"/>
      <c r="BA36" s="322"/>
      <c r="BB36" s="322"/>
      <c r="BC36" s="268"/>
      <c r="BD36" s="368"/>
      <c r="BE36" s="368"/>
      <c r="BF36" s="368"/>
      <c r="BG36" s="368"/>
      <c r="BH36" s="368"/>
    </row>
    <row s="3305" customFormat="1" customHeight="1" ht="18.75" hidden="1">
      <c r="A37" s="1398"/>
      <c r="B37" s="1398"/>
      <c r="C37" s="1398"/>
      <c r="D37" s="1398"/>
      <c r="E37" s="1398"/>
      <c r="F37" s="1398"/>
      <c r="G37" s="1398"/>
      <c r="H37" s="1398"/>
      <c r="I37" s="1398"/>
      <c r="J37" s="1398"/>
      <c r="K37" s="1398"/>
      <c r="L37" s="1399"/>
      <c r="M37" s="1398"/>
      <c r="N37" s="1398"/>
      <c r="O37" s="1398"/>
      <c r="P37" s="1398"/>
      <c r="Q37" s="1398"/>
      <c r="S37" s="2098" t="s">
        <v>416</v>
      </c>
      <c r="T37" s="2098"/>
      <c r="U37" s="1402"/>
      <c r="V37" s="2100" t="str">
        <f>IF(TITLE_NUMBER_PR_CHANGE="",IF(TITLE_NUMBER_PR="","",TITLE_NUMBER_PR),TITLE_NUMBER_PR_CHANGE)</f>
        <v>79-477-спр</v>
      </c>
      <c r="W37" s="2100"/>
      <c r="X37" s="2100"/>
      <c r="Y37" s="2100"/>
      <c r="Z37" s="2100"/>
      <c r="AA37" s="2100"/>
      <c r="AB37" s="2100"/>
      <c r="AC37" s="322"/>
      <c r="AD37" s="2100" t="str">
        <f>IF(TITLE_NUMBER_PR_CHANGE="",IF(TITLE_NUMBER_PR="","",TITLE_NUMBER_PR),TITLE_NUMBER_PR_CHANGE)</f>
        <v>79-477-спр</v>
      </c>
      <c r="AE37" s="2100"/>
      <c r="AF37" s="2100"/>
      <c r="AG37" s="2100"/>
      <c r="AH37" s="2100"/>
      <c r="AI37" s="2100"/>
      <c r="AJ37" s="2100"/>
      <c r="AK37" s="2100"/>
      <c r="AL37" s="2100"/>
      <c r="AM37" s="2100"/>
      <c r="AN37" s="2100"/>
      <c r="AO37" s="2100"/>
      <c r="AP37" s="2100"/>
      <c r="AQ37" s="2100"/>
      <c r="AR37" s="2100"/>
      <c r="AS37" s="2100"/>
      <c r="AT37" s="2100"/>
      <c r="AU37" s="2100"/>
      <c r="AV37" s="2100"/>
      <c r="AW37" s="2100"/>
      <c r="AX37" s="2100"/>
      <c r="AY37" s="2100"/>
      <c r="AZ37" s="2100"/>
      <c r="BA37" s="322"/>
      <c r="BB37" s="322"/>
      <c r="BC37" s="268"/>
      <c r="BD37" s="368"/>
      <c r="BE37" s="368"/>
      <c r="BF37" s="368"/>
      <c r="BG37" s="368"/>
      <c r="BH37" s="368"/>
    </row>
    <row s="3305" customFormat="1" customHeight="1" ht="0">
      <c r="A38" s="1398"/>
      <c r="B38" s="1398"/>
      <c r="C38" s="1398"/>
      <c r="D38" s="1398"/>
      <c r="E38" s="1398"/>
      <c r="F38" s="1398"/>
      <c r="G38" s="1398"/>
      <c r="H38" s="1398"/>
      <c r="I38" s="1398"/>
      <c r="J38" s="1398"/>
      <c r="K38" s="1398"/>
      <c r="L38" s="1399"/>
      <c r="M38" s="1398"/>
      <c r="N38" s="1398"/>
      <c r="O38" s="1398"/>
      <c r="P38" s="1398"/>
      <c r="Q38" s="1398"/>
      <c r="S38" s="318"/>
      <c r="T38" s="318"/>
      <c r="U38" s="1518"/>
      <c r="V38" s="322"/>
      <c r="W38" s="322"/>
      <c r="X38" s="322"/>
      <c r="Y38" s="322"/>
      <c r="Z38" s="322"/>
      <c r="AA38" s="322"/>
      <c r="AB38" s="322"/>
      <c r="AC38" s="266" t="s">
        <v>419</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419</v>
      </c>
      <c r="BD38" s="368"/>
      <c r="BE38" s="368"/>
      <c r="BF38" s="368"/>
      <c r="BG38" s="368"/>
      <c r="BH38" s="368"/>
    </row>
    <row customHeight="1" ht="14.25">
      <c r="Q39" s="279"/>
      <c r="R39" s="377"/>
      <c r="S39" s="1305"/>
      <c r="T39" s="361"/>
      <c r="U39" s="1262"/>
      <c r="V39" s="2124"/>
      <c r="W39" s="2124"/>
      <c r="X39" s="2124"/>
      <c r="Y39" s="2124"/>
      <c r="Z39" s="2124"/>
      <c r="AA39" s="2124"/>
      <c r="AB39" s="2124"/>
      <c r="AC39" s="2124"/>
      <c r="AD39" s="2124"/>
      <c r="AE39" s="2124"/>
      <c r="AF39" s="2124"/>
      <c r="AG39" s="2124"/>
      <c r="AH39" s="2124"/>
      <c r="AI39" s="2124"/>
      <c r="AJ39" s="2124"/>
      <c r="AK39" s="2124"/>
      <c r="AL39" s="2124"/>
      <c r="AM39" s="2124"/>
      <c r="AN39" s="2124"/>
      <c r="AO39" s="2124"/>
      <c r="AP39" s="2124"/>
      <c r="AQ39" s="2124"/>
      <c r="AR39" s="2124"/>
      <c r="AS39" s="2124"/>
      <c r="AT39" s="2124"/>
      <c r="AU39" s="2124"/>
      <c r="AV39" s="2124"/>
      <c r="AW39" s="2124"/>
      <c r="AX39" s="2124"/>
      <c r="AY39" s="2124"/>
      <c r="AZ39" s="2124"/>
      <c r="BA39" s="2124"/>
    </row>
    <row customHeight="1" ht="14.25">
      <c r="Q40" s="279"/>
      <c r="R40" s="377"/>
      <c r="S40" s="1971" t="s">
        <v>293</v>
      </c>
      <c r="T40" s="1971"/>
      <c r="U40" s="1971"/>
      <c r="V40" s="1971"/>
      <c r="W40" s="1971"/>
      <c r="X40" s="1971"/>
      <c r="Y40" s="1971"/>
      <c r="Z40" s="1971"/>
      <c r="AA40" s="1971"/>
      <c r="AB40" s="1971"/>
      <c r="AC40" s="1971"/>
      <c r="AD40" s="1971"/>
      <c r="AE40" s="1971"/>
      <c r="AF40" s="1971"/>
      <c r="AG40" s="1971"/>
      <c r="AH40" s="1971"/>
      <c r="AI40" s="1971"/>
      <c r="AJ40" s="1971"/>
      <c r="AK40" s="1971"/>
      <c r="AL40" s="1971"/>
      <c r="AM40" s="1971"/>
      <c r="AN40" s="1971"/>
      <c r="AO40" s="1971"/>
      <c r="AP40" s="1971"/>
      <c r="AQ40" s="1971"/>
      <c r="AR40" s="1971"/>
      <c r="AS40" s="1971"/>
      <c r="AT40" s="1971"/>
      <c r="AU40" s="1971"/>
      <c r="AV40" s="1971"/>
      <c r="AW40" s="1971"/>
      <c r="AX40" s="1971"/>
      <c r="AY40" s="1971"/>
      <c r="AZ40" s="1971"/>
      <c r="BA40" s="1971"/>
      <c r="BB40" s="1971"/>
      <c r="BC40" s="1971" t="s">
        <v>294</v>
      </c>
    </row>
    <row customHeight="1" ht="14.25">
      <c r="Q41" s="279"/>
      <c r="R41" s="377"/>
      <c r="S41" s="2125" t="s">
        <v>88</v>
      </c>
      <c r="T41" s="2062" t="s">
        <v>501</v>
      </c>
      <c r="U41" s="289"/>
      <c r="V41" s="2126" t="s">
        <v>421</v>
      </c>
      <c r="W41" s="2127"/>
      <c r="X41" s="2127"/>
      <c r="Y41" s="2127"/>
      <c r="Z41" s="2127"/>
      <c r="AA41" s="2127"/>
      <c r="AB41" s="2128"/>
      <c r="AC41" s="2129" t="s">
        <v>422</v>
      </c>
      <c r="AD41" s="2173" t="s">
        <v>518</v>
      </c>
      <c r="AE41" s="2146"/>
      <c r="AF41" s="2146"/>
      <c r="AG41" s="2174"/>
      <c r="AH41" s="2173" t="s">
        <v>519</v>
      </c>
      <c r="AI41" s="2146"/>
      <c r="AJ41" s="2146"/>
      <c r="AK41" s="2174"/>
      <c r="AL41" s="2173" t="s">
        <v>520</v>
      </c>
      <c r="AM41" s="2146"/>
      <c r="AN41" s="2146"/>
      <c r="AO41" s="2174"/>
      <c r="AP41" s="2173" t="s">
        <v>505</v>
      </c>
      <c r="AQ41" s="2146"/>
      <c r="AR41" s="2146"/>
      <c r="AS41" s="2174"/>
      <c r="AT41" s="2126" t="s">
        <v>421</v>
      </c>
      <c r="AU41" s="2127"/>
      <c r="AV41" s="2127"/>
      <c r="AW41" s="2127"/>
      <c r="AX41" s="2127"/>
      <c r="AY41" s="2127"/>
      <c r="AZ41" s="2128"/>
      <c r="BA41" s="2129" t="s">
        <v>422</v>
      </c>
      <c r="BB41" s="2132" t="s">
        <v>424</v>
      </c>
      <c r="BC41" s="1971"/>
    </row>
    <row customHeight="1" ht="33.75">
      <c r="Q42" s="279"/>
      <c r="R42" s="377"/>
      <c r="S42" s="2125"/>
      <c r="T42" s="2062"/>
      <c r="U42" s="1038"/>
      <c r="V42" s="2029" t="s">
        <v>506</v>
      </c>
      <c r="W42" s="2030"/>
      <c r="X42" s="2029" t="s">
        <v>507</v>
      </c>
      <c r="Y42" s="2030"/>
      <c r="Z42" s="2144" t="s">
        <v>508</v>
      </c>
      <c r="AA42" s="2162"/>
      <c r="AB42" s="2163"/>
      <c r="AC42" s="2130"/>
      <c r="AD42" s="2175"/>
      <c r="AE42" s="2176"/>
      <c r="AF42" s="2176"/>
      <c r="AG42" s="2188"/>
      <c r="AH42" s="2175"/>
      <c r="AI42" s="2176"/>
      <c r="AJ42" s="2176"/>
      <c r="AK42" s="2188"/>
      <c r="AL42" s="2175"/>
      <c r="AM42" s="2176"/>
      <c r="AN42" s="2176"/>
      <c r="AO42" s="2188"/>
      <c r="AP42" s="2175"/>
      <c r="AQ42" s="2176"/>
      <c r="AR42" s="2176"/>
      <c r="AS42" s="2188"/>
      <c r="AT42" s="2029" t="s">
        <v>521</v>
      </c>
      <c r="AU42" s="2030"/>
      <c r="AV42" s="2029" t="s">
        <v>522</v>
      </c>
      <c r="AW42" s="2030"/>
      <c r="AX42" s="2144" t="s">
        <v>508</v>
      </c>
      <c r="AY42" s="2162"/>
      <c r="AZ42" s="2163"/>
      <c r="BA42" s="2130"/>
      <c r="BB42" s="2133"/>
      <c r="BC42" s="1971"/>
    </row>
    <row customHeight="1" ht="14.25">
      <c r="Q43" s="279"/>
      <c r="R43" s="377"/>
      <c r="S43" s="2125"/>
      <c r="T43" s="2062"/>
      <c r="U43" s="1038"/>
      <c r="V43" s="2037"/>
      <c r="W43" s="2038"/>
      <c r="X43" s="2037"/>
      <c r="Y43" s="2038"/>
      <c r="Z43" s="2145"/>
      <c r="AA43" s="2164"/>
      <c r="AB43" s="2165"/>
      <c r="AC43" s="2130"/>
      <c r="AD43" s="2175"/>
      <c r="AE43" s="2176"/>
      <c r="AF43" s="2176"/>
      <c r="AG43" s="2188"/>
      <c r="AH43" s="2175"/>
      <c r="AI43" s="2176"/>
      <c r="AJ43" s="2176"/>
      <c r="AK43" s="2188"/>
      <c r="AL43" s="2175"/>
      <c r="AM43" s="2176"/>
      <c r="AN43" s="2176"/>
      <c r="AO43" s="2188"/>
      <c r="AP43" s="2175"/>
      <c r="AQ43" s="2176"/>
      <c r="AR43" s="2176"/>
      <c r="AS43" s="2188"/>
      <c r="AT43" s="2037"/>
      <c r="AU43" s="2038"/>
      <c r="AV43" s="2037"/>
      <c r="AW43" s="2038"/>
      <c r="AX43" s="2145"/>
      <c r="AY43" s="2164"/>
      <c r="AZ43" s="2165"/>
      <c r="BA43" s="2130"/>
      <c r="BB43" s="2133"/>
      <c r="BC43" s="1971"/>
    </row>
    <row customHeight="1" ht="14.25">
      <c r="A44" s="1400"/>
      <c r="B44" s="1400" t="s">
        <v>136</v>
      </c>
      <c r="C44" s="1400" t="s">
        <v>137</v>
      </c>
      <c r="D44" s="1400" t="s">
        <v>138</v>
      </c>
      <c r="E44" s="1394" t="s">
        <v>429</v>
      </c>
      <c r="F44" s="1394" t="s">
        <v>430</v>
      </c>
      <c r="G44" s="1394" t="s">
        <v>431</v>
      </c>
      <c r="H44" s="1394" t="s">
        <v>432</v>
      </c>
      <c r="I44" s="1394" t="s">
        <v>433</v>
      </c>
      <c r="J44" s="1394" t="s">
        <v>434</v>
      </c>
      <c r="K44" s="1394" t="s">
        <v>435</v>
      </c>
      <c r="L44" s="1394" t="s">
        <v>410</v>
      </c>
      <c r="Q44" s="279"/>
      <c r="R44" s="377"/>
      <c r="S44" s="2125"/>
      <c r="T44" s="2062"/>
      <c r="U44" s="290"/>
      <c r="V44" s="1509" t="s">
        <v>474</v>
      </c>
      <c r="W44" s="1509" t="s">
        <v>475</v>
      </c>
      <c r="X44" s="1509" t="s">
        <v>474</v>
      </c>
      <c r="Y44" s="1509" t="s">
        <v>475</v>
      </c>
      <c r="Z44" s="1519" t="s">
        <v>438</v>
      </c>
      <c r="AA44" s="2121" t="s">
        <v>439</v>
      </c>
      <c r="AB44" s="2122"/>
      <c r="AC44" s="2131"/>
      <c r="AD44" s="2177"/>
      <c r="AE44" s="2178"/>
      <c r="AF44" s="2178"/>
      <c r="AG44" s="2179"/>
      <c r="AH44" s="2177"/>
      <c r="AI44" s="2178"/>
      <c r="AJ44" s="2178"/>
      <c r="AK44" s="2179"/>
      <c r="AL44" s="2177"/>
      <c r="AM44" s="2178"/>
      <c r="AN44" s="2178"/>
      <c r="AO44" s="2179"/>
      <c r="AP44" s="2177"/>
      <c r="AQ44" s="2178"/>
      <c r="AR44" s="2178"/>
      <c r="AS44" s="2179"/>
      <c r="AT44" s="1509" t="s">
        <v>474</v>
      </c>
      <c r="AU44" s="1509" t="s">
        <v>475</v>
      </c>
      <c r="AV44" s="1509" t="s">
        <v>474</v>
      </c>
      <c r="AW44" s="1509" t="s">
        <v>475</v>
      </c>
      <c r="AX44" s="1519" t="s">
        <v>438</v>
      </c>
      <c r="AY44" s="2121" t="s">
        <v>439</v>
      </c>
      <c r="AZ44" s="2122"/>
      <c r="BA44" s="2131"/>
      <c r="BB44" s="2134"/>
      <c r="BC44" s="1971"/>
    </row>
    <row s="2610" customFormat="1" customHeight="1" ht="11.25" hidden="1">
      <c r="A45" s="1400"/>
      <c r="B45" s="1400"/>
      <c r="C45" s="1400"/>
      <c r="D45" s="1400"/>
      <c r="E45" s="1400"/>
      <c r="F45" s="1400"/>
      <c r="G45" s="1400"/>
      <c r="H45" s="1400"/>
      <c r="I45" s="1400"/>
      <c r="J45" s="1400"/>
      <c r="K45" s="1400"/>
      <c r="L45" s="1394"/>
      <c r="M45" s="1392"/>
      <c r="N45" s="1392"/>
      <c r="O45" s="1392"/>
      <c r="P45" s="516"/>
      <c r="Q45" s="1280"/>
      <c r="R45" s="1280">
        <v>1</v>
      </c>
      <c r="S45" s="1307" t="s">
        <v>110</v>
      </c>
      <c r="T45" s="1281" t="s">
        <v>111</v>
      </c>
      <c r="U45" s="1263" t="str">
        <f>OFFSET(U45,0,-1)</f>
        <v>2</v>
      </c>
      <c r="V45" s="1512">
        <f>OFFSET(V45,0,-1)+1</f>
        <v>3</v>
      </c>
      <c r="W45" s="1512">
        <f>OFFSET(W45,0,-1)+1</f>
        <v>4</v>
      </c>
      <c r="X45" s="1512">
        <f>OFFSET(X45,0,-1)+1</f>
        <v>5</v>
      </c>
      <c r="Y45" s="1512">
        <f>OFFSET(Y45,0,-1)+1</f>
        <v>6</v>
      </c>
      <c r="Z45" s="1512">
        <f>OFFSET(Z45,0,-1)+1</f>
        <v>7</v>
      </c>
      <c r="AA45" s="2123">
        <f>OFFSET(AA45,0,-1)+1</f>
        <v>8</v>
      </c>
      <c r="AB45" s="2123"/>
      <c r="AC45" s="1512">
        <f>OFFSET(AC45,0,-2)+1</f>
        <v>9</v>
      </c>
      <c r="AD45" s="1512">
        <f>OFFSET(AD45,0,-1)+1</f>
        <v>10</v>
      </c>
      <c r="AE45" s="1512"/>
      <c r="AF45" s="1512"/>
      <c r="AG45" s="1512"/>
      <c r="AH45" s="1512"/>
      <c r="AI45" s="1512"/>
      <c r="AJ45" s="1512"/>
      <c r="AK45" s="1512"/>
      <c r="AL45" s="1512"/>
      <c r="AM45" s="1512"/>
      <c r="AN45" s="1512"/>
      <c r="AO45" s="1512"/>
      <c r="AP45" s="1512"/>
      <c r="AQ45" s="1512"/>
      <c r="AR45" s="1512"/>
      <c r="AS45" s="1512"/>
      <c r="AT45" s="1512"/>
      <c r="AU45" s="1512"/>
      <c r="AV45" s="1512"/>
      <c r="AW45" s="1512">
        <f>OFFSET(AW45,0,-1)+1</f>
        <v>1</v>
      </c>
      <c r="AX45" s="1512">
        <f>OFFSET(AX45,0,-1)+1</f>
        <v>2</v>
      </c>
      <c r="AY45" s="2123">
        <f>OFFSET(AY45,0,-1)+1</f>
        <v>3</v>
      </c>
      <c r="AZ45" s="2123"/>
      <c r="BA45" s="1512">
        <f>OFFSET(BA45,0,-2)+1</f>
        <v>4</v>
      </c>
      <c r="BB45" s="1263">
        <f>OFFSET(BB45,0,-1)</f>
        <v>4</v>
      </c>
      <c r="BC45" s="1512">
        <f>OFFSET(BC45,0,-1)+1</f>
        <v>5</v>
      </c>
      <c r="BD45" s="517"/>
      <c r="BE45" s="517"/>
      <c r="BF45" s="517"/>
      <c r="BG45" s="517"/>
      <c r="BH45" s="517"/>
    </row>
    <row customHeight="1" ht="21">
      <c r="A46" s="1393" t="s">
        <v>269</v>
      </c>
      <c r="B46" s="1393"/>
      <c r="C46" s="1393"/>
      <c r="D46" s="1393"/>
      <c r="E46" s="2107">
        <v>1</v>
      </c>
      <c r="F46" s="1393"/>
      <c r="G46" s="1393"/>
      <c r="H46" s="1393"/>
      <c r="I46" s="1393"/>
      <c r="J46" s="1393"/>
      <c r="K46" s="1393"/>
      <c r="L46" s="1394"/>
      <c r="M46" s="1395"/>
      <c r="N46" s="1395"/>
      <c r="O46" s="1395"/>
      <c r="P46" s="1439"/>
      <c r="Q46" s="879"/>
      <c r="R46" s="351"/>
      <c r="S46" s="1523">
        <f>INDEX(PT_DIFFERENTIATION_NUM_NTAR,MATCH(A46,PT_DIFFERENTIATION_NTAR_ID,0))</f>
        <v>0</v>
      </c>
      <c r="T46" s="286" t="s">
        <v>124</v>
      </c>
      <c r="U46" s="288"/>
      <c r="V46" s="2102"/>
      <c r="W46" s="2102"/>
      <c r="X46" s="2102"/>
      <c r="Y46" s="2102"/>
      <c r="Z46" s="2102"/>
      <c r="AA46" s="2102"/>
      <c r="AB46" s="2102"/>
      <c r="AC46" s="2103"/>
      <c r="AD46" s="2101" t="str">
        <f>INDEX(PT_DIFFERENTIATION_NTAR,MATCH(A46,PT_DIFFERENTIATION_NTAR_ID,0))</f>
        <v/>
      </c>
      <c r="AE46" s="2102"/>
      <c r="AF46" s="2102"/>
      <c r="AG46" s="2102"/>
      <c r="AH46" s="2102"/>
      <c r="AI46" s="2102"/>
      <c r="AJ46" s="2102"/>
      <c r="AK46" s="2102"/>
      <c r="AL46" s="2102"/>
      <c r="AM46" s="2102"/>
      <c r="AN46" s="2102"/>
      <c r="AO46" s="2102"/>
      <c r="AP46" s="2102"/>
      <c r="AQ46" s="2102"/>
      <c r="AR46" s="2102"/>
      <c r="AS46" s="2102"/>
      <c r="AT46" s="2102"/>
      <c r="AU46" s="2102"/>
      <c r="AV46" s="2102"/>
      <c r="AW46" s="2102"/>
      <c r="AX46" s="2102"/>
      <c r="AY46" s="2102"/>
      <c r="AZ46" s="2102"/>
      <c r="BA46" s="2102"/>
      <c r="BB46" s="2103"/>
      <c r="BC46"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6"/>
      <c r="BF46" s="506" t="str">
        <f>IF(T46="","",T46)</f>
        <v>Наименование тарифа</v>
      </c>
      <c r="BG46" s="506"/>
      <c r="BH46" s="506"/>
    </row>
    <row customHeight="1" ht="21">
      <c r="A47" s="1393" t="s">
        <v>269</v>
      </c>
      <c r="B47" s="1393" t="s">
        <v>270</v>
      </c>
      <c r="C47" s="1393"/>
      <c r="D47" s="1393"/>
      <c r="E47" s="2108"/>
      <c r="F47" s="2107">
        <v>1</v>
      </c>
      <c r="G47" s="1393"/>
      <c r="H47" s="1393"/>
      <c r="I47" s="1393"/>
      <c r="J47" s="1393"/>
      <c r="K47" s="1393"/>
      <c r="L47" s="1394"/>
      <c r="M47" s="1395"/>
      <c r="N47" s="1395"/>
      <c r="O47" s="1395"/>
      <c r="P47" s="1440"/>
      <c r="Q47" s="1441"/>
      <c r="R47" s="349"/>
      <c r="S47" s="1523" t="str">
        <f>INDEX(PT_DIFFERENTIATION_NUM_TER,MATCH(B47,PT_DIFFERENTIATION_TER_ID,0))</f>
        <v>.</v>
      </c>
      <c r="T47" s="298" t="s">
        <v>392</v>
      </c>
      <c r="U47" s="288"/>
      <c r="V47" s="2102"/>
      <c r="W47" s="2102"/>
      <c r="X47" s="2102"/>
      <c r="Y47" s="2102"/>
      <c r="Z47" s="2102"/>
      <c r="AA47" s="2102"/>
      <c r="AB47" s="2102"/>
      <c r="AC47" s="2103"/>
      <c r="AD47" s="2101" t="str">
        <f>INDEX(PT_DIFFERENTIATION_TER,MATCH(B47,PT_DIFFERENTIATION_TER_ID,0))</f>
        <v/>
      </c>
      <c r="AE47" s="2102"/>
      <c r="AF47" s="2102"/>
      <c r="AG47" s="2102"/>
      <c r="AH47" s="2102"/>
      <c r="AI47" s="2102"/>
      <c r="AJ47" s="2102"/>
      <c r="AK47" s="2102"/>
      <c r="AL47" s="2102"/>
      <c r="AM47" s="2102"/>
      <c r="AN47" s="2102"/>
      <c r="AO47" s="2102"/>
      <c r="AP47" s="2102"/>
      <c r="AQ47" s="2102"/>
      <c r="AR47" s="2102"/>
      <c r="AS47" s="2102"/>
      <c r="AT47" s="2102"/>
      <c r="AU47" s="2102"/>
      <c r="AV47" s="2102"/>
      <c r="AW47" s="2102"/>
      <c r="AX47" s="2102"/>
      <c r="AY47" s="2102"/>
      <c r="AZ47" s="2102"/>
      <c r="BA47" s="2102"/>
      <c r="BB47" s="2103"/>
      <c r="BC47" s="1286" t="s">
        <v>393</v>
      </c>
      <c r="BE47" s="506"/>
      <c r="BF47" s="506" t="str">
        <f>IF(T47="","",T47)</f>
        <v>Территория действия тарифа</v>
      </c>
      <c r="BG47" s="506"/>
      <c r="BH47" s="506"/>
    </row>
    <row customHeight="1" ht="33.75">
      <c r="A48" s="1393" t="s">
        <v>269</v>
      </c>
      <c r="B48" s="1393" t="s">
        <v>270</v>
      </c>
      <c r="C48" s="1393" t="s">
        <v>271</v>
      </c>
      <c r="D48" s="1393"/>
      <c r="E48" s="2108"/>
      <c r="F48" s="2108"/>
      <c r="G48" s="2107">
        <v>1</v>
      </c>
      <c r="H48" s="1393"/>
      <c r="I48" s="1393"/>
      <c r="J48" s="1393"/>
      <c r="K48" s="1393"/>
      <c r="L48" s="1394"/>
      <c r="M48" s="1395"/>
      <c r="N48" s="1395"/>
      <c r="O48" s="1395"/>
      <c r="P48" s="1442"/>
      <c r="Q48" s="1441"/>
      <c r="R48" s="349"/>
      <c r="S48" s="1523" t="str">
        <f>INDEX(PT_DIFFERENTIATION_NUM_CS,MATCH(C48,PT_DIFFERENTIATION_CS_ID,0))</f>
        <v>..</v>
      </c>
      <c r="T48" s="299" t="s">
        <v>510</v>
      </c>
      <c r="U48" s="288"/>
      <c r="V48" s="2102"/>
      <c r="W48" s="2102"/>
      <c r="X48" s="2102"/>
      <c r="Y48" s="2102"/>
      <c r="Z48" s="2102"/>
      <c r="AA48" s="2102"/>
      <c r="AB48" s="2102"/>
      <c r="AC48" s="2103"/>
      <c r="AD48" s="2101" t="str">
        <f>INDEX(PT_DIFFERENTIATION_CS,MATCH(C48,PT_DIFFERENTIATION_CS_ID,0))</f>
        <v/>
      </c>
      <c r="AE48" s="2102"/>
      <c r="AF48" s="2102"/>
      <c r="AG48" s="2102"/>
      <c r="AH48" s="2102"/>
      <c r="AI48" s="2102"/>
      <c r="AJ48" s="2102"/>
      <c r="AK48" s="2102"/>
      <c r="AL48" s="2102"/>
      <c r="AM48" s="2102"/>
      <c r="AN48" s="2102"/>
      <c r="AO48" s="2102"/>
      <c r="AP48" s="2102"/>
      <c r="AQ48" s="2102"/>
      <c r="AR48" s="2102"/>
      <c r="AS48" s="2102"/>
      <c r="AT48" s="2102"/>
      <c r="AU48" s="2102"/>
      <c r="AV48" s="2102"/>
      <c r="AW48" s="2102"/>
      <c r="AX48" s="2102"/>
      <c r="AY48" s="2102"/>
      <c r="AZ48" s="2102"/>
      <c r="BA48" s="2102"/>
      <c r="BB48" s="2103"/>
      <c r="BC48" s="1286" t="s">
        <v>511</v>
      </c>
      <c r="BE48" s="506"/>
      <c r="BF48" s="506" t="str">
        <f>IF(T48="","",T48)</f>
        <v>Наименование централизованной системы водоотведения</v>
      </c>
      <c r="BG48" s="506"/>
      <c r="BH48" s="506"/>
    </row>
    <row s="2611" customFormat="1" customHeight="1" ht="0">
      <c r="A49" s="1373" t="s">
        <v>269</v>
      </c>
      <c r="B49" s="1373" t="s">
        <v>270</v>
      </c>
      <c r="C49" s="1373" t="s">
        <v>271</v>
      </c>
      <c r="D49" s="1373" t="s">
        <v>523</v>
      </c>
      <c r="E49" s="2108"/>
      <c r="F49" s="2108"/>
      <c r="G49" s="2108"/>
      <c r="H49" s="2107">
        <v>1</v>
      </c>
      <c r="I49" s="1373"/>
      <c r="J49" s="1373"/>
      <c r="K49" s="1373"/>
      <c r="L49" s="1376"/>
      <c r="M49" s="1345"/>
      <c r="N49" s="1345"/>
      <c r="O49" s="1345"/>
      <c r="P49" s="1527"/>
      <c r="Q49" s="1528"/>
      <c r="R49" s="353"/>
      <c r="S49" s="1049"/>
      <c r="T49" s="1529"/>
      <c r="U49" s="1414"/>
      <c r="V49" s="2148"/>
      <c r="W49" s="2148"/>
      <c r="X49" s="2148"/>
      <c r="Y49" s="2148"/>
      <c r="Z49" s="2148"/>
      <c r="AA49" s="2148"/>
      <c r="AB49" s="2148"/>
      <c r="AC49" s="2149"/>
      <c r="AD49" s="2147"/>
      <c r="AE49" s="2148"/>
      <c r="AF49" s="2148"/>
      <c r="AG49" s="2148"/>
      <c r="AH49" s="2148"/>
      <c r="AI49" s="2148"/>
      <c r="AJ49" s="2148"/>
      <c r="AK49" s="2148"/>
      <c r="AL49" s="2148"/>
      <c r="AM49" s="2148"/>
      <c r="AN49" s="2148"/>
      <c r="AO49" s="2148"/>
      <c r="AP49" s="2148"/>
      <c r="AQ49" s="2148"/>
      <c r="AR49" s="2148"/>
      <c r="AS49" s="2148"/>
      <c r="AT49" s="2148"/>
      <c r="AU49" s="2148"/>
      <c r="AV49" s="2148"/>
      <c r="AW49" s="2148"/>
      <c r="AX49" s="2148"/>
      <c r="AY49" s="2148"/>
      <c r="AZ49" s="2148"/>
      <c r="BA49" s="2148"/>
      <c r="BB49" s="2149"/>
      <c r="BC49" s="1415" t="s">
        <v>397</v>
      </c>
      <c r="BE49" s="506"/>
      <c r="BF49" s="506" t="str">
        <f>IF(T49="","",T49)</f>
        <v/>
      </c>
      <c r="BG49" s="506"/>
      <c r="BH49" s="506"/>
    </row>
    <row s="2611" customFormat="1" customHeight="1" ht="0">
      <c r="A50" s="1373" t="s">
        <v>269</v>
      </c>
      <c r="B50" s="1373" t="s">
        <v>270</v>
      </c>
      <c r="C50" s="1373" t="s">
        <v>271</v>
      </c>
      <c r="D50" s="1373" t="s">
        <v>523</v>
      </c>
      <c r="E50" s="2108"/>
      <c r="F50" s="2108"/>
      <c r="G50" s="2108"/>
      <c r="H50" s="2108"/>
      <c r="I50" s="2109" t="str">
        <f>S49&amp;".1"</f>
        <v>.1</v>
      </c>
      <c r="J50" s="1373"/>
      <c r="K50" s="1373"/>
      <c r="L50" s="1376" t="s">
        <v>398</v>
      </c>
      <c r="M50" s="516"/>
      <c r="N50" s="516"/>
      <c r="O50" s="516"/>
      <c r="P50" s="2111">
        <v>1</v>
      </c>
      <c r="Q50" s="1511"/>
      <c r="R50" s="352"/>
      <c r="S50" s="1049"/>
      <c r="T50" s="1413"/>
      <c r="U50" s="1414"/>
      <c r="V50" s="2148"/>
      <c r="W50" s="2148"/>
      <c r="X50" s="2148"/>
      <c r="Y50" s="2148"/>
      <c r="Z50" s="2148"/>
      <c r="AA50" s="2148"/>
      <c r="AB50" s="2148"/>
      <c r="AC50" s="2149"/>
      <c r="AD50" s="2147"/>
      <c r="AE50" s="2148"/>
      <c r="AF50" s="2148"/>
      <c r="AG50" s="2148"/>
      <c r="AH50" s="2148"/>
      <c r="AI50" s="2148"/>
      <c r="AJ50" s="2148"/>
      <c r="AK50" s="2148"/>
      <c r="AL50" s="2148"/>
      <c r="AM50" s="2148"/>
      <c r="AN50" s="2148"/>
      <c r="AO50" s="2148"/>
      <c r="AP50" s="2148"/>
      <c r="AQ50" s="2148"/>
      <c r="AR50" s="2148"/>
      <c r="AS50" s="2148"/>
      <c r="AT50" s="2148"/>
      <c r="AU50" s="2148"/>
      <c r="AV50" s="2148"/>
      <c r="AW50" s="2148"/>
      <c r="AX50" s="2148"/>
      <c r="AY50" s="2148"/>
      <c r="AZ50" s="2148"/>
      <c r="BA50" s="2148"/>
      <c r="BB50" s="2149"/>
      <c r="BC50" s="1415"/>
      <c r="BE50" s="506"/>
      <c r="BF50" s="506" t="str">
        <f>IF(T50="","",T50)</f>
        <v/>
      </c>
      <c r="BG50" s="506"/>
      <c r="BH50" s="506"/>
    </row>
    <row s="2611" customFormat="1" customHeight="1" ht="0">
      <c r="A51" s="1373" t="s">
        <v>269</v>
      </c>
      <c r="B51" s="1373" t="s">
        <v>270</v>
      </c>
      <c r="C51" s="1373" t="s">
        <v>271</v>
      </c>
      <c r="D51" s="1373" t="s">
        <v>523</v>
      </c>
      <c r="E51" s="2108"/>
      <c r="F51" s="2108"/>
      <c r="G51" s="2108"/>
      <c r="H51" s="2108"/>
      <c r="I51" s="2110"/>
      <c r="J51" s="2109" t="str">
        <f>S49&amp;".1"</f>
        <v>.1</v>
      </c>
      <c r="K51" s="1373"/>
      <c r="L51" s="1376"/>
      <c r="M51" s="516"/>
      <c r="N51" s="516"/>
      <c r="O51" s="516"/>
      <c r="P51" s="2111"/>
      <c r="Q51" s="2111">
        <v>1</v>
      </c>
      <c r="R51" s="353"/>
      <c r="S51" s="1049"/>
      <c r="T51" s="1429"/>
      <c r="U51" s="1414"/>
      <c r="V51" s="2148"/>
      <c r="W51" s="2148"/>
      <c r="X51" s="2148"/>
      <c r="Y51" s="2148"/>
      <c r="Z51" s="2148"/>
      <c r="AA51" s="2148"/>
      <c r="AB51" s="2148"/>
      <c r="AC51" s="2149"/>
      <c r="AD51" s="2147"/>
      <c r="AE51" s="2148"/>
      <c r="AF51" s="2148"/>
      <c r="AG51" s="2148"/>
      <c r="AH51" s="2148"/>
      <c r="AI51" s="2148"/>
      <c r="AJ51" s="2148"/>
      <c r="AK51" s="2148"/>
      <c r="AL51" s="2148"/>
      <c r="AM51" s="2148"/>
      <c r="AN51" s="2209"/>
      <c r="AO51" s="2209"/>
      <c r="AP51" s="2148"/>
      <c r="AQ51" s="2148"/>
      <c r="AR51" s="2148"/>
      <c r="AS51" s="2148"/>
      <c r="AT51" s="2148"/>
      <c r="AU51" s="2148"/>
      <c r="AV51" s="2148"/>
      <c r="AW51" s="2148"/>
      <c r="AX51" s="2148"/>
      <c r="AY51" s="2148"/>
      <c r="AZ51" s="2148"/>
      <c r="BA51" s="2148"/>
      <c r="BB51" s="2149"/>
      <c r="BC51" s="1415"/>
      <c r="BE51" s="506"/>
      <c r="BF51" s="506" t="str">
        <f>IF(T51="","",T51)</f>
        <v/>
      </c>
      <c r="BG51" s="506"/>
      <c r="BH51" s="506"/>
    </row>
    <row customHeight="1" ht="11.25">
      <c r="A52" s="1393" t="s">
        <v>269</v>
      </c>
      <c r="B52" s="1393" t="s">
        <v>270</v>
      </c>
      <c r="C52" s="1393" t="s">
        <v>271</v>
      </c>
      <c r="D52" s="1393" t="s">
        <v>523</v>
      </c>
      <c r="E52" s="2108"/>
      <c r="F52" s="2108"/>
      <c r="G52" s="2108"/>
      <c r="H52" s="2108"/>
      <c r="I52" s="2110"/>
      <c r="J52" s="2110"/>
      <c r="K52" s="2109" t="str">
        <f>S48&amp;".1"</f>
        <v>...1</v>
      </c>
      <c r="L52" s="1394"/>
      <c r="P52" s="2111"/>
      <c r="Q52" s="2111"/>
      <c r="R52" s="353">
        <v>1</v>
      </c>
      <c r="S52" s="2184" t="str">
        <f>$K52</f>
        <v>...1</v>
      </c>
      <c r="T52" s="2203"/>
      <c r="U52" s="288"/>
      <c r="V52" s="757"/>
      <c r="W52" s="1285"/>
      <c r="X52" s="757"/>
      <c r="Y52" s="1285"/>
      <c r="Z52" s="1774"/>
      <c r="AA52" s="1499" t="s">
        <v>62</v>
      </c>
      <c r="AB52" s="1774"/>
      <c r="AC52" s="1499" t="s">
        <v>62</v>
      </c>
      <c r="AD52" s="2044" t="s">
        <v>62</v>
      </c>
      <c r="AE52" s="2180"/>
      <c r="AF52" s="2057">
        <v>1</v>
      </c>
      <c r="AG52" s="2202"/>
      <c r="AH52" s="1981" t="s">
        <v>62</v>
      </c>
      <c r="AI52" s="2180"/>
      <c r="AJ52" s="2057">
        <v>1</v>
      </c>
      <c r="AK52" s="2201" t="s">
        <v>24</v>
      </c>
      <c r="AL52" s="1981" t="s">
        <v>62</v>
      </c>
      <c r="AM52" s="2029"/>
      <c r="AN52" s="2057">
        <v>1</v>
      </c>
      <c r="AO52" s="2206"/>
      <c r="AP52" s="2207" t="s">
        <v>62</v>
      </c>
      <c r="AQ52" s="301"/>
      <c r="AR52" s="1516">
        <v>1</v>
      </c>
      <c r="AS52" s="1522" t="s">
        <v>24</v>
      </c>
      <c r="AT52" s="757"/>
      <c r="AU52" s="1285"/>
      <c r="AV52" s="757"/>
      <c r="AW52" s="1285"/>
      <c r="AX52" s="1774"/>
      <c r="AY52" s="1499" t="s">
        <v>62</v>
      </c>
      <c r="AZ52" s="1774"/>
      <c r="BA52" s="1499" t="s">
        <v>62</v>
      </c>
      <c r="BB52" s="1378"/>
      <c r="BC52" s="2137" t="s">
        <v>495</v>
      </c>
      <c r="BE52" s="506"/>
      <c r="BF52" s="506" t="str">
        <f>IF(T52="","",T52)</f>
        <v/>
      </c>
      <c r="BG52" s="506"/>
      <c r="BH52" s="506"/>
    </row>
    <row customHeight="1" ht="11.25">
      <c r="A53" s="1393"/>
      <c r="B53" s="1393"/>
      <c r="C53" s="1393"/>
      <c r="D53" s="1393"/>
      <c r="E53" s="2108"/>
      <c r="F53" s="2108"/>
      <c r="G53" s="2108"/>
      <c r="H53" s="2108"/>
      <c r="I53" s="2110"/>
      <c r="J53" s="2110"/>
      <c r="K53" s="2109"/>
      <c r="L53" s="1394"/>
      <c r="P53" s="2111"/>
      <c r="Q53" s="2111"/>
      <c r="R53" s="353"/>
      <c r="S53" s="2185"/>
      <c r="T53" s="2204"/>
      <c r="U53" s="288"/>
      <c r="V53" s="1423"/>
      <c r="W53" s="1526"/>
      <c r="X53" s="1423"/>
      <c r="Y53" s="1526"/>
      <c r="Z53" s="1423"/>
      <c r="AA53" s="1423"/>
      <c r="AB53" s="1423"/>
      <c r="AC53" s="1423"/>
      <c r="AD53" s="2045"/>
      <c r="AE53" s="2180"/>
      <c r="AF53" s="2057"/>
      <c r="AG53" s="2202"/>
      <c r="AH53" s="1981"/>
      <c r="AI53" s="2180"/>
      <c r="AJ53" s="2057"/>
      <c r="AK53" s="2201"/>
      <c r="AL53" s="1981"/>
      <c r="AM53" s="2037"/>
      <c r="AN53" s="2057"/>
      <c r="AO53" s="2206"/>
      <c r="AP53" s="2208"/>
      <c r="AQ53" s="308"/>
      <c r="AR53" s="422"/>
      <c r="AS53" s="422" t="s">
        <v>496</v>
      </c>
      <c r="AT53" s="1423"/>
      <c r="AU53" s="1526"/>
      <c r="AV53" s="1423"/>
      <c r="AW53" s="1526"/>
      <c r="AX53" s="1423"/>
      <c r="AY53" s="1423"/>
      <c r="AZ53" s="1423"/>
      <c r="BA53" s="1423"/>
      <c r="BB53" s="1427"/>
      <c r="BC53" s="2138"/>
      <c r="BE53" s="506"/>
      <c r="BF53" s="506"/>
      <c r="BG53" s="506"/>
      <c r="BH53" s="506"/>
    </row>
    <row customHeight="1" ht="11.25">
      <c r="A54" s="1393" t="s">
        <v>269</v>
      </c>
      <c r="B54" s="1393"/>
      <c r="C54" s="1393"/>
      <c r="D54" s="1393"/>
      <c r="E54" s="2108"/>
      <c r="F54" s="2108"/>
      <c r="G54" s="2108"/>
      <c r="H54" s="2108"/>
      <c r="I54" s="2110"/>
      <c r="J54" s="2110"/>
      <c r="K54" s="2109"/>
      <c r="L54" s="1394"/>
      <c r="P54" s="2111"/>
      <c r="Q54" s="2111"/>
      <c r="R54" s="353"/>
      <c r="S54" s="2185"/>
      <c r="T54" s="2204"/>
      <c r="U54" s="288"/>
      <c r="V54" s="1423"/>
      <c r="W54" s="1526"/>
      <c r="X54" s="1423"/>
      <c r="Y54" s="1526"/>
      <c r="Z54" s="1423"/>
      <c r="AA54" s="1423"/>
      <c r="AB54" s="1423"/>
      <c r="AC54" s="1423"/>
      <c r="AD54" s="2045"/>
      <c r="AE54" s="2180"/>
      <c r="AF54" s="2057"/>
      <c r="AG54" s="2202"/>
      <c r="AH54" s="1981"/>
      <c r="AI54" s="2180"/>
      <c r="AJ54" s="2057"/>
      <c r="AK54" s="2201"/>
      <c r="AL54" s="1981"/>
      <c r="AM54" s="308"/>
      <c r="AN54" s="1530"/>
      <c r="AO54" s="1530" t="s">
        <v>516</v>
      </c>
      <c r="AP54" s="422"/>
      <c r="AQ54" s="422"/>
      <c r="AR54" s="422"/>
      <c r="AS54" s="1423"/>
      <c r="AT54" s="1423"/>
      <c r="AU54" s="1526"/>
      <c r="AV54" s="1423"/>
      <c r="AW54" s="1526"/>
      <c r="AX54" s="1423"/>
      <c r="AY54" s="1423"/>
      <c r="AZ54" s="1423"/>
      <c r="BA54" s="1423"/>
      <c r="BB54" s="1427"/>
      <c r="BC54" s="2138"/>
      <c r="BE54" s="506"/>
      <c r="BF54" s="506"/>
      <c r="BG54" s="506"/>
      <c r="BH54" s="506"/>
    </row>
    <row customHeight="1" ht="11.25">
      <c r="A55" s="1393" t="s">
        <v>269</v>
      </c>
      <c r="B55" s="1393"/>
      <c r="C55" s="1393"/>
      <c r="D55" s="1393"/>
      <c r="E55" s="2108"/>
      <c r="F55" s="2108"/>
      <c r="G55" s="2108"/>
      <c r="H55" s="2108"/>
      <c r="I55" s="2110"/>
      <c r="J55" s="2110"/>
      <c r="K55" s="2109"/>
      <c r="L55" s="1394"/>
      <c r="P55" s="2111"/>
      <c r="Q55" s="2111"/>
      <c r="R55" s="353"/>
      <c r="S55" s="2185"/>
      <c r="T55" s="2204"/>
      <c r="U55" s="288"/>
      <c r="V55" s="1423"/>
      <c r="W55" s="1526"/>
      <c r="X55" s="1423"/>
      <c r="Y55" s="1526"/>
      <c r="Z55" s="1423"/>
      <c r="AA55" s="1423"/>
      <c r="AB55" s="1423"/>
      <c r="AC55" s="1423"/>
      <c r="AD55" s="2045"/>
      <c r="AE55" s="2180"/>
      <c r="AF55" s="2057"/>
      <c r="AG55" s="2202"/>
      <c r="AH55" s="1981"/>
      <c r="AI55" s="282"/>
      <c r="AJ55" s="421"/>
      <c r="AK55" s="303" t="s">
        <v>517</v>
      </c>
      <c r="AL55" s="1423"/>
      <c r="AM55" s="1423"/>
      <c r="AN55" s="1423"/>
      <c r="AO55" s="1423"/>
      <c r="AP55" s="1423"/>
      <c r="AQ55" s="1423"/>
      <c r="AR55" s="1423"/>
      <c r="AS55" s="1423"/>
      <c r="AT55" s="1423"/>
      <c r="AU55" s="1526"/>
      <c r="AV55" s="1423"/>
      <c r="AW55" s="1526"/>
      <c r="AX55" s="1423"/>
      <c r="AY55" s="1423"/>
      <c r="AZ55" s="1423"/>
      <c r="BA55" s="1423"/>
      <c r="BB55" s="1427"/>
      <c r="BC55" s="2138"/>
      <c r="BE55" s="506"/>
      <c r="BF55" s="506"/>
      <c r="BG55" s="506"/>
      <c r="BH55" s="506"/>
    </row>
    <row customHeight="1" ht="11.25">
      <c r="A56" s="1393" t="s">
        <v>269</v>
      </c>
      <c r="B56" s="1393" t="s">
        <v>270</v>
      </c>
      <c r="C56" s="1393" t="s">
        <v>271</v>
      </c>
      <c r="D56" s="1393" t="s">
        <v>523</v>
      </c>
      <c r="E56" s="2108"/>
      <c r="F56" s="2108"/>
      <c r="G56" s="2108"/>
      <c r="H56" s="2108"/>
      <c r="I56" s="2110"/>
      <c r="J56" s="2110"/>
      <c r="K56" s="2109"/>
      <c r="L56" s="1394"/>
      <c r="P56" s="2111"/>
      <c r="Q56" s="2111"/>
      <c r="R56" s="353"/>
      <c r="S56" s="2186"/>
      <c r="T56" s="2205"/>
      <c r="U56" s="288"/>
      <c r="V56" s="1423"/>
      <c r="W56" s="1424" t="str">
        <f>Z52&amp;"-"&amp;AB52</f>
        <v>-</v>
      </c>
      <c r="X56" s="1423"/>
      <c r="Y56" s="1424" t="str">
        <f>AB52&amp;"-"&amp;AD52</f>
        <v>-да</v>
      </c>
      <c r="Z56" s="1423"/>
      <c r="AA56" s="1423"/>
      <c r="AB56" s="1423"/>
      <c r="AC56" s="1423"/>
      <c r="AD56" s="1986"/>
      <c r="AE56" s="302"/>
      <c r="AF56" s="304"/>
      <c r="AG56" s="422" t="s">
        <v>499</v>
      </c>
      <c r="AH56" s="1423"/>
      <c r="AI56" s="1423"/>
      <c r="AJ56" s="1423"/>
      <c r="AK56" s="1423"/>
      <c r="AL56" s="1423"/>
      <c r="AM56" s="1423"/>
      <c r="AN56" s="1423"/>
      <c r="AO56" s="1423"/>
      <c r="AP56" s="1423"/>
      <c r="AQ56" s="1423"/>
      <c r="AR56" s="1423"/>
      <c r="AS56" s="1423"/>
      <c r="AT56" s="1423"/>
      <c r="AU56" s="1424" t="str">
        <f>AX52&amp;"-"&amp;AZ52</f>
        <v>-</v>
      </c>
      <c r="AV56" s="1423"/>
      <c r="AW56" s="1424" t="str">
        <f>AZ52&amp;"-"&amp;BB52</f>
        <v>-</v>
      </c>
      <c r="AX56" s="1423"/>
      <c r="AY56" s="1423"/>
      <c r="AZ56" s="1423"/>
      <c r="BA56" s="1423"/>
      <c r="BB56" s="1426" t="str">
        <f>BE52&amp;"-"&amp;BG52</f>
        <v>-</v>
      </c>
      <c r="BC56" s="2138"/>
      <c r="BE56" s="506"/>
      <c r="BF56" s="506" t="str">
        <f>IF(T56="","",T56)</f>
        <v/>
      </c>
      <c r="BG56" s="506"/>
      <c r="BH56" s="506"/>
    </row>
    <row customHeight="1" ht="11.25">
      <c r="A57" s="1393" t="s">
        <v>269</v>
      </c>
      <c r="B57" s="1393" t="s">
        <v>270</v>
      </c>
      <c r="C57" s="1393" t="s">
        <v>271</v>
      </c>
      <c r="D57" s="1393" t="s">
        <v>523</v>
      </c>
      <c r="E57" s="2108"/>
      <c r="F57" s="2108"/>
      <c r="G57" s="2108"/>
      <c r="H57" s="2108"/>
      <c r="I57" s="2110"/>
      <c r="J57" s="2109"/>
      <c r="K57" s="1393"/>
      <c r="L57" s="1394"/>
      <c r="P57" s="2111"/>
      <c r="Q57" s="2111"/>
      <c r="R57" s="352"/>
      <c r="S57" s="1308"/>
      <c r="T57" s="275" t="s">
        <v>463</v>
      </c>
      <c r="U57" s="367"/>
      <c r="V57" s="367"/>
      <c r="W57" s="367"/>
      <c r="X57" s="367"/>
      <c r="Y57" s="367"/>
      <c r="Z57" s="367"/>
      <c r="AA57" s="367"/>
      <c r="AB57" s="367"/>
      <c r="AC57" s="319"/>
      <c r="AD57" s="153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39"/>
      <c r="BE57" s="506"/>
      <c r="BF57" s="506" t="str">
        <f>IF(T57="","",T57)</f>
        <v>Добавить строку</v>
      </c>
      <c r="BG57" s="506"/>
      <c r="BH57" s="506"/>
    </row>
    <row s="2611" customFormat="1" customHeight="1" ht="0">
      <c r="A58" s="1373" t="s">
        <v>269</v>
      </c>
      <c r="B58" s="1373" t="s">
        <v>270</v>
      </c>
      <c r="C58" s="1373" t="s">
        <v>271</v>
      </c>
      <c r="D58" s="1373" t="s">
        <v>523</v>
      </c>
      <c r="E58" s="2108"/>
      <c r="F58" s="2108"/>
      <c r="G58" s="2108"/>
      <c r="H58" s="2108"/>
      <c r="I58" s="2109"/>
      <c r="J58" s="1373"/>
      <c r="K58" s="1373"/>
      <c r="L58" s="1376"/>
      <c r="M58" s="516"/>
      <c r="N58" s="516"/>
      <c r="O58" s="516"/>
      <c r="P58" s="2111"/>
      <c r="Q58" s="1511"/>
      <c r="R58" s="352"/>
      <c r="S58" s="1416"/>
      <c r="T58" s="1417"/>
      <c r="U58" s="1418"/>
      <c r="V58" s="1418"/>
      <c r="W58" s="1418"/>
      <c r="X58" s="1418"/>
      <c r="Y58" s="1418"/>
      <c r="Z58" s="1418"/>
      <c r="AA58" s="1418"/>
      <c r="AB58" s="1418"/>
      <c r="AC58" s="1418"/>
      <c r="AD58" s="1418"/>
      <c r="AE58" s="1418"/>
      <c r="AF58" s="1418"/>
      <c r="AG58" s="1418"/>
      <c r="AH58" s="1418"/>
      <c r="AI58" s="1418"/>
      <c r="AJ58" s="1418"/>
      <c r="AK58" s="1418"/>
      <c r="AL58" s="1418"/>
      <c r="AM58" s="1418"/>
      <c r="AN58" s="1418"/>
      <c r="AO58" s="1418"/>
      <c r="AP58" s="1418"/>
      <c r="AQ58" s="1418"/>
      <c r="AR58" s="1418"/>
      <c r="AS58" s="1418"/>
      <c r="AT58" s="1418"/>
      <c r="AU58" s="1418"/>
      <c r="AV58" s="1418"/>
      <c r="AW58" s="1418"/>
      <c r="AX58" s="1418"/>
      <c r="AY58" s="1418"/>
      <c r="AZ58" s="1418"/>
      <c r="BA58" s="1418"/>
      <c r="BB58" s="1418"/>
      <c r="BC58" s="1419"/>
      <c r="BE58" s="506"/>
      <c r="BF58" s="506" t="str">
        <f>IF(T58="","",T58)</f>
        <v/>
      </c>
      <c r="BG58" s="506"/>
      <c r="BH58" s="506"/>
    </row>
    <row s="2611" customFormat="1" customHeight="1" ht="0">
      <c r="A59" s="1373" t="s">
        <v>269</v>
      </c>
      <c r="B59" s="1373" t="s">
        <v>270</v>
      </c>
      <c r="C59" s="1373" t="s">
        <v>271</v>
      </c>
      <c r="D59" s="1373" t="s">
        <v>523</v>
      </c>
      <c r="E59" s="2108"/>
      <c r="F59" s="2108"/>
      <c r="G59" s="2108"/>
      <c r="H59" s="2107"/>
      <c r="I59" s="1373"/>
      <c r="J59" s="1373"/>
      <c r="K59" s="1373"/>
      <c r="L59" s="1376"/>
      <c r="M59" s="1345"/>
      <c r="N59" s="1345"/>
      <c r="O59" s="524"/>
      <c r="P59" s="385"/>
      <c r="Q59" s="1374"/>
      <c r="R59" s="1431"/>
      <c r="S59" s="1416"/>
      <c r="T59" s="1417"/>
      <c r="U59" s="1418"/>
      <c r="V59" s="1418"/>
      <c r="W59" s="1418"/>
      <c r="X59" s="1418"/>
      <c r="Y59" s="1418"/>
      <c r="Z59" s="1418"/>
      <c r="AA59" s="1418"/>
      <c r="AB59" s="1418"/>
      <c r="AC59" s="1418"/>
      <c r="AD59" s="1418"/>
      <c r="AE59" s="1418"/>
      <c r="AF59" s="1418"/>
      <c r="AG59" s="1418"/>
      <c r="AH59" s="1418"/>
      <c r="AI59" s="1418"/>
      <c r="AJ59" s="1418"/>
      <c r="AK59" s="1418"/>
      <c r="AL59" s="1418"/>
      <c r="AM59" s="1418"/>
      <c r="AN59" s="1418"/>
      <c r="AO59" s="1418"/>
      <c r="AP59" s="1418"/>
      <c r="AQ59" s="1418"/>
      <c r="AR59" s="1418"/>
      <c r="AS59" s="1418"/>
      <c r="AT59" s="1418"/>
      <c r="AU59" s="1418"/>
      <c r="AV59" s="1418"/>
      <c r="AW59" s="1418"/>
      <c r="AX59" s="1418"/>
      <c r="AY59" s="1418"/>
      <c r="AZ59" s="1418"/>
      <c r="BA59" s="1418"/>
      <c r="BB59" s="1418"/>
      <c r="BC59" s="1419"/>
      <c r="BE59" s="506"/>
      <c r="BF59" s="506" t="str">
        <f>IF(T59="","",T59)</f>
        <v/>
      </c>
      <c r="BG59" s="506"/>
      <c r="BH59" s="506"/>
    </row>
    <row s="3273" customFormat="1" customHeight="1" ht="0">
      <c r="A60" s="1373" t="s">
        <v>269</v>
      </c>
      <c r="B60" s="1373" t="s">
        <v>270</v>
      </c>
      <c r="C60" s="1373" t="s">
        <v>271</v>
      </c>
      <c r="D60" s="1344"/>
      <c r="E60" s="2108"/>
      <c r="F60" s="2108"/>
      <c r="G60" s="2107"/>
      <c r="H60" s="1344"/>
      <c r="I60" s="1344"/>
      <c r="J60" s="1344"/>
      <c r="K60" s="1344"/>
      <c r="L60" s="1524"/>
      <c r="M60" s="1345"/>
      <c r="N60" s="1345"/>
      <c r="P60" s="1346"/>
      <c r="Q60" s="1347"/>
      <c r="R60" s="1346"/>
      <c r="S60" s="1352"/>
      <c r="T60" s="1355"/>
      <c r="U60" s="1354"/>
      <c r="V60" s="1354"/>
      <c r="W60" s="1354"/>
      <c r="X60" s="1354"/>
      <c r="Y60" s="1354"/>
      <c r="Z60" s="1354"/>
      <c r="AA60" s="1354"/>
      <c r="AB60" s="1354"/>
      <c r="AC60" s="1354"/>
      <c r="AD60" s="1354"/>
      <c r="AE60" s="1354"/>
      <c r="AF60" s="1354"/>
      <c r="AG60" s="1354"/>
      <c r="AH60" s="1354"/>
      <c r="AI60" s="1354"/>
      <c r="AJ60" s="1354"/>
      <c r="AK60" s="1354"/>
      <c r="AL60" s="1354"/>
      <c r="AM60" s="1354"/>
      <c r="AN60" s="1354"/>
      <c r="AO60" s="1354"/>
      <c r="AP60" s="1354"/>
      <c r="AQ60" s="1354"/>
      <c r="AR60" s="1354"/>
      <c r="AS60" s="1354"/>
      <c r="AT60" s="1354"/>
      <c r="AU60" s="1354"/>
      <c r="AV60" s="1354"/>
      <c r="AW60" s="1354"/>
      <c r="AX60" s="1354"/>
      <c r="AY60" s="1354"/>
      <c r="AZ60" s="1354"/>
      <c r="BA60" s="1354"/>
      <c r="BB60" s="1354"/>
      <c r="BC60" s="1354"/>
      <c r="BE60" s="795"/>
      <c r="BF60" s="795" t="str">
        <f>IF(T60="","",T60)</f>
        <v/>
      </c>
      <c r="BG60" s="795"/>
      <c r="BH60" s="795"/>
    </row>
    <row s="3273" customFormat="1" customHeight="1" ht="0">
      <c r="A61" s="1373" t="s">
        <v>269</v>
      </c>
      <c r="B61" s="1373" t="s">
        <v>270</v>
      </c>
      <c r="C61" s="1344"/>
      <c r="D61" s="1344"/>
      <c r="E61" s="2108"/>
      <c r="F61" s="2107"/>
      <c r="G61" s="1344"/>
      <c r="H61" s="1344"/>
      <c r="I61" s="1344"/>
      <c r="J61" s="1344"/>
      <c r="K61" s="1344"/>
      <c r="L61" s="1524"/>
      <c r="M61" s="1351"/>
      <c r="N61" s="1351"/>
      <c r="P61" s="1346"/>
      <c r="Q61" s="1347"/>
      <c r="R61" s="1346"/>
      <c r="S61" s="1352"/>
      <c r="T61" s="1355" t="s">
        <v>182</v>
      </c>
      <c r="U61" s="1354"/>
      <c r="V61" s="1354"/>
      <c r="W61" s="1354"/>
      <c r="X61" s="1354"/>
      <c r="Y61" s="1354"/>
      <c r="Z61" s="1354"/>
      <c r="AA61" s="1354"/>
      <c r="AB61" s="1354"/>
      <c r="AC61" s="1354"/>
      <c r="AD61" s="1354"/>
      <c r="AE61" s="1354"/>
      <c r="AF61" s="1354"/>
      <c r="AG61" s="1354"/>
      <c r="AH61" s="1354"/>
      <c r="AI61" s="1354"/>
      <c r="AJ61" s="1354"/>
      <c r="AK61" s="1354"/>
      <c r="AL61" s="1354"/>
      <c r="AM61" s="1354"/>
      <c r="AN61" s="1354"/>
      <c r="AO61" s="1354"/>
      <c r="AP61" s="1354"/>
      <c r="AQ61" s="1354"/>
      <c r="AR61" s="1354"/>
      <c r="AS61" s="1354"/>
      <c r="AT61" s="1354"/>
      <c r="AU61" s="1354"/>
      <c r="AV61" s="1354"/>
      <c r="AW61" s="1354"/>
      <c r="AX61" s="1354"/>
      <c r="AY61" s="1354"/>
      <c r="AZ61" s="1354"/>
      <c r="BA61" s="1354"/>
      <c r="BB61" s="1354"/>
      <c r="BC61" s="1354"/>
      <c r="BE61" s="795"/>
      <c r="BF61" s="795" t="str">
        <f>IF(T61="","",T61)</f>
        <v>Добавить централизованную систему для дифференциации</v>
      </c>
      <c r="BG61" s="795"/>
      <c r="BH61" s="795"/>
    </row>
    <row s="2611" customFormat="1" customHeight="1" ht="0">
      <c r="A62" s="1373" t="s">
        <v>269</v>
      </c>
      <c r="B62" s="1373"/>
      <c r="C62" s="1373"/>
      <c r="D62" s="1373"/>
      <c r="E62" s="2107"/>
      <c r="F62" s="1373"/>
      <c r="G62" s="1373"/>
      <c r="H62" s="1373"/>
      <c r="I62" s="1373"/>
      <c r="J62" s="1373"/>
      <c r="K62" s="1373"/>
      <c r="L62" s="1376"/>
      <c r="M62" s="1351"/>
      <c r="N62" s="1351"/>
      <c r="O62" s="524"/>
      <c r="P62" s="385"/>
      <c r="Q62" s="1374"/>
      <c r="R62" s="385"/>
      <c r="S62" s="1352"/>
      <c r="T62" s="1355" t="s">
        <v>183</v>
      </c>
      <c r="U62" s="1354"/>
      <c r="V62" s="1354"/>
      <c r="W62" s="1354"/>
      <c r="X62" s="1354"/>
      <c r="Y62" s="1354"/>
      <c r="Z62" s="1354"/>
      <c r="AA62" s="1354"/>
      <c r="AB62" s="1354"/>
      <c r="AC62" s="1354"/>
      <c r="AD62" s="1354"/>
      <c r="AE62" s="1354"/>
      <c r="AF62" s="1354"/>
      <c r="AG62" s="1354"/>
      <c r="AH62" s="1354"/>
      <c r="AI62" s="1354"/>
      <c r="AJ62" s="1354"/>
      <c r="AK62" s="1354"/>
      <c r="AL62" s="1354"/>
      <c r="AM62" s="1354"/>
      <c r="AN62" s="1354"/>
      <c r="AO62" s="1354"/>
      <c r="AP62" s="1354"/>
      <c r="AQ62" s="1354"/>
      <c r="AR62" s="1354"/>
      <c r="AS62" s="1354"/>
      <c r="AT62" s="1354"/>
      <c r="AU62" s="1354"/>
      <c r="AV62" s="1354"/>
      <c r="AW62" s="1354"/>
      <c r="AX62" s="1354"/>
      <c r="AY62" s="1354"/>
      <c r="AZ62" s="1354"/>
      <c r="BA62" s="1354"/>
      <c r="BB62" s="1354"/>
      <c r="BC62" s="1354"/>
      <c r="BE62" s="506"/>
      <c r="BF62" s="506" t="str">
        <f>IF(T62="","",T62)</f>
        <v>Добавить территорию для дифференциации</v>
      </c>
      <c r="BG62" s="506"/>
      <c r="BH62" s="506"/>
    </row>
    <row s="3273" customFormat="1" customHeight="1" ht="0">
      <c r="A63" s="1344"/>
      <c r="B63" s="1344"/>
      <c r="C63" s="1344"/>
      <c r="D63" s="1344"/>
      <c r="E63" s="1373"/>
      <c r="F63" s="1344"/>
      <c r="G63" s="1344"/>
      <c r="H63" s="1344"/>
      <c r="I63" s="1344"/>
      <c r="J63" s="1344"/>
      <c r="K63" s="1344"/>
      <c r="L63" s="1524"/>
      <c r="M63" s="1351"/>
      <c r="N63" s="1351"/>
      <c r="P63" s="1346"/>
      <c r="Q63" s="1347"/>
      <c r="R63" s="1346"/>
      <c r="S63" s="1352"/>
      <c r="T63" s="1355" t="s">
        <v>184</v>
      </c>
      <c r="U63" s="1354"/>
      <c r="V63" s="1354"/>
      <c r="W63" s="1354"/>
      <c r="X63" s="1354"/>
      <c r="Y63" s="1354"/>
      <c r="Z63" s="1354"/>
      <c r="AA63" s="1354"/>
      <c r="AB63" s="1354"/>
      <c r="AC63" s="1354"/>
      <c r="AD63" s="1354"/>
      <c r="AE63" s="1354"/>
      <c r="AF63" s="1354"/>
      <c r="AG63" s="1354"/>
      <c r="AH63" s="1354"/>
      <c r="AI63" s="1354"/>
      <c r="AJ63" s="1354"/>
      <c r="AK63" s="1354"/>
      <c r="AL63" s="1354"/>
      <c r="AM63" s="1354"/>
      <c r="AN63" s="1354"/>
      <c r="AO63" s="1354"/>
      <c r="AP63" s="1354"/>
      <c r="AQ63" s="1354"/>
      <c r="AR63" s="1354"/>
      <c r="AS63" s="1354"/>
      <c r="AT63" s="1354"/>
      <c r="AU63" s="1354"/>
      <c r="AV63" s="1354"/>
      <c r="AW63" s="1354"/>
      <c r="AX63" s="1354"/>
      <c r="AY63" s="1354"/>
      <c r="AZ63" s="1354"/>
      <c r="BA63" s="1354"/>
      <c r="BB63" s="1354"/>
      <c r="BC63" s="1354"/>
      <c r="BE63" s="795"/>
      <c r="BF63" s="795" t="str">
        <f>IF(T63="","",T63)</f>
        <v>Добавить наименование тарифа</v>
      </c>
      <c r="BG63" s="795"/>
      <c r="BH63" s="795"/>
    </row>
    <row customHeight="1" ht="11.25">
      <c r="M64" s="1168"/>
      <c r="N64" s="1168"/>
      <c r="O64" s="543"/>
      <c r="P64" s="1168"/>
      <c r="Q64" s="1168"/>
      <c r="R64" s="1163"/>
      <c r="S64" s="1163"/>
      <c r="BD64" s="1163"/>
      <c r="BE64" s="1163"/>
      <c r="BF64" s="1163"/>
      <c r="BG64" s="1163"/>
      <c r="BH64" s="1163"/>
    </row>
    <row customHeight="1" ht="14.25">
      <c r="O65" s="543"/>
      <c r="S65" s="1273"/>
      <c r="T65" s="2106"/>
      <c r="U65" s="2106"/>
      <c r="V65" s="2106"/>
      <c r="W65" s="2106"/>
      <c r="X65" s="2106"/>
      <c r="Y65" s="2106"/>
      <c r="Z65" s="2106"/>
      <c r="AA65" s="2106"/>
      <c r="AB65" s="2106"/>
      <c r="AC65" s="2106"/>
      <c r="AD65" s="2106"/>
      <c r="AE65" s="2106"/>
      <c r="AF65" s="2106"/>
      <c r="AG65" s="2106"/>
      <c r="AH65" s="2106"/>
      <c r="AI65" s="2106"/>
      <c r="AJ65" s="2106"/>
      <c r="AK65" s="2106"/>
      <c r="AL65" s="2106"/>
      <c r="AM65" s="2106"/>
      <c r="AN65" s="2106"/>
      <c r="AO65" s="2106"/>
      <c r="AP65" s="2106"/>
      <c r="AQ65" s="2106"/>
      <c r="AR65" s="2106"/>
      <c r="AS65" s="2106"/>
      <c r="AT65" s="2106"/>
      <c r="AU65" s="2106"/>
      <c r="AV65" s="2106"/>
      <c r="AW65" s="2106"/>
      <c r="AX65" s="2106"/>
      <c r="AY65" s="2106"/>
      <c r="AZ65" s="2106"/>
      <c r="BA65" s="2106"/>
      <c r="BB65" s="2106"/>
      <c r="BC65" s="2106"/>
    </row>
    <row customHeight="1" ht="14.25">
      <c r="O66" s="543"/>
      <c r="T66" s="1510"/>
      <c r="U66" s="1510"/>
      <c r="V66" s="1510"/>
      <c r="W66" s="1510"/>
      <c r="X66" s="1510"/>
      <c r="Y66" s="1510"/>
      <c r="Z66" s="1510"/>
      <c r="AA66" s="1510"/>
      <c r="AB66" s="1510"/>
      <c r="AC66" s="1510"/>
      <c r="AD66" s="1510"/>
      <c r="AE66" s="1510"/>
      <c r="AF66" s="1510"/>
      <c r="AG66" s="1510"/>
      <c r="AH66" s="1510"/>
      <c r="AI66" s="1510"/>
      <c r="AJ66" s="1510"/>
      <c r="AK66" s="1510"/>
      <c r="AL66" s="1510"/>
      <c r="AM66" s="1510"/>
      <c r="AN66" s="1510"/>
      <c r="AO66" s="1510"/>
      <c r="AP66" s="1510"/>
      <c r="AQ66" s="1510"/>
      <c r="AR66" s="1510"/>
      <c r="AS66" s="1510"/>
      <c r="AT66" s="1510"/>
      <c r="AU66" s="1510"/>
      <c r="AV66" s="1510"/>
      <c r="AW66" s="1510"/>
      <c r="AX66" s="1510"/>
      <c r="AY66" s="1510"/>
      <c r="AZ66" s="1510"/>
      <c r="BA66" s="1510"/>
      <c r="BB66" s="1510"/>
      <c r="BC66" s="1510"/>
    </row>
    <row customHeight="1" ht="14.25">
      <c r="O67" s="543"/>
      <c r="S67" s="1273"/>
      <c r="T67" s="2106"/>
      <c r="U67" s="2106"/>
      <c r="V67" s="2106"/>
      <c r="W67" s="2106"/>
      <c r="X67" s="2106"/>
      <c r="Y67" s="2106"/>
      <c r="Z67" s="2106"/>
      <c r="AA67" s="2106"/>
      <c r="AB67" s="2106"/>
      <c r="AC67" s="2106"/>
      <c r="AD67" s="2106"/>
      <c r="AE67" s="2106"/>
      <c r="AF67" s="2106"/>
      <c r="AG67" s="2106"/>
      <c r="AH67" s="2106"/>
      <c r="AI67" s="2106"/>
      <c r="AJ67" s="2106"/>
      <c r="AK67" s="2106"/>
      <c r="AL67" s="2106"/>
      <c r="AM67" s="2106"/>
      <c r="AN67" s="2106"/>
      <c r="AO67" s="2106"/>
      <c r="AP67" s="2106"/>
      <c r="AQ67" s="2106"/>
      <c r="AR67" s="2106"/>
      <c r="AS67" s="2106"/>
      <c r="AT67" s="2106"/>
      <c r="AU67" s="2106"/>
      <c r="AV67" s="2106"/>
      <c r="AW67" s="2106"/>
      <c r="AX67" s="2106"/>
      <c r="AY67" s="2106"/>
      <c r="AZ67" s="2106"/>
      <c r="BA67" s="2106"/>
      <c r="BB67" s="2106"/>
      <c r="BC67" s="2106"/>
    </row>
    <row customHeight="1" ht="14.25">
      <c r="O68" s="54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D8ACD76-FE1A-AC2B-654B-89ADFE8A66A7}"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92" width="10.57421875" hidden="1"/>
    <col min="2" max="2" style="3292" width="11.00390625" hidden="1" customWidth="1"/>
    <col min="3" max="3" style="3292" width="10.57421875" hidden="1"/>
    <col min="4" max="4" style="3292" width="11.8515625" hidden="1" customWidth="1"/>
    <col min="5" max="5" style="3292" width="10.00390625" hidden="1" customWidth="1"/>
    <col min="6" max="6" style="3292" width="8.7109375" hidden="1" customWidth="1"/>
    <col min="7" max="7" style="3292" width="7.57421875" hidden="1" customWidth="1"/>
    <col min="8" max="8" style="3292" width="11.421875" hidden="1" customWidth="1"/>
    <col min="9" max="9" style="3292" width="14.140625" hidden="1" customWidth="1"/>
    <col min="10" max="10" style="3292" width="9.8515625" hidden="1" customWidth="1"/>
    <col min="11" max="11" style="3292" width="14.7109375" hidden="1" customWidth="1"/>
    <col min="12" max="12" style="3823" width="19.140625" hidden="1" customWidth="1"/>
    <col min="13" max="14" style="3294" width="12.28125" hidden="1" customWidth="1"/>
    <col min="15" max="15" style="3294" width="23.421875" hidden="1" customWidth="1"/>
    <col min="16" max="16" style="3828" width="3.7109375" customWidth="1"/>
    <col min="17" max="18" style="3371" width="3.7109375" customWidth="1"/>
    <col min="19" max="19" style="3372" width="12.7109375" customWidth="1"/>
    <col min="20" max="20" style="2939" width="35.7109375" customWidth="1"/>
    <col min="21" max="21" style="2939" width="0.140625" customWidth="1"/>
    <col min="22" max="24" style="2939" width="24.7109375" hidden="1" customWidth="1"/>
    <col min="25" max="25" style="2939" width="11.7109375" hidden="1" customWidth="1"/>
    <col min="26" max="26" style="2939" width="3.7109375" hidden="1" customWidth="1"/>
    <col min="27" max="27" style="2939" width="11.7109375" hidden="1" customWidth="1"/>
    <col min="28" max="28" style="2939" width="8.57421875" hidden="1" customWidth="1"/>
    <col min="29" max="31" style="2939" width="24.7109375" customWidth="1"/>
    <col min="32" max="32" style="2939" width="11.7109375" customWidth="1"/>
    <col min="33" max="33" style="2939" width="3.7109375" customWidth="1"/>
    <col min="34" max="34" style="2939" width="11.7109375" customWidth="1"/>
    <col min="35" max="35" style="2939" width="8.57421875" hidden="1" customWidth="1"/>
    <col min="36" max="36" style="2939" width="4.7109375" customWidth="1"/>
    <col min="37" max="37" style="2939" width="115.7109375" customWidth="1"/>
    <col min="38" max="39" style="2611" width="10.57421875"/>
    <col min="40" max="40" style="2611" width="11.140625" customWidth="1"/>
    <col min="41" max="42" style="2611"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523">
        <f>INDEX(PT_DIFFERENTIATION_NUM_NTAR,MATCH(A2,PT_DIFFERENTIATION_NTAR_ID,0))</f>
      </c>
      <c r="T2" s="286" t="s">
        <v>124</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517"/>
      <c r="Q3" s="348"/>
      <c r="R3" s="349"/>
      <c r="S3" s="1523">
        <f>INDEX(PT_DIFFERENTIATION_NUM_TER,MATCH(B3,PT_DIFFERENTIATION_TER_ID,0))</f>
      </c>
      <c r="T3" s="298" t="s">
        <v>392</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393</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523">
        <f>INDEX(PT_DIFFERENTIATION_NUM_CS,MATCH(C4,PT_DIFFERENTIATION_CS_ID,0))</f>
      </c>
      <c r="T4" s="299" t="s">
        <v>524</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525</v>
      </c>
      <c r="AM4" s="506"/>
      <c r="AN4" s="506" t="str">
        <f>IF(T4="","",T4)</f>
        <v>Наименование централизованной системы горячего водоснабжения</v>
      </c>
      <c r="AO4" s="506"/>
      <c r="AP4" s="506"/>
    </row>
    <row customHeight="1" ht="23.25" hidden="1">
      <c r="A5" s="1393"/>
      <c r="B5" s="1393"/>
      <c r="C5" s="1393"/>
      <c r="D5" s="1393"/>
      <c r="E5" s="2108"/>
      <c r="F5" s="2108"/>
      <c r="G5" s="2108"/>
      <c r="H5" s="2108"/>
      <c r="I5" s="2109">
        <f>S4&amp;".1"</f>
      </c>
      <c r="J5" s="1393"/>
      <c r="K5" s="1393"/>
      <c r="L5" s="1394"/>
      <c r="P5" s="2111">
        <v>1</v>
      </c>
      <c r="Q5" s="1511"/>
      <c r="R5" s="352"/>
      <c r="S5" s="1523">
        <f>$I5</f>
      </c>
      <c r="T5" s="273" t="s">
        <v>479</v>
      </c>
      <c r="U5" s="288"/>
      <c r="V5" s="2194"/>
      <c r="W5" s="2195"/>
      <c r="X5" s="2195"/>
      <c r="Y5" s="2195"/>
      <c r="Z5" s="2195"/>
      <c r="AA5" s="2195"/>
      <c r="AB5" s="2196"/>
      <c r="AC5" s="2197"/>
      <c r="AD5" s="2198"/>
      <c r="AE5" s="2198"/>
      <c r="AF5" s="2198"/>
      <c r="AG5" s="2198"/>
      <c r="AH5" s="2198"/>
      <c r="AI5" s="2198"/>
      <c r="AJ5" s="2199"/>
      <c r="AK5" s="1286" t="s">
        <v>480</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401</v>
      </c>
      <c r="P6" s="2111"/>
      <c r="Q6" s="2111">
        <v>1</v>
      </c>
      <c r="R6" s="353"/>
      <c r="S6" s="1523">
        <f>$J6</f>
      </c>
      <c r="T6" s="274" t="s">
        <v>402</v>
      </c>
      <c r="U6" s="288"/>
      <c r="V6" s="2095"/>
      <c r="W6" s="2096"/>
      <c r="X6" s="2096"/>
      <c r="Y6" s="2096"/>
      <c r="Z6" s="2096"/>
      <c r="AA6" s="2096"/>
      <c r="AB6" s="2097"/>
      <c r="AC6" s="2095"/>
      <c r="AD6" s="2096"/>
      <c r="AE6" s="2096"/>
      <c r="AF6" s="2096"/>
      <c r="AG6" s="2096"/>
      <c r="AH6" s="2096"/>
      <c r="AI6" s="2096"/>
      <c r="AJ6" s="2097"/>
      <c r="AK6" s="1337" t="s">
        <v>481</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523">
        <f>$K7</f>
      </c>
      <c r="T7" s="1467"/>
      <c r="U7" s="288"/>
      <c r="V7" s="757"/>
      <c r="W7" s="757"/>
      <c r="X7" s="1285"/>
      <c r="Y7" s="2112"/>
      <c r="Z7" s="1981" t="s">
        <v>62</v>
      </c>
      <c r="AA7" s="2112"/>
      <c r="AB7" s="1981" t="s">
        <v>62</v>
      </c>
      <c r="AC7" s="757"/>
      <c r="AD7" s="757"/>
      <c r="AE7" s="1285"/>
      <c r="AF7" s="2112"/>
      <c r="AG7" s="1981" t="s">
        <v>62</v>
      </c>
      <c r="AH7" s="2114"/>
      <c r="AI7" s="1981" t="s">
        <v>62</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520"/>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482</v>
      </c>
      <c r="U9" s="367"/>
      <c r="V9" s="367"/>
      <c r="W9" s="367"/>
      <c r="X9" s="367"/>
      <c r="Y9" s="367"/>
      <c r="Z9" s="367"/>
      <c r="AA9" s="367"/>
      <c r="AB9" s="367"/>
      <c r="AC9" s="367"/>
      <c r="AD9" s="367"/>
      <c r="AE9" s="367"/>
      <c r="AF9" s="367"/>
      <c r="AG9" s="367"/>
      <c r="AH9" s="367"/>
      <c r="AI9" s="367"/>
      <c r="AJ9" s="367"/>
      <c r="AK9" s="1286" t="s">
        <v>483</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511"/>
      <c r="R10" s="352"/>
      <c r="S10" s="1308"/>
      <c r="T10" s="364" t="s">
        <v>407</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484</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73" customFormat="1" customHeight="1" ht="14.25" hidden="1">
      <c r="A12" s="1373"/>
      <c r="B12" s="1373"/>
      <c r="C12" s="1344"/>
      <c r="D12" s="1344"/>
      <c r="E12" s="2108"/>
      <c r="F12" s="2107"/>
      <c r="G12" s="1344"/>
      <c r="H12" s="1344"/>
      <c r="I12" s="1344"/>
      <c r="J12" s="1344"/>
      <c r="K12" s="1344"/>
      <c r="L12" s="1524"/>
      <c r="M12" s="1351"/>
      <c r="N12" s="1351"/>
      <c r="P12" s="1346"/>
      <c r="Q12" s="1347"/>
      <c r="R12" s="1346"/>
      <c r="S12" s="1352"/>
      <c r="T12" s="1355" t="s">
        <v>182</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1"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183</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62</v>
      </c>
      <c r="AH15" s="2105"/>
      <c r="AI15" s="2104" t="s">
        <v>62</v>
      </c>
    </row>
    <row customHeight="1" ht="14.25" hidden="1">
      <c r="AC16" s="1390"/>
      <c r="AD16" s="1390"/>
      <c r="AE16" s="324" t="str">
        <f>AF15&amp;"-"&amp;AH15</f>
        <v>-</v>
      </c>
      <c r="AF16" s="2104"/>
      <c r="AG16" s="2104"/>
      <c r="AH16" s="2104"/>
      <c r="AI16" s="2104"/>
    </row>
    <row customHeight="1" ht="14.25" hidden="1">
      <c r="AI17" s="323"/>
    </row>
    <row s="3292" customFormat="1" customHeight="1" ht="22.5" hidden="1">
      <c r="L18" s="1508"/>
      <c r="M18" s="1392"/>
      <c r="N18" s="1392"/>
      <c r="O18" s="1397" t="s">
        <v>409</v>
      </c>
      <c r="P18" s="1392"/>
      <c r="Q18" s="1401"/>
      <c r="R18" s="1401"/>
      <c r="S18" s="735"/>
      <c r="Y18" s="1397"/>
      <c r="AA18" s="1397"/>
      <c r="AB18" s="1396"/>
      <c r="AF18" s="1397"/>
      <c r="AH18" s="1397"/>
      <c r="AI18" s="1396"/>
      <c r="AL18" s="517"/>
      <c r="AM18" s="517"/>
      <c r="AN18" s="517"/>
      <c r="AO18" s="517"/>
      <c r="AP18" s="517"/>
    </row>
    <row s="3292" customFormat="1" customHeight="1" ht="14.25" hidden="1">
      <c r="L19" s="1508"/>
      <c r="M19" s="1392"/>
      <c r="N19" s="1392"/>
      <c r="O19" s="1392"/>
      <c r="P19" s="1392"/>
      <c r="Q19" s="1401"/>
      <c r="R19" s="1401"/>
      <c r="S19" s="735"/>
      <c r="AB19" s="1396"/>
      <c r="AI19" s="1396"/>
      <c r="AL19" s="517"/>
      <c r="AM19" s="517"/>
      <c r="AN19" s="517"/>
      <c r="AO19" s="517"/>
      <c r="AP19" s="517"/>
    </row>
    <row s="3292" customFormat="1" customHeight="1" ht="12" hidden="1">
      <c r="L20" s="1508"/>
      <c r="M20" s="1392"/>
      <c r="N20" s="1392"/>
      <c r="O20" s="1394" t="s">
        <v>410</v>
      </c>
      <c r="P20" s="1392"/>
      <c r="Q20" s="1472"/>
      <c r="R20" s="1472"/>
      <c r="S20" s="735"/>
      <c r="T20" s="1168" t="s">
        <v>411</v>
      </c>
      <c r="Z20" s="172" t="s">
        <v>412</v>
      </c>
      <c r="AB20" s="172" t="s">
        <v>413</v>
      </c>
      <c r="AC20" s="1168" t="s">
        <v>411</v>
      </c>
      <c r="AG20" s="172" t="s">
        <v>414</v>
      </c>
      <c r="AI20" s="172" t="s">
        <v>413</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29.25">
      <c r="Q24" s="377"/>
      <c r="R24" s="377"/>
      <c r="S24" s="2140"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ЗАО "Байкалэнерго"</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305" customFormat="1" customHeight="1" ht="25.5">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Служба по тарифам Иркутской области</v>
      </c>
      <c r="W27" s="2100"/>
      <c r="X27" s="2100"/>
      <c r="Y27" s="2100"/>
      <c r="Z27" s="2100"/>
      <c r="AA27" s="2100"/>
      <c r="AB27" s="322"/>
      <c r="AC27" s="2100" t="str">
        <f>IF(TITLE_NAME_OR_PR_CHANGE="",IF(TITLE_NAME_OR_PR="","",TITLE_NAME_OR_PR),TITLE_NAME_OR_PR_CHANGE)</f>
        <v>Служба по тарифам Иркутской области</v>
      </c>
      <c r="AD27" s="2100"/>
      <c r="AE27" s="2100"/>
      <c r="AF27" s="2100"/>
      <c r="AG27" s="2100"/>
      <c r="AH27" s="2100"/>
      <c r="AI27" s="322"/>
      <c r="AJ27" s="322"/>
      <c r="AK27" s="268"/>
      <c r="AL27" s="368"/>
      <c r="AM27" s="368"/>
      <c r="AN27" s="368"/>
      <c r="AO27" s="368"/>
      <c r="AP27" s="368"/>
    </row>
    <row s="3305" customFormat="1" customHeight="1" ht="18.75">
      <c r="A28" s="1398"/>
      <c r="B28" s="1398"/>
      <c r="C28" s="1398"/>
      <c r="D28" s="1398"/>
      <c r="E28" s="1398"/>
      <c r="F28" s="1398"/>
      <c r="G28" s="1398"/>
      <c r="H28" s="1398"/>
      <c r="I28" s="1398"/>
      <c r="J28" s="1398"/>
      <c r="K28" s="1398"/>
      <c r="L28" s="1399"/>
      <c r="M28" s="1398"/>
      <c r="N28" s="1398"/>
      <c r="O28" s="1398"/>
      <c r="S28" s="2098" t="s">
        <v>415</v>
      </c>
      <c r="T28" s="2098"/>
      <c r="U28" s="1402"/>
      <c r="V28" s="2099" t="str">
        <f>IF(TITLE_DATE_PR_CHANGE="",IF(TITLE_DATE_PR="","",TITLE_DATE_PR),TITLE_DATE_PR_CHANGE)</f>
        <v>45280.56123842593</v>
      </c>
      <c r="W28" s="2099"/>
      <c r="X28" s="2099"/>
      <c r="Y28" s="2099"/>
      <c r="Z28" s="2099"/>
      <c r="AA28" s="2099"/>
      <c r="AB28" s="322"/>
      <c r="AC28" s="2099" t="str">
        <f>IF(TITLE_DATE_PR_CHANGE="",IF(TITLE_DATE_PR="","",TITLE_DATE_PR),TITLE_DATE_PR_CHANGE)</f>
        <v>45280.56123842593</v>
      </c>
      <c r="AD28" s="2099"/>
      <c r="AE28" s="2099"/>
      <c r="AF28" s="2099"/>
      <c r="AG28" s="2099"/>
      <c r="AH28" s="2099"/>
      <c r="AI28" s="322"/>
      <c r="AJ28" s="322"/>
      <c r="AK28" s="268"/>
      <c r="AL28" s="368"/>
      <c r="AM28" s="368"/>
      <c r="AN28" s="368"/>
      <c r="AO28" s="368"/>
      <c r="AP28" s="368"/>
    </row>
    <row s="3305" customFormat="1" customHeight="1" ht="18.75">
      <c r="A29" s="1398"/>
      <c r="B29" s="1398"/>
      <c r="C29" s="1398"/>
      <c r="D29" s="1398"/>
      <c r="E29" s="1398"/>
      <c r="F29" s="1398"/>
      <c r="G29" s="1398"/>
      <c r="H29" s="1398"/>
      <c r="I29" s="1398"/>
      <c r="J29" s="1398"/>
      <c r="K29" s="1398"/>
      <c r="L29" s="1399"/>
      <c r="M29" s="1398"/>
      <c r="N29" s="1398"/>
      <c r="O29" s="1398"/>
      <c r="S29" s="2098" t="s">
        <v>416</v>
      </c>
      <c r="T29" s="2098"/>
      <c r="U29" s="1402"/>
      <c r="V29" s="2100" t="str">
        <f>IF(TITLE_NUMBER_PR_CHANGE="",IF(TITLE_NUMBER_PR="","",TITLE_NUMBER_PR),TITLE_NUMBER_PR_CHANGE)</f>
        <v>79-477-спр</v>
      </c>
      <c r="W29" s="2100"/>
      <c r="X29" s="2100"/>
      <c r="Y29" s="2100"/>
      <c r="Z29" s="2100"/>
      <c r="AA29" s="2100"/>
      <c r="AB29" s="322"/>
      <c r="AC29" s="2100" t="str">
        <f>IF(TITLE_NUMBER_PR_CHANGE="",IF(TITLE_NUMBER_PR="","",TITLE_NUMBER_PR),TITLE_NUMBER_PR_CHANGE)</f>
        <v>79-477-спр</v>
      </c>
      <c r="AD29" s="2100"/>
      <c r="AE29" s="2100"/>
      <c r="AF29" s="2100"/>
      <c r="AG29" s="2100"/>
      <c r="AH29" s="2100"/>
      <c r="AI29" s="322"/>
      <c r="AJ29" s="322"/>
      <c r="AK29" s="268"/>
      <c r="AL29" s="368"/>
      <c r="AM29" s="368"/>
      <c r="AN29" s="368"/>
      <c r="AO29" s="368"/>
      <c r="AP29" s="368"/>
    </row>
    <row s="3305" customFormat="1" customHeight="1" ht="18.75">
      <c r="A30" s="1398"/>
      <c r="B30" s="1398"/>
      <c r="C30" s="1398"/>
      <c r="D30" s="1398"/>
      <c r="E30" s="1398"/>
      <c r="F30" s="1398"/>
      <c r="G30" s="1398"/>
      <c r="H30" s="1398"/>
      <c r="I30" s="1398"/>
      <c r="J30" s="1398"/>
      <c r="K30" s="1398"/>
      <c r="L30" s="1399"/>
      <c r="M30" s="1398"/>
      <c r="N30" s="1398"/>
      <c r="O30" s="1398"/>
      <c r="S30" s="2098" t="s">
        <v>40</v>
      </c>
      <c r="T30" s="2098"/>
      <c r="U30" s="1402"/>
      <c r="V30" s="2100" t="str">
        <f>IF(TITLE_IST_PUB_CHANGE="",IF(TITLE_IST_PUB="","",TITLE_IST_PUB),TITLE_IST_PUB_CHANGE)</f>
        <v>Официальный сайт службы по тарифам Иркутской области http://irkobl.ru</v>
      </c>
      <c r="W30" s="2100"/>
      <c r="X30" s="2100"/>
      <c r="Y30" s="2100"/>
      <c r="Z30" s="2100"/>
      <c r="AA30" s="2100"/>
      <c r="AB30" s="322"/>
      <c r="AC30" s="2100" t="str">
        <f>IF(TITLE_IST_PUB_CHANGE="",IF(TITLE_IST_PUB="","",TITLE_IST_PUB),TITLE_IST_PUB_CHANGE)</f>
        <v>Официальный сайт службы по тарифам Иркутской области http://irkobl.ru</v>
      </c>
      <c r="AD30" s="2100"/>
      <c r="AE30" s="2100"/>
      <c r="AF30" s="2100"/>
      <c r="AG30" s="2100"/>
      <c r="AH30" s="2100"/>
      <c r="AI30" s="322"/>
      <c r="AJ30" s="322"/>
      <c r="AK30" s="268"/>
      <c r="AL30" s="368"/>
      <c r="AM30" s="368"/>
      <c r="AN30" s="368"/>
      <c r="AO30" s="368"/>
      <c r="AP30" s="368"/>
    </row>
    <row customHeight="1" ht="14.25" hidden="1">
      <c r="Q31" s="377"/>
      <c r="R31" s="377"/>
      <c r="S31" s="1305"/>
      <c r="T31" s="361"/>
      <c r="U31" s="361"/>
      <c r="V31" s="316"/>
      <c r="W31" s="316"/>
      <c r="X31" s="316"/>
      <c r="Y31" s="316"/>
      <c r="Z31" s="316"/>
      <c r="AA31" s="316"/>
      <c r="AB31" s="316"/>
      <c r="AC31" s="316"/>
      <c r="AD31" s="316"/>
      <c r="AE31" s="316"/>
      <c r="AF31" s="316"/>
      <c r="AG31" s="316"/>
      <c r="AH31" s="316"/>
      <c r="AI31" s="316"/>
      <c r="AJ31" s="515"/>
    </row>
    <row s="3305" customFormat="1" customHeight="1" ht="18.75" hidden="1">
      <c r="A32" s="1398"/>
      <c r="B32" s="1398"/>
      <c r="C32" s="1398"/>
      <c r="D32" s="1398"/>
      <c r="E32" s="1398"/>
      <c r="F32" s="1398"/>
      <c r="G32" s="1398"/>
      <c r="H32" s="1398"/>
      <c r="I32" s="1398"/>
      <c r="J32" s="1398"/>
      <c r="K32" s="1398"/>
      <c r="L32" s="1399"/>
      <c r="M32" s="1398"/>
      <c r="N32" s="1398"/>
      <c r="O32" s="1398"/>
      <c r="S32" s="2098" t="s">
        <v>417</v>
      </c>
      <c r="T32" s="2098"/>
      <c r="U32" s="1402"/>
      <c r="V32" s="2099" t="str">
        <f>IF(TITLE_DATE_PR_CHANGE="",IF(TITLE_DATE_PR="","",TITLE_DATE_PR),TITLE_DATE_PR_CHANGE)</f>
        <v>45280.56123842593</v>
      </c>
      <c r="W32" s="2099"/>
      <c r="X32" s="2099"/>
      <c r="Y32" s="2099"/>
      <c r="Z32" s="2099"/>
      <c r="AA32" s="2099"/>
      <c r="AB32" s="322"/>
      <c r="AC32" s="2099" t="str">
        <f>IF(TITLE_DATE_PR_CHANGE="",IF(TITLE_DATE_PR="","",TITLE_DATE_PR),TITLE_DATE_PR_CHANGE)</f>
        <v>45280.56123842593</v>
      </c>
      <c r="AD32" s="2099"/>
      <c r="AE32" s="2099"/>
      <c r="AF32" s="2099"/>
      <c r="AG32" s="2099"/>
      <c r="AH32" s="2099"/>
      <c r="AI32" s="322"/>
      <c r="AJ32" s="322"/>
      <c r="AK32" s="268"/>
      <c r="AL32" s="368"/>
      <c r="AM32" s="368"/>
      <c r="AN32" s="368"/>
      <c r="AO32" s="368"/>
      <c r="AP32" s="368"/>
    </row>
    <row s="3305" customFormat="1" customHeight="1" ht="18.75" hidden="1">
      <c r="A33" s="1398"/>
      <c r="B33" s="1398"/>
      <c r="C33" s="1398"/>
      <c r="D33" s="1398"/>
      <c r="E33" s="1398"/>
      <c r="F33" s="1398"/>
      <c r="G33" s="1398"/>
      <c r="H33" s="1398"/>
      <c r="I33" s="1398"/>
      <c r="J33" s="1398"/>
      <c r="K33" s="1398"/>
      <c r="L33" s="1399"/>
      <c r="M33" s="1398"/>
      <c r="N33" s="1398"/>
      <c r="O33" s="1398"/>
      <c r="S33" s="2098" t="s">
        <v>418</v>
      </c>
      <c r="T33" s="2098"/>
      <c r="U33" s="1402"/>
      <c r="V33" s="2100" t="str">
        <f>IF(TITLE_NUMBER_PR_CHANGE="",IF(TITLE_NUMBER_PR="","",TITLE_NUMBER_PR),TITLE_NUMBER_PR_CHANGE)</f>
        <v>79-477-спр</v>
      </c>
      <c r="W33" s="2100"/>
      <c r="X33" s="2100"/>
      <c r="Y33" s="2100"/>
      <c r="Z33" s="2100"/>
      <c r="AA33" s="2100"/>
      <c r="AB33" s="322"/>
      <c r="AC33" s="2100" t="str">
        <f>IF(TITLE_NUMBER_PR_CHANGE="",IF(TITLE_NUMBER_PR="","",TITLE_NUMBER_PR),TITLE_NUMBER_PR_CHANGE)</f>
        <v>79-477-спр</v>
      </c>
      <c r="AD33" s="2100"/>
      <c r="AE33" s="2100"/>
      <c r="AF33" s="2100"/>
      <c r="AG33" s="2100"/>
      <c r="AH33" s="2100"/>
      <c r="AI33" s="322"/>
      <c r="AJ33" s="322"/>
      <c r="AK33" s="268"/>
      <c r="AL33" s="368"/>
      <c r="AM33" s="368"/>
      <c r="AN33" s="368"/>
      <c r="AO33" s="368"/>
      <c r="AP33" s="368"/>
    </row>
    <row s="3305" customFormat="1" customHeight="1" ht="0.75">
      <c r="A34" s="1398"/>
      <c r="B34" s="1398"/>
      <c r="C34" s="1398"/>
      <c r="D34" s="1398"/>
      <c r="E34" s="1398"/>
      <c r="F34" s="1398"/>
      <c r="G34" s="1398"/>
      <c r="H34" s="1398"/>
      <c r="I34" s="1398"/>
      <c r="J34" s="1398"/>
      <c r="K34" s="1398"/>
      <c r="L34" s="1399"/>
      <c r="M34" s="1398"/>
      <c r="N34" s="1398"/>
      <c r="O34" s="1398"/>
      <c r="S34" s="318"/>
      <c r="T34" s="318"/>
      <c r="U34" s="1518"/>
      <c r="V34" s="322"/>
      <c r="W34" s="322"/>
      <c r="X34" s="322"/>
      <c r="Y34" s="322"/>
      <c r="Z34" s="322"/>
      <c r="AA34" s="322"/>
      <c r="AB34" s="266" t="s">
        <v>419</v>
      </c>
      <c r="AC34" s="322"/>
      <c r="AD34" s="322"/>
      <c r="AE34" s="322"/>
      <c r="AF34" s="322"/>
      <c r="AG34" s="322"/>
      <c r="AH34" s="322"/>
      <c r="AI34" s="266" t="s">
        <v>419</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293</v>
      </c>
      <c r="T36" s="1971"/>
      <c r="U36" s="1971"/>
      <c r="V36" s="1971"/>
      <c r="W36" s="1971"/>
      <c r="X36" s="1971"/>
      <c r="Y36" s="1971"/>
      <c r="Z36" s="1971"/>
      <c r="AA36" s="1971"/>
      <c r="AB36" s="1971"/>
      <c r="AC36" s="1971"/>
      <c r="AD36" s="1971"/>
      <c r="AE36" s="1971"/>
      <c r="AF36" s="1971"/>
      <c r="AG36" s="1971"/>
      <c r="AH36" s="1971"/>
      <c r="AI36" s="1971"/>
      <c r="AJ36" s="1971"/>
      <c r="AK36" s="1971" t="s">
        <v>294</v>
      </c>
    </row>
    <row customHeight="1" ht="14.25">
      <c r="Q37" s="377"/>
      <c r="R37" s="377"/>
      <c r="S37" s="2125" t="s">
        <v>88</v>
      </c>
      <c r="T37" s="2062" t="s">
        <v>420</v>
      </c>
      <c r="U37" s="289"/>
      <c r="V37" s="2126" t="s">
        <v>421</v>
      </c>
      <c r="W37" s="2127"/>
      <c r="X37" s="2127"/>
      <c r="Y37" s="2127"/>
      <c r="Z37" s="2127"/>
      <c r="AA37" s="2128"/>
      <c r="AB37" s="2129" t="s">
        <v>422</v>
      </c>
      <c r="AC37" s="2126" t="s">
        <v>421</v>
      </c>
      <c r="AD37" s="2127"/>
      <c r="AE37" s="2127"/>
      <c r="AF37" s="2127"/>
      <c r="AG37" s="2127"/>
      <c r="AH37" s="2128"/>
      <c r="AI37" s="2129" t="s">
        <v>423</v>
      </c>
      <c r="AJ37" s="2132" t="s">
        <v>424</v>
      </c>
      <c r="AK37" s="1971"/>
    </row>
    <row customHeight="1" ht="33.75">
      <c r="Q38" s="377"/>
      <c r="R38" s="377"/>
      <c r="S38" s="2125"/>
      <c r="T38" s="2062"/>
      <c r="U38" s="1038"/>
      <c r="V38" s="1513" t="s">
        <v>526</v>
      </c>
      <c r="W38" s="2118" t="s">
        <v>527</v>
      </c>
      <c r="X38" s="2120"/>
      <c r="Y38" s="2118" t="s">
        <v>428</v>
      </c>
      <c r="Z38" s="2119"/>
      <c r="AA38" s="2120"/>
      <c r="AB38" s="2130"/>
      <c r="AC38" s="1513" t="s">
        <v>526</v>
      </c>
      <c r="AD38" s="2118" t="s">
        <v>527</v>
      </c>
      <c r="AE38" s="2120"/>
      <c r="AF38" s="2118" t="s">
        <v>428</v>
      </c>
      <c r="AG38" s="2119"/>
      <c r="AH38" s="2120"/>
      <c r="AI38" s="2130"/>
      <c r="AJ38" s="2133"/>
      <c r="AK38" s="1971"/>
    </row>
    <row customHeight="1" ht="86.25">
      <c r="A39" s="1400"/>
      <c r="B39" s="1400" t="s">
        <v>136</v>
      </c>
      <c r="C39" s="1400" t="s">
        <v>137</v>
      </c>
      <c r="D39" s="1400" t="s">
        <v>138</v>
      </c>
      <c r="E39" s="1394" t="s">
        <v>429</v>
      </c>
      <c r="F39" s="1394" t="s">
        <v>430</v>
      </c>
      <c r="G39" s="1394" t="s">
        <v>431</v>
      </c>
      <c r="H39" s="1394"/>
      <c r="I39" s="1394" t="s">
        <v>486</v>
      </c>
      <c r="J39" s="1394" t="s">
        <v>434</v>
      </c>
      <c r="K39" s="1394" t="s">
        <v>487</v>
      </c>
      <c r="L39" s="1394" t="s">
        <v>410</v>
      </c>
      <c r="Q39" s="377"/>
      <c r="R39" s="377"/>
      <c r="S39" s="2125"/>
      <c r="T39" s="2062"/>
      <c r="U39" s="290"/>
      <c r="V39" s="1513" t="s">
        <v>528</v>
      </c>
      <c r="W39" s="1237" t="s">
        <v>529</v>
      </c>
      <c r="X39" s="1237" t="s">
        <v>530</v>
      </c>
      <c r="Y39" s="1519" t="s">
        <v>438</v>
      </c>
      <c r="Z39" s="2121" t="s">
        <v>439</v>
      </c>
      <c r="AA39" s="2122"/>
      <c r="AB39" s="2131"/>
      <c r="AC39" s="1513" t="s">
        <v>528</v>
      </c>
      <c r="AD39" s="1237" t="s">
        <v>529</v>
      </c>
      <c r="AE39" s="1237" t="s">
        <v>530</v>
      </c>
      <c r="AF39" s="1519" t="s">
        <v>438</v>
      </c>
      <c r="AG39" s="2121" t="s">
        <v>439</v>
      </c>
      <c r="AH39" s="2122"/>
      <c r="AI39" s="2131"/>
      <c r="AJ39" s="2134"/>
      <c r="AK39" s="1971"/>
    </row>
    <row s="2610" customFormat="1" customHeight="1" ht="11.25" hidden="1">
      <c r="A40" s="1400"/>
      <c r="B40" s="1400"/>
      <c r="C40" s="1400"/>
      <c r="D40" s="1400"/>
      <c r="E40" s="1400"/>
      <c r="F40" s="1400"/>
      <c r="G40" s="1400"/>
      <c r="H40" s="1400"/>
      <c r="I40" s="1400"/>
      <c r="J40" s="1400"/>
      <c r="K40" s="1400"/>
      <c r="L40" s="1394"/>
      <c r="M40" s="1392"/>
      <c r="N40" s="1392"/>
      <c r="O40" s="1392"/>
      <c r="P40" s="1264"/>
      <c r="Q40" s="1265"/>
      <c r="R40" s="1280">
        <v>1</v>
      </c>
      <c r="S40" s="1307" t="s">
        <v>110</v>
      </c>
      <c r="T40" s="1281" t="s">
        <v>111</v>
      </c>
      <c r="U40" s="1263" t="str">
        <f>OFFSET(U40,0,-1)</f>
        <v>2</v>
      </c>
      <c r="V40" s="1512">
        <f>OFFSET(V40,0,-1)+1</f>
        <v>3</v>
      </c>
      <c r="W40" s="1512">
        <f>OFFSET(W40,0,-1)+1</f>
        <v>4</v>
      </c>
      <c r="X40" s="1512">
        <f>OFFSET(X40,0,-1)+1</f>
        <v>5</v>
      </c>
      <c r="Y40" s="1512">
        <f>OFFSET(Y40,0,-1)+1</f>
        <v>6</v>
      </c>
      <c r="Z40" s="2123">
        <f>OFFSET(Z40,0,-1)+1</f>
        <v>7</v>
      </c>
      <c r="AA40" s="2123"/>
      <c r="AB40" s="1512">
        <f>OFFSET(AB40,0,-2)+1</f>
        <v>8</v>
      </c>
      <c r="AC40" s="1512">
        <f>OFFSET(AC40,0,-1)+1</f>
        <v>9</v>
      </c>
      <c r="AD40" s="1512">
        <f>OFFSET(AD40,0,-1)+1</f>
        <v>10</v>
      </c>
      <c r="AE40" s="1512">
        <f>OFFSET(AE40,0,-1)+1</f>
        <v>11</v>
      </c>
      <c r="AF40" s="1512">
        <f>OFFSET(AF40,0,-1)+1</f>
        <v>12</v>
      </c>
      <c r="AG40" s="2123">
        <f>OFFSET(AG40,0,-1)+1</f>
        <v>13</v>
      </c>
      <c r="AH40" s="2123"/>
      <c r="AI40" s="1512">
        <f>OFFSET(AI40,0,-2)+1</f>
        <v>14</v>
      </c>
      <c r="AJ40" s="1263">
        <f>OFFSET(AJ40,0,-1)</f>
        <v>14</v>
      </c>
      <c r="AK40" s="1512">
        <f>OFFSET(AK40,0,-1)+1</f>
        <v>15</v>
      </c>
      <c r="AL40" s="517"/>
      <c r="AM40" s="517"/>
      <c r="AN40" s="517"/>
      <c r="AO40" s="517"/>
      <c r="AP40" s="517"/>
    </row>
    <row customHeight="1" ht="23.25">
      <c r="A41" s="1393" t="s">
        <v>244</v>
      </c>
      <c r="B41" s="1393"/>
      <c r="C41" s="1393"/>
      <c r="D41" s="1393"/>
      <c r="E41" s="2107">
        <v>1</v>
      </c>
      <c r="F41" s="1393"/>
      <c r="G41" s="1393"/>
      <c r="H41" s="1393"/>
      <c r="I41" s="1393"/>
      <c r="J41" s="1393"/>
      <c r="K41" s="1393"/>
      <c r="L41" s="1394"/>
      <c r="M41" s="1395"/>
      <c r="N41" s="1395"/>
      <c r="O41" s="1395"/>
      <c r="P41" s="357"/>
      <c r="Q41" s="356"/>
      <c r="R41" s="351"/>
      <c r="S41" s="1523">
        <f>INDEX(PT_DIFFERENTIATION_NUM_NTAR,MATCH(A41,PT_DIFFERENTIATION_NTAR_ID,0))</f>
        <v>0</v>
      </c>
      <c r="T41" s="286" t="s">
        <v>124</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244</v>
      </c>
      <c r="B42" s="1393" t="s">
        <v>245</v>
      </c>
      <c r="C42" s="1393"/>
      <c r="D42" s="1393"/>
      <c r="E42" s="2108"/>
      <c r="F42" s="2107">
        <v>1</v>
      </c>
      <c r="G42" s="1393"/>
      <c r="H42" s="1393"/>
      <c r="I42" s="1393"/>
      <c r="J42" s="1393"/>
      <c r="K42" s="1393"/>
      <c r="L42" s="1394"/>
      <c r="M42" s="1395"/>
      <c r="N42" s="1395"/>
      <c r="O42" s="1395"/>
      <c r="P42" s="1517"/>
      <c r="Q42" s="348"/>
      <c r="R42" s="349"/>
      <c r="S42" s="1523" t="str">
        <f>INDEX(PT_DIFFERENTIATION_NUM_TER,MATCH(B42,PT_DIFFERENTIATION_TER_ID,0))</f>
        <v>.</v>
      </c>
      <c r="T42" s="298" t="s">
        <v>392</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393</v>
      </c>
      <c r="AM42" s="506"/>
      <c r="AN42" s="506" t="str">
        <f>IF(T42="","",T42)</f>
        <v>Территория действия тарифа</v>
      </c>
      <c r="AO42" s="506"/>
      <c r="AP42" s="506"/>
    </row>
    <row customHeight="1" ht="23.25">
      <c r="A43" s="1393" t="s">
        <v>244</v>
      </c>
      <c r="B43" s="1393" t="s">
        <v>245</v>
      </c>
      <c r="C43" s="1393" t="s">
        <v>246</v>
      </c>
      <c r="D43" s="1393"/>
      <c r="E43" s="2108"/>
      <c r="F43" s="2108"/>
      <c r="G43" s="2107">
        <v>1</v>
      </c>
      <c r="H43" s="1393"/>
      <c r="I43" s="1393"/>
      <c r="J43" s="1393"/>
      <c r="K43" s="1393"/>
      <c r="L43" s="1394"/>
      <c r="M43" s="1395"/>
      <c r="N43" s="1395"/>
      <c r="O43" s="1395"/>
      <c r="P43" s="350"/>
      <c r="Q43" s="348"/>
      <c r="R43" s="349"/>
      <c r="S43" s="1523" t="str">
        <f>INDEX(PT_DIFFERENTIATION_NUM_CS,MATCH(C43,PT_DIFFERENTIATION_CS_ID,0))</f>
        <v>..</v>
      </c>
      <c r="T43" s="299" t="s">
        <v>524</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525</v>
      </c>
      <c r="AM43" s="506"/>
      <c r="AN43" s="506" t="str">
        <f>IF(T43="","",T43)</f>
        <v>Наименование централизованной системы горячего водоснабжения</v>
      </c>
      <c r="AO43" s="506"/>
      <c r="AP43" s="506"/>
    </row>
    <row customHeight="1" ht="23.25">
      <c r="A44" s="1393" t="s">
        <v>244</v>
      </c>
      <c r="B44" s="1393" t="s">
        <v>245</v>
      </c>
      <c r="C44" s="1393" t="s">
        <v>246</v>
      </c>
      <c r="D44" s="1393" t="s">
        <v>531</v>
      </c>
      <c r="E44" s="2108"/>
      <c r="F44" s="2108"/>
      <c r="G44" s="2108"/>
      <c r="H44" s="2108"/>
      <c r="I44" s="2109" t="str">
        <f>S43&amp;".1"</f>
        <v>...1</v>
      </c>
      <c r="J44" s="1393"/>
      <c r="K44" s="1393"/>
      <c r="L44" s="1394"/>
      <c r="P44" s="2111">
        <v>1</v>
      </c>
      <c r="Q44" s="1511"/>
      <c r="R44" s="352"/>
      <c r="S44" s="1523" t="str">
        <f>$I44</f>
        <v>...1</v>
      </c>
      <c r="T44" s="273" t="s">
        <v>479</v>
      </c>
      <c r="U44" s="288"/>
      <c r="V44" s="2194"/>
      <c r="W44" s="2195"/>
      <c r="X44" s="2195"/>
      <c r="Y44" s="2195"/>
      <c r="Z44" s="2195"/>
      <c r="AA44" s="2195"/>
      <c r="AB44" s="2196"/>
      <c r="AC44" s="2197"/>
      <c r="AD44" s="2198"/>
      <c r="AE44" s="2198"/>
      <c r="AF44" s="2198"/>
      <c r="AG44" s="2198"/>
      <c r="AH44" s="2198"/>
      <c r="AI44" s="2198"/>
      <c r="AJ44" s="2199"/>
      <c r="AK44" s="1286" t="s">
        <v>480</v>
      </c>
      <c r="AM44" s="506"/>
      <c r="AN44" s="506" t="str">
        <f>IF(T44="","",T44)</f>
        <v>Наименование признака дифференциации</v>
      </c>
      <c r="AO44" s="506"/>
      <c r="AP44" s="506"/>
    </row>
    <row customHeight="1" ht="23.25">
      <c r="A45" s="1393" t="s">
        <v>244</v>
      </c>
      <c r="B45" s="1393" t="s">
        <v>245</v>
      </c>
      <c r="C45" s="1393" t="s">
        <v>246</v>
      </c>
      <c r="D45" s="1393" t="s">
        <v>531</v>
      </c>
      <c r="E45" s="2108"/>
      <c r="F45" s="2108"/>
      <c r="G45" s="2108"/>
      <c r="H45" s="2108"/>
      <c r="I45" s="2110"/>
      <c r="J45" s="2109" t="str">
        <f>I44&amp;".1"</f>
        <v>...1.1</v>
      </c>
      <c r="K45" s="1393"/>
      <c r="L45" s="1394" t="s">
        <v>401</v>
      </c>
      <c r="P45" s="2111"/>
      <c r="Q45" s="2111">
        <v>1</v>
      </c>
      <c r="R45" s="353"/>
      <c r="S45" s="1523" t="str">
        <f>$J45</f>
        <v>...1.1</v>
      </c>
      <c r="T45" s="274" t="s">
        <v>402</v>
      </c>
      <c r="U45" s="288"/>
      <c r="V45" s="2095"/>
      <c r="W45" s="2096"/>
      <c r="X45" s="2096"/>
      <c r="Y45" s="2096"/>
      <c r="Z45" s="2096"/>
      <c r="AA45" s="2096"/>
      <c r="AB45" s="2097"/>
      <c r="AC45" s="2095"/>
      <c r="AD45" s="2096"/>
      <c r="AE45" s="2096"/>
      <c r="AF45" s="2096"/>
      <c r="AG45" s="2096"/>
      <c r="AH45" s="2096"/>
      <c r="AI45" s="2096"/>
      <c r="AJ45" s="2097"/>
      <c r="AK45" s="1337" t="s">
        <v>481</v>
      </c>
      <c r="AM45" s="506"/>
      <c r="AN45" s="506" t="str">
        <f>IF(T45="","",T45)</f>
        <v>Группа потребителей</v>
      </c>
      <c r="AO45" s="506"/>
      <c r="AP45" s="506"/>
    </row>
    <row customHeight="1" ht="23.25">
      <c r="A46" s="1393" t="s">
        <v>244</v>
      </c>
      <c r="B46" s="1393" t="s">
        <v>245</v>
      </c>
      <c r="C46" s="1393" t="s">
        <v>246</v>
      </c>
      <c r="D46" s="1393" t="s">
        <v>531</v>
      </c>
      <c r="E46" s="2108"/>
      <c r="F46" s="2108"/>
      <c r="G46" s="2108"/>
      <c r="H46" s="2108"/>
      <c r="I46" s="2110"/>
      <c r="J46" s="2110"/>
      <c r="K46" s="2109" t="str">
        <f>J45&amp;".1"</f>
        <v>...1.1.1</v>
      </c>
      <c r="L46" s="1394"/>
      <c r="P46" s="2111"/>
      <c r="Q46" s="2111"/>
      <c r="R46" s="353">
        <v>1</v>
      </c>
      <c r="S46" s="1523" t="str">
        <f>$K46</f>
        <v>...1.1.1</v>
      </c>
      <c r="T46" s="1467"/>
      <c r="U46" s="288"/>
      <c r="V46" s="1390"/>
      <c r="W46" s="1390"/>
      <c r="X46" s="1391"/>
      <c r="Y46" s="2105"/>
      <c r="Z46" s="2104" t="s">
        <v>62</v>
      </c>
      <c r="AA46" s="2105"/>
      <c r="AB46" s="2104" t="s">
        <v>62</v>
      </c>
      <c r="AC46" s="757"/>
      <c r="AD46" s="757"/>
      <c r="AE46" s="1285"/>
      <c r="AF46" s="2112"/>
      <c r="AG46" s="1981" t="s">
        <v>62</v>
      </c>
      <c r="AH46" s="2114"/>
      <c r="AI46" s="1981" t="s">
        <v>57</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244</v>
      </c>
      <c r="B47" s="1393" t="s">
        <v>245</v>
      </c>
      <c r="C47" s="1393" t="s">
        <v>246</v>
      </c>
      <c r="D47" s="1393" t="s">
        <v>531</v>
      </c>
      <c r="E47" s="2108"/>
      <c r="F47" s="2108"/>
      <c r="G47" s="2108"/>
      <c r="H47" s="2108"/>
      <c r="I47" s="2110"/>
      <c r="J47" s="2110"/>
      <c r="K47" s="2109"/>
      <c r="L47" s="1394"/>
      <c r="P47" s="2111"/>
      <c r="Q47" s="2111"/>
      <c r="R47" s="353"/>
      <c r="S47" s="1520"/>
      <c r="T47" s="288"/>
      <c r="U47" s="288"/>
      <c r="V47" s="1390"/>
      <c r="W47" s="1390"/>
      <c r="X47" s="324" t="str">
        <f>Y46&amp;"-"&amp;AA46</f>
        <v>-</v>
      </c>
      <c r="Y47" s="2104"/>
      <c r="Z47" s="2104"/>
      <c r="AA47" s="2104"/>
      <c r="AB47" s="2104"/>
      <c r="AC47" s="320"/>
      <c r="AD47" s="320"/>
      <c r="AE47" s="324" t="str">
        <f>AF46&amp;"-"&amp;AH46</f>
        <v>-</v>
      </c>
      <c r="AF47" s="2113"/>
      <c r="AG47" s="1981"/>
      <c r="AH47" s="2115"/>
      <c r="AI47" s="1981"/>
      <c r="AJ47" s="1469"/>
      <c r="AK47" s="2200"/>
      <c r="AM47" s="506"/>
      <c r="AN47" s="506" t="str">
        <f>IF(T47="","",T47)</f>
        <v/>
      </c>
      <c r="AO47" s="506"/>
      <c r="AP47" s="506"/>
    </row>
    <row customHeight="1" ht="21">
      <c r="A48" s="1393" t="s">
        <v>244</v>
      </c>
      <c r="B48" s="1393" t="s">
        <v>245</v>
      </c>
      <c r="C48" s="1393" t="s">
        <v>246</v>
      </c>
      <c r="D48" s="1393" t="s">
        <v>531</v>
      </c>
      <c r="E48" s="2108"/>
      <c r="F48" s="2108"/>
      <c r="G48" s="2108"/>
      <c r="H48" s="2108"/>
      <c r="I48" s="2110"/>
      <c r="J48" s="2109"/>
      <c r="K48" s="1393"/>
      <c r="L48" s="1394"/>
      <c r="P48" s="2111"/>
      <c r="Q48" s="2111"/>
      <c r="R48" s="352"/>
      <c r="S48" s="1308"/>
      <c r="T48" s="275" t="s">
        <v>482</v>
      </c>
      <c r="U48" s="367"/>
      <c r="V48" s="367"/>
      <c r="W48" s="367"/>
      <c r="X48" s="367"/>
      <c r="Y48" s="367"/>
      <c r="Z48" s="367"/>
      <c r="AA48" s="367"/>
      <c r="AB48" s="367"/>
      <c r="AC48" s="367"/>
      <c r="AD48" s="367"/>
      <c r="AE48" s="367"/>
      <c r="AF48" s="367"/>
      <c r="AG48" s="367"/>
      <c r="AH48" s="367"/>
      <c r="AI48" s="367"/>
      <c r="AJ48" s="367"/>
      <c r="AK48" s="1286" t="s">
        <v>483</v>
      </c>
      <c r="AM48" s="506"/>
      <c r="AN48" s="506" t="str">
        <f>IF(T48="","",T48)</f>
        <v>Добавить значение признака дифференциации</v>
      </c>
      <c r="AO48" s="506"/>
      <c r="AP48" s="506"/>
    </row>
    <row customHeight="1" ht="21">
      <c r="A49" s="1393" t="s">
        <v>244</v>
      </c>
      <c r="B49" s="1393" t="s">
        <v>245</v>
      </c>
      <c r="C49" s="1393" t="s">
        <v>246</v>
      </c>
      <c r="D49" s="1393" t="s">
        <v>531</v>
      </c>
      <c r="E49" s="2108"/>
      <c r="F49" s="2108"/>
      <c r="G49" s="2108"/>
      <c r="H49" s="2108"/>
      <c r="I49" s="2109"/>
      <c r="J49" s="1393"/>
      <c r="K49" s="1393"/>
      <c r="L49" s="1394"/>
      <c r="P49" s="2111"/>
      <c r="Q49" s="1511"/>
      <c r="R49" s="352"/>
      <c r="S49" s="1308"/>
      <c r="T49" s="364" t="s">
        <v>407</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244</v>
      </c>
      <c r="B50" s="1393" t="s">
        <v>245</v>
      </c>
      <c r="C50" s="1393" t="s">
        <v>246</v>
      </c>
      <c r="D50" s="1393" t="s">
        <v>531</v>
      </c>
      <c r="E50" s="2108"/>
      <c r="F50" s="2108"/>
      <c r="G50" s="2108"/>
      <c r="H50" s="2107"/>
      <c r="I50" s="1393"/>
      <c r="J50" s="1393"/>
      <c r="K50" s="1393"/>
      <c r="L50" s="1394"/>
      <c r="M50" s="1395"/>
      <c r="N50" s="1395"/>
      <c r="O50" s="543"/>
      <c r="P50" s="356"/>
      <c r="Q50" s="376"/>
      <c r="R50" s="351"/>
      <c r="S50" s="1308"/>
      <c r="T50" s="372" t="s">
        <v>484</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73" customFormat="1" customHeight="1" ht="0">
      <c r="A51" s="1373" t="s">
        <v>244</v>
      </c>
      <c r="B51" s="1373" t="s">
        <v>245</v>
      </c>
      <c r="C51" s="1344"/>
      <c r="D51" s="1344"/>
      <c r="E51" s="2108"/>
      <c r="F51" s="2107"/>
      <c r="G51" s="1344"/>
      <c r="H51" s="1344"/>
      <c r="I51" s="1344"/>
      <c r="J51" s="1344"/>
      <c r="K51" s="1344"/>
      <c r="L51" s="1524"/>
      <c r="M51" s="1351"/>
      <c r="N51" s="1351"/>
      <c r="P51" s="1346"/>
      <c r="Q51" s="1347"/>
      <c r="R51" s="1346"/>
      <c r="S51" s="1352"/>
      <c r="T51" s="1355" t="s">
        <v>182</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1" customFormat="1" customHeight="1" ht="0">
      <c r="A52" s="1373" t="s">
        <v>244</v>
      </c>
      <c r="B52" s="1373"/>
      <c r="C52" s="1373"/>
      <c r="D52" s="1373"/>
      <c r="E52" s="2107"/>
      <c r="F52" s="1373"/>
      <c r="G52" s="1373"/>
      <c r="H52" s="1373"/>
      <c r="I52" s="1373"/>
      <c r="J52" s="1373"/>
      <c r="K52" s="1373"/>
      <c r="L52" s="1376"/>
      <c r="M52" s="1351"/>
      <c r="N52" s="1351"/>
      <c r="O52" s="524"/>
      <c r="P52" s="385"/>
      <c r="Q52" s="1374"/>
      <c r="R52" s="385"/>
      <c r="S52" s="1352"/>
      <c r="T52" s="1355" t="s">
        <v>183</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73" customFormat="1" customHeight="1" ht="0">
      <c r="A53" s="1344"/>
      <c r="B53" s="1344"/>
      <c r="C53" s="1344"/>
      <c r="D53" s="1344"/>
      <c r="E53" s="1373"/>
      <c r="F53" s="1344"/>
      <c r="G53" s="1344"/>
      <c r="H53" s="1344"/>
      <c r="I53" s="1344"/>
      <c r="J53" s="1344"/>
      <c r="K53" s="1344"/>
      <c r="L53" s="1524"/>
      <c r="M53" s="1351"/>
      <c r="N53" s="1351"/>
      <c r="P53" s="1346"/>
      <c r="Q53" s="1347"/>
      <c r="R53" s="1346"/>
      <c r="S53" s="1352"/>
      <c r="T53" s="1355" t="s">
        <v>184</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7FDA335-1FD8-9A98-D32F-C9419039BAD2}"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92" width="10.57421875" hidden="1"/>
    <col min="2" max="2" style="3292" width="11.00390625" hidden="1" customWidth="1"/>
    <col min="3" max="3" style="3292" width="10.57421875" hidden="1"/>
    <col min="4" max="4" style="3292" width="11.8515625" hidden="1" customWidth="1"/>
    <col min="5" max="5" style="3292" width="10.00390625" hidden="1" customWidth="1"/>
    <col min="6" max="6" style="3292" width="8.7109375" hidden="1" customWidth="1"/>
    <col min="7" max="7" style="3292" width="7.57421875" hidden="1" customWidth="1"/>
    <col min="8" max="8" style="3292" width="11.421875" hidden="1" customWidth="1"/>
    <col min="9" max="9" style="3292" width="14.140625" hidden="1" customWidth="1"/>
    <col min="10" max="10" style="3292" width="9.8515625" hidden="1" customWidth="1"/>
    <col min="11" max="11" style="3292" width="14.7109375" hidden="1" customWidth="1"/>
    <col min="12" max="12" style="3823" width="19.140625" hidden="1" customWidth="1"/>
    <col min="13" max="14" style="3294" width="12.28125" hidden="1" customWidth="1"/>
    <col min="15" max="15" style="3294" width="23.421875" hidden="1" customWidth="1"/>
    <col min="16" max="16" style="3828" width="3.7109375" customWidth="1"/>
    <col min="17" max="18" style="3371" width="3.7109375" customWidth="1"/>
    <col min="19" max="19" style="3372" width="12.7109375" customWidth="1"/>
    <col min="20" max="20" style="2939" width="35.7109375" customWidth="1"/>
    <col min="21" max="21" style="2939" width="0.140625" customWidth="1"/>
    <col min="22" max="24" style="2939" width="24.7109375" hidden="1" customWidth="1"/>
    <col min="25" max="25" style="2939" width="11.7109375" hidden="1" customWidth="1"/>
    <col min="26" max="26" style="2939" width="3.7109375" hidden="1" customWidth="1"/>
    <col min="27" max="27" style="2939" width="11.7109375" hidden="1" customWidth="1"/>
    <col min="28" max="28" style="2939" width="8.57421875" hidden="1" customWidth="1"/>
    <col min="29" max="31" style="2939" width="24.7109375" customWidth="1"/>
    <col min="32" max="32" style="2939" width="11.7109375" customWidth="1"/>
    <col min="33" max="33" style="2939" width="3.7109375" customWidth="1"/>
    <col min="34" max="34" style="2939" width="11.7109375" customWidth="1"/>
    <col min="35" max="35" style="2939" width="8.57421875" hidden="1" customWidth="1"/>
    <col min="36" max="36" style="2939" width="4.7109375" customWidth="1"/>
    <col min="37" max="37" style="2939" width="115.7109375" customWidth="1"/>
    <col min="38" max="39" style="2611" width="10.57421875"/>
    <col min="40" max="40" style="2611" width="11.140625" customWidth="1"/>
    <col min="41" max="42" style="2611"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523">
        <f>INDEX(PT_DIFFERENTIATION_NUM_NTAR,MATCH(A2,PT_DIFFERENTIATION_NTAR_ID,0))</f>
      </c>
      <c r="T2" s="286" t="s">
        <v>124</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517"/>
      <c r="Q3" s="348"/>
      <c r="R3" s="349"/>
      <c r="S3" s="1523">
        <f>INDEX(PT_DIFFERENTIATION_NUM_TER,MATCH(B3,PT_DIFFERENTIATION_TER_ID,0))</f>
      </c>
      <c r="T3" s="298" t="s">
        <v>392</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393</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523">
        <f>INDEX(PT_DIFFERENTIATION_NUM_CS,MATCH(C4,PT_DIFFERENTIATION_CS_ID,0))</f>
      </c>
      <c r="T4" s="299" t="s">
        <v>524</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525</v>
      </c>
      <c r="AM4" s="506"/>
      <c r="AN4" s="506" t="str">
        <f>IF(T4="","",T4)</f>
        <v>Наименование централизованной системы горячего водоснабжения</v>
      </c>
      <c r="AO4" s="506"/>
      <c r="AP4" s="506"/>
    </row>
    <row customHeight="1" ht="23.25" hidden="1">
      <c r="A5" s="1393"/>
      <c r="B5" s="1393"/>
      <c r="C5" s="1393"/>
      <c r="D5" s="1393"/>
      <c r="E5" s="2108"/>
      <c r="F5" s="2108"/>
      <c r="G5" s="2108"/>
      <c r="H5" s="2108"/>
      <c r="I5" s="2109">
        <f>S4&amp;".1"</f>
      </c>
      <c r="J5" s="1393"/>
      <c r="K5" s="1393"/>
      <c r="L5" s="1394"/>
      <c r="P5" s="2111">
        <v>1</v>
      </c>
      <c r="Q5" s="1511"/>
      <c r="R5" s="352"/>
      <c r="S5" s="1523">
        <f>$I5</f>
      </c>
      <c r="T5" s="273" t="s">
        <v>479</v>
      </c>
      <c r="U5" s="288"/>
      <c r="V5" s="2194"/>
      <c r="W5" s="2195"/>
      <c r="X5" s="2195"/>
      <c r="Y5" s="2195"/>
      <c r="Z5" s="2195"/>
      <c r="AA5" s="2195"/>
      <c r="AB5" s="2196"/>
      <c r="AC5" s="2197"/>
      <c r="AD5" s="2198"/>
      <c r="AE5" s="2198"/>
      <c r="AF5" s="2198"/>
      <c r="AG5" s="2198"/>
      <c r="AH5" s="2198"/>
      <c r="AI5" s="2198"/>
      <c r="AJ5" s="2199"/>
      <c r="AK5" s="1286" t="s">
        <v>480</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401</v>
      </c>
      <c r="P6" s="2111"/>
      <c r="Q6" s="2111">
        <v>1</v>
      </c>
      <c r="R6" s="353"/>
      <c r="S6" s="1523">
        <f>$J6</f>
      </c>
      <c r="T6" s="274" t="s">
        <v>402</v>
      </c>
      <c r="U6" s="288"/>
      <c r="V6" s="2095"/>
      <c r="W6" s="2096"/>
      <c r="X6" s="2096"/>
      <c r="Y6" s="2096"/>
      <c r="Z6" s="2096"/>
      <c r="AA6" s="2096"/>
      <c r="AB6" s="2097"/>
      <c r="AC6" s="2095"/>
      <c r="AD6" s="2096"/>
      <c r="AE6" s="2096"/>
      <c r="AF6" s="2096"/>
      <c r="AG6" s="2096"/>
      <c r="AH6" s="2096"/>
      <c r="AI6" s="2096"/>
      <c r="AJ6" s="2097"/>
      <c r="AK6" s="1337" t="s">
        <v>481</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523">
        <f>$K7</f>
      </c>
      <c r="T7" s="1467"/>
      <c r="U7" s="288"/>
      <c r="V7" s="757"/>
      <c r="W7" s="757"/>
      <c r="X7" s="1285"/>
      <c r="Y7" s="2112"/>
      <c r="Z7" s="1981" t="s">
        <v>62</v>
      </c>
      <c r="AA7" s="2112"/>
      <c r="AB7" s="1981" t="s">
        <v>62</v>
      </c>
      <c r="AC7" s="757"/>
      <c r="AD7" s="757"/>
      <c r="AE7" s="1285"/>
      <c r="AF7" s="2112"/>
      <c r="AG7" s="1981" t="s">
        <v>62</v>
      </c>
      <c r="AH7" s="2114"/>
      <c r="AI7" s="1981" t="s">
        <v>62</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520"/>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482</v>
      </c>
      <c r="U9" s="367"/>
      <c r="V9" s="367"/>
      <c r="W9" s="367"/>
      <c r="X9" s="367"/>
      <c r="Y9" s="367"/>
      <c r="Z9" s="367"/>
      <c r="AA9" s="367"/>
      <c r="AB9" s="367"/>
      <c r="AC9" s="367"/>
      <c r="AD9" s="367"/>
      <c r="AE9" s="367"/>
      <c r="AF9" s="367"/>
      <c r="AG9" s="367"/>
      <c r="AH9" s="367"/>
      <c r="AI9" s="367"/>
      <c r="AJ9" s="367"/>
      <c r="AK9" s="1286" t="s">
        <v>483</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511"/>
      <c r="R10" s="352"/>
      <c r="S10" s="1308"/>
      <c r="T10" s="364" t="s">
        <v>407</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484</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73" customFormat="1" customHeight="1" ht="14.25" hidden="1">
      <c r="A12" s="1373"/>
      <c r="B12" s="1373"/>
      <c r="C12" s="1344"/>
      <c r="D12" s="1344"/>
      <c r="E12" s="2108"/>
      <c r="F12" s="2107"/>
      <c r="G12" s="1344"/>
      <c r="H12" s="1344"/>
      <c r="I12" s="1344"/>
      <c r="J12" s="1344"/>
      <c r="K12" s="1344"/>
      <c r="L12" s="1524"/>
      <c r="M12" s="1351"/>
      <c r="N12" s="1351"/>
      <c r="P12" s="1346"/>
      <c r="Q12" s="1347"/>
      <c r="R12" s="1346"/>
      <c r="S12" s="1352"/>
      <c r="T12" s="1355" t="s">
        <v>182</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1"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183</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62</v>
      </c>
      <c r="AH15" s="2105"/>
      <c r="AI15" s="2104" t="s">
        <v>62</v>
      </c>
    </row>
    <row customHeight="1" ht="14.25" hidden="1">
      <c r="AC16" s="1390"/>
      <c r="AD16" s="1390"/>
      <c r="AE16" s="324" t="str">
        <f>AF15&amp;"-"&amp;AH15</f>
        <v>-</v>
      </c>
      <c r="AF16" s="2104"/>
      <c r="AG16" s="2104"/>
      <c r="AH16" s="2104"/>
      <c r="AI16" s="2104"/>
    </row>
    <row customHeight="1" ht="14.25" hidden="1">
      <c r="AI17" s="323"/>
    </row>
    <row s="3292" customFormat="1" customHeight="1" ht="22.5" hidden="1">
      <c r="L18" s="1508"/>
      <c r="M18" s="1392"/>
      <c r="N18" s="1392"/>
      <c r="O18" s="1397" t="s">
        <v>409</v>
      </c>
      <c r="P18" s="1392"/>
      <c r="Q18" s="1401"/>
      <c r="R18" s="1401"/>
      <c r="S18" s="735"/>
      <c r="Y18" s="1397"/>
      <c r="AA18" s="1397"/>
      <c r="AB18" s="1396"/>
      <c r="AF18" s="1397"/>
      <c r="AH18" s="1397"/>
      <c r="AI18" s="1396"/>
      <c r="AL18" s="517"/>
      <c r="AM18" s="517"/>
      <c r="AN18" s="517"/>
      <c r="AO18" s="517"/>
      <c r="AP18" s="517"/>
    </row>
    <row s="3292" customFormat="1" customHeight="1" ht="14.25" hidden="1">
      <c r="L19" s="1508"/>
      <c r="M19" s="1392"/>
      <c r="N19" s="1392"/>
      <c r="O19" s="1392"/>
      <c r="P19" s="1392"/>
      <c r="Q19" s="1401"/>
      <c r="R19" s="1401"/>
      <c r="S19" s="735"/>
      <c r="AB19" s="1396"/>
      <c r="AI19" s="1396"/>
      <c r="AL19" s="517"/>
      <c r="AM19" s="517"/>
      <c r="AN19" s="517"/>
      <c r="AO19" s="517"/>
      <c r="AP19" s="517"/>
    </row>
    <row s="3292" customFormat="1" customHeight="1" ht="12" hidden="1">
      <c r="L20" s="1508"/>
      <c r="M20" s="1392"/>
      <c r="N20" s="1392"/>
      <c r="O20" s="1394" t="s">
        <v>410</v>
      </c>
      <c r="P20" s="1392"/>
      <c r="Q20" s="1472"/>
      <c r="R20" s="1472"/>
      <c r="S20" s="735"/>
      <c r="T20" s="1168" t="s">
        <v>411</v>
      </c>
      <c r="Z20" s="172" t="s">
        <v>412</v>
      </c>
      <c r="AB20" s="172" t="s">
        <v>413</v>
      </c>
      <c r="AC20" s="1168" t="s">
        <v>411</v>
      </c>
      <c r="AG20" s="172" t="s">
        <v>414</v>
      </c>
      <c r="AI20" s="172" t="s">
        <v>413</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26.25">
      <c r="Q24" s="377"/>
      <c r="R24" s="377"/>
      <c r="S24" s="2140"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ЗАО "Байкалэнерго"</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305" customFormat="1" customHeight="1" ht="25.5">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Служба по тарифам Иркутской области</v>
      </c>
      <c r="W27" s="2100"/>
      <c r="X27" s="2100"/>
      <c r="Y27" s="2100"/>
      <c r="Z27" s="2100"/>
      <c r="AA27" s="2100"/>
      <c r="AB27" s="322"/>
      <c r="AC27" s="2100" t="str">
        <f>IF(TITLE_NAME_OR_PR_CHANGE="",IF(TITLE_NAME_OR_PR="","",TITLE_NAME_OR_PR),TITLE_NAME_OR_PR_CHANGE)</f>
        <v>Служба по тарифам Иркутской области</v>
      </c>
      <c r="AD27" s="2100"/>
      <c r="AE27" s="2100"/>
      <c r="AF27" s="2100"/>
      <c r="AG27" s="2100"/>
      <c r="AH27" s="2100"/>
      <c r="AI27" s="322"/>
      <c r="AJ27" s="322"/>
      <c r="AK27" s="268"/>
      <c r="AL27" s="368"/>
      <c r="AM27" s="368"/>
      <c r="AN27" s="368"/>
      <c r="AO27" s="368"/>
      <c r="AP27" s="368"/>
    </row>
    <row s="3305" customFormat="1" customHeight="1" ht="18.75">
      <c r="A28" s="1398"/>
      <c r="B28" s="1398"/>
      <c r="C28" s="1398"/>
      <c r="D28" s="1398"/>
      <c r="E28" s="1398"/>
      <c r="F28" s="1398"/>
      <c r="G28" s="1398"/>
      <c r="H28" s="1398"/>
      <c r="I28" s="1398"/>
      <c r="J28" s="1398"/>
      <c r="K28" s="1398"/>
      <c r="L28" s="1399"/>
      <c r="M28" s="1398"/>
      <c r="N28" s="1398"/>
      <c r="O28" s="1398"/>
      <c r="S28" s="2098" t="s">
        <v>415</v>
      </c>
      <c r="T28" s="2098"/>
      <c r="U28" s="1402"/>
      <c r="V28" s="2099" t="str">
        <f>IF(TITLE_DATE_PR_CHANGE="",IF(TITLE_DATE_PR="","",TITLE_DATE_PR),TITLE_DATE_PR_CHANGE)</f>
        <v>45280.56123842593</v>
      </c>
      <c r="W28" s="2099"/>
      <c r="X28" s="2099"/>
      <c r="Y28" s="2099"/>
      <c r="Z28" s="2099"/>
      <c r="AA28" s="2099"/>
      <c r="AB28" s="322"/>
      <c r="AC28" s="2099" t="str">
        <f>IF(TITLE_DATE_PR_CHANGE="",IF(TITLE_DATE_PR="","",TITLE_DATE_PR),TITLE_DATE_PR_CHANGE)</f>
        <v>45280.56123842593</v>
      </c>
      <c r="AD28" s="2099"/>
      <c r="AE28" s="2099"/>
      <c r="AF28" s="2099"/>
      <c r="AG28" s="2099"/>
      <c r="AH28" s="2099"/>
      <c r="AI28" s="322"/>
      <c r="AJ28" s="322"/>
      <c r="AK28" s="268"/>
      <c r="AL28" s="368"/>
      <c r="AM28" s="368"/>
      <c r="AN28" s="368"/>
      <c r="AO28" s="368"/>
      <c r="AP28" s="368"/>
    </row>
    <row s="3305" customFormat="1" customHeight="1" ht="18.75">
      <c r="A29" s="1398"/>
      <c r="B29" s="1398"/>
      <c r="C29" s="1398"/>
      <c r="D29" s="1398"/>
      <c r="E29" s="1398"/>
      <c r="F29" s="1398"/>
      <c r="G29" s="1398"/>
      <c r="H29" s="1398"/>
      <c r="I29" s="1398"/>
      <c r="J29" s="1398"/>
      <c r="K29" s="1398"/>
      <c r="L29" s="1399"/>
      <c r="M29" s="1398"/>
      <c r="N29" s="1398"/>
      <c r="O29" s="1398"/>
      <c r="S29" s="2098" t="s">
        <v>416</v>
      </c>
      <c r="T29" s="2098"/>
      <c r="U29" s="1402"/>
      <c r="V29" s="2100" t="str">
        <f>IF(TITLE_NUMBER_PR_CHANGE="",IF(TITLE_NUMBER_PR="","",TITLE_NUMBER_PR),TITLE_NUMBER_PR_CHANGE)</f>
        <v>79-477-спр</v>
      </c>
      <c r="W29" s="2100"/>
      <c r="X29" s="2100"/>
      <c r="Y29" s="2100"/>
      <c r="Z29" s="2100"/>
      <c r="AA29" s="2100"/>
      <c r="AB29" s="322"/>
      <c r="AC29" s="2100" t="str">
        <f>IF(TITLE_NUMBER_PR_CHANGE="",IF(TITLE_NUMBER_PR="","",TITLE_NUMBER_PR),TITLE_NUMBER_PR_CHANGE)</f>
        <v>79-477-спр</v>
      </c>
      <c r="AD29" s="2100"/>
      <c r="AE29" s="2100"/>
      <c r="AF29" s="2100"/>
      <c r="AG29" s="2100"/>
      <c r="AH29" s="2100"/>
      <c r="AI29" s="322"/>
      <c r="AJ29" s="322"/>
      <c r="AK29" s="268"/>
      <c r="AL29" s="368"/>
      <c r="AM29" s="368"/>
      <c r="AN29" s="368"/>
      <c r="AO29" s="368"/>
      <c r="AP29" s="368"/>
    </row>
    <row s="3305" customFormat="1" customHeight="1" ht="18.75">
      <c r="A30" s="1398"/>
      <c r="B30" s="1398"/>
      <c r="C30" s="1398"/>
      <c r="D30" s="1398"/>
      <c r="E30" s="1398"/>
      <c r="F30" s="1398"/>
      <c r="G30" s="1398"/>
      <c r="H30" s="1398"/>
      <c r="I30" s="1398"/>
      <c r="J30" s="1398"/>
      <c r="K30" s="1398"/>
      <c r="L30" s="1399"/>
      <c r="M30" s="1398"/>
      <c r="N30" s="1398"/>
      <c r="O30" s="1398"/>
      <c r="S30" s="2098" t="s">
        <v>40</v>
      </c>
      <c r="T30" s="2098"/>
      <c r="U30" s="1402"/>
      <c r="V30" s="2100" t="str">
        <f>IF(TITLE_IST_PUB_CHANGE="",IF(TITLE_IST_PUB="","",TITLE_IST_PUB),TITLE_IST_PUB_CHANGE)</f>
        <v>Официальный сайт службы по тарифам Иркутской области http://irkobl.ru</v>
      </c>
      <c r="W30" s="2100"/>
      <c r="X30" s="2100"/>
      <c r="Y30" s="2100"/>
      <c r="Z30" s="2100"/>
      <c r="AA30" s="2100"/>
      <c r="AB30" s="322"/>
      <c r="AC30" s="2100" t="str">
        <f>IF(TITLE_IST_PUB_CHANGE="",IF(TITLE_IST_PUB="","",TITLE_IST_PUB),TITLE_IST_PUB_CHANGE)</f>
        <v>Официальный сайт службы по тарифам Иркутской области http://irkobl.ru</v>
      </c>
      <c r="AD30" s="2100"/>
      <c r="AE30" s="2100"/>
      <c r="AF30" s="2100"/>
      <c r="AG30" s="2100"/>
      <c r="AH30" s="2100"/>
      <c r="AI30" s="322"/>
      <c r="AJ30" s="322"/>
      <c r="AK30" s="268"/>
      <c r="AL30" s="368"/>
      <c r="AM30" s="368"/>
      <c r="AN30" s="368"/>
      <c r="AO30" s="368"/>
      <c r="AP30" s="368"/>
    </row>
    <row customHeight="1" ht="14.25">
      <c r="Q31" s="377"/>
      <c r="R31" s="377"/>
      <c r="S31" s="1305"/>
      <c r="T31" s="361"/>
      <c r="U31" s="361"/>
      <c r="V31" s="316"/>
      <c r="W31" s="316"/>
      <c r="X31" s="316"/>
      <c r="Y31" s="316"/>
      <c r="Z31" s="316"/>
      <c r="AA31" s="316"/>
      <c r="AB31" s="316"/>
      <c r="AC31" s="316"/>
      <c r="AD31" s="316"/>
      <c r="AE31" s="316"/>
      <c r="AF31" s="316"/>
      <c r="AG31" s="316"/>
      <c r="AH31" s="316"/>
      <c r="AI31" s="316"/>
      <c r="AJ31" s="515"/>
    </row>
    <row s="3305" customFormat="1" customHeight="1" ht="18.75">
      <c r="A32" s="1398"/>
      <c r="B32" s="1398"/>
      <c r="C32" s="1398"/>
      <c r="D32" s="1398"/>
      <c r="E32" s="1398"/>
      <c r="F32" s="1398"/>
      <c r="G32" s="1398"/>
      <c r="H32" s="1398"/>
      <c r="I32" s="1398"/>
      <c r="J32" s="1398"/>
      <c r="K32" s="1398"/>
      <c r="L32" s="1399"/>
      <c r="M32" s="1398"/>
      <c r="N32" s="1398"/>
      <c r="O32" s="1398"/>
      <c r="S32" s="2098" t="s">
        <v>417</v>
      </c>
      <c r="T32" s="2098"/>
      <c r="U32" s="1402"/>
      <c r="V32" s="2099" t="str">
        <f>IF(TITLE_DATE_PR_CHANGE="",IF(TITLE_DATE_PR="","",TITLE_DATE_PR),TITLE_DATE_PR_CHANGE)</f>
        <v>45280.56123842593</v>
      </c>
      <c r="W32" s="2099"/>
      <c r="X32" s="2099"/>
      <c r="Y32" s="2099"/>
      <c r="Z32" s="2099"/>
      <c r="AA32" s="2099"/>
      <c r="AB32" s="322"/>
      <c r="AC32" s="2099" t="str">
        <f>IF(TITLE_DATE_PR_CHANGE="",IF(TITLE_DATE_PR="","",TITLE_DATE_PR),TITLE_DATE_PR_CHANGE)</f>
        <v>45280.56123842593</v>
      </c>
      <c r="AD32" s="2099"/>
      <c r="AE32" s="2099"/>
      <c r="AF32" s="2099"/>
      <c r="AG32" s="2099"/>
      <c r="AH32" s="2099"/>
      <c r="AI32" s="322"/>
      <c r="AJ32" s="322"/>
      <c r="AK32" s="268"/>
      <c r="AL32" s="368"/>
      <c r="AM32" s="368"/>
      <c r="AN32" s="368"/>
      <c r="AO32" s="368"/>
      <c r="AP32" s="368"/>
    </row>
    <row s="3305" customFormat="1" customHeight="1" ht="18.75">
      <c r="A33" s="1398"/>
      <c r="B33" s="1398"/>
      <c r="C33" s="1398"/>
      <c r="D33" s="1398"/>
      <c r="E33" s="1398"/>
      <c r="F33" s="1398"/>
      <c r="G33" s="1398"/>
      <c r="H33" s="1398"/>
      <c r="I33" s="1398"/>
      <c r="J33" s="1398"/>
      <c r="K33" s="1398"/>
      <c r="L33" s="1399"/>
      <c r="M33" s="1398"/>
      <c r="N33" s="1398"/>
      <c r="O33" s="1398"/>
      <c r="S33" s="2098" t="s">
        <v>418</v>
      </c>
      <c r="T33" s="2098"/>
      <c r="U33" s="1402"/>
      <c r="V33" s="2100" t="str">
        <f>IF(TITLE_NUMBER_PR_CHANGE="",IF(TITLE_NUMBER_PR="","",TITLE_NUMBER_PR),TITLE_NUMBER_PR_CHANGE)</f>
        <v>79-477-спр</v>
      </c>
      <c r="W33" s="2100"/>
      <c r="X33" s="2100"/>
      <c r="Y33" s="2100"/>
      <c r="Z33" s="2100"/>
      <c r="AA33" s="2100"/>
      <c r="AB33" s="322"/>
      <c r="AC33" s="2100" t="str">
        <f>IF(TITLE_NUMBER_PR_CHANGE="",IF(TITLE_NUMBER_PR="","",TITLE_NUMBER_PR),TITLE_NUMBER_PR_CHANGE)</f>
        <v>79-477-спр</v>
      </c>
      <c r="AD33" s="2100"/>
      <c r="AE33" s="2100"/>
      <c r="AF33" s="2100"/>
      <c r="AG33" s="2100"/>
      <c r="AH33" s="2100"/>
      <c r="AI33" s="322"/>
      <c r="AJ33" s="322"/>
      <c r="AK33" s="268"/>
      <c r="AL33" s="368"/>
      <c r="AM33" s="368"/>
      <c r="AN33" s="368"/>
      <c r="AO33" s="368"/>
      <c r="AP33" s="368"/>
    </row>
    <row s="3305" customFormat="1" customHeight="1" ht="0.75">
      <c r="A34" s="1398"/>
      <c r="B34" s="1398"/>
      <c r="C34" s="1398"/>
      <c r="D34" s="1398"/>
      <c r="E34" s="1398"/>
      <c r="F34" s="1398"/>
      <c r="G34" s="1398"/>
      <c r="H34" s="1398"/>
      <c r="I34" s="1398"/>
      <c r="J34" s="1398"/>
      <c r="K34" s="1398"/>
      <c r="L34" s="1399"/>
      <c r="M34" s="1398"/>
      <c r="N34" s="1398"/>
      <c r="O34" s="1398"/>
      <c r="S34" s="318"/>
      <c r="T34" s="318"/>
      <c r="U34" s="1518"/>
      <c r="V34" s="322"/>
      <c r="W34" s="322"/>
      <c r="X34" s="322"/>
      <c r="Y34" s="322"/>
      <c r="Z34" s="322"/>
      <c r="AA34" s="322"/>
      <c r="AB34" s="266" t="s">
        <v>419</v>
      </c>
      <c r="AC34" s="322"/>
      <c r="AD34" s="322"/>
      <c r="AE34" s="322"/>
      <c r="AF34" s="322"/>
      <c r="AG34" s="322"/>
      <c r="AH34" s="322"/>
      <c r="AI34" s="266" t="s">
        <v>419</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293</v>
      </c>
      <c r="T36" s="1971"/>
      <c r="U36" s="1971"/>
      <c r="V36" s="1971"/>
      <c r="W36" s="1971"/>
      <c r="X36" s="1971"/>
      <c r="Y36" s="1971"/>
      <c r="Z36" s="1971"/>
      <c r="AA36" s="1971"/>
      <c r="AB36" s="1971"/>
      <c r="AC36" s="1971"/>
      <c r="AD36" s="1971"/>
      <c r="AE36" s="1971"/>
      <c r="AF36" s="1971"/>
      <c r="AG36" s="1971"/>
      <c r="AH36" s="1971"/>
      <c r="AI36" s="1971"/>
      <c r="AJ36" s="1971"/>
      <c r="AK36" s="1971" t="s">
        <v>294</v>
      </c>
    </row>
    <row customHeight="1" ht="14.25">
      <c r="Q37" s="377"/>
      <c r="R37" s="377"/>
      <c r="S37" s="2125" t="s">
        <v>88</v>
      </c>
      <c r="T37" s="2062" t="s">
        <v>420</v>
      </c>
      <c r="U37" s="289"/>
      <c r="V37" s="2126" t="s">
        <v>421</v>
      </c>
      <c r="W37" s="2127"/>
      <c r="X37" s="2127"/>
      <c r="Y37" s="2127"/>
      <c r="Z37" s="2127"/>
      <c r="AA37" s="2128"/>
      <c r="AB37" s="2129" t="s">
        <v>422</v>
      </c>
      <c r="AC37" s="2126" t="s">
        <v>421</v>
      </c>
      <c r="AD37" s="2127"/>
      <c r="AE37" s="2127"/>
      <c r="AF37" s="2127"/>
      <c r="AG37" s="2127"/>
      <c r="AH37" s="2128"/>
      <c r="AI37" s="2129" t="s">
        <v>423</v>
      </c>
      <c r="AJ37" s="2132" t="s">
        <v>424</v>
      </c>
      <c r="AK37" s="1971"/>
    </row>
    <row customHeight="1" ht="33.75">
      <c r="Q38" s="377"/>
      <c r="R38" s="377"/>
      <c r="S38" s="2125"/>
      <c r="T38" s="2062"/>
      <c r="U38" s="1038"/>
      <c r="V38" s="1513" t="s">
        <v>526</v>
      </c>
      <c r="W38" s="2118" t="s">
        <v>527</v>
      </c>
      <c r="X38" s="2120"/>
      <c r="Y38" s="2118" t="s">
        <v>428</v>
      </c>
      <c r="Z38" s="2119"/>
      <c r="AA38" s="2120"/>
      <c r="AB38" s="2130"/>
      <c r="AC38" s="1513" t="s">
        <v>526</v>
      </c>
      <c r="AD38" s="2118" t="s">
        <v>527</v>
      </c>
      <c r="AE38" s="2120"/>
      <c r="AF38" s="2118" t="s">
        <v>428</v>
      </c>
      <c r="AG38" s="2119"/>
      <c r="AH38" s="2120"/>
      <c r="AI38" s="2130"/>
      <c r="AJ38" s="2133"/>
      <c r="AK38" s="1971"/>
    </row>
    <row customHeight="1" ht="86.25">
      <c r="A39" s="1400"/>
      <c r="B39" s="1400" t="s">
        <v>136</v>
      </c>
      <c r="C39" s="1400" t="s">
        <v>137</v>
      </c>
      <c r="D39" s="1400" t="s">
        <v>138</v>
      </c>
      <c r="E39" s="1394" t="s">
        <v>429</v>
      </c>
      <c r="F39" s="1394" t="s">
        <v>430</v>
      </c>
      <c r="G39" s="1394" t="s">
        <v>431</v>
      </c>
      <c r="H39" s="1394"/>
      <c r="I39" s="1394" t="s">
        <v>486</v>
      </c>
      <c r="J39" s="1394" t="s">
        <v>434</v>
      </c>
      <c r="K39" s="1394" t="s">
        <v>487</v>
      </c>
      <c r="L39" s="1394" t="s">
        <v>410</v>
      </c>
      <c r="Q39" s="377"/>
      <c r="R39" s="377"/>
      <c r="S39" s="2125"/>
      <c r="T39" s="2062"/>
      <c r="U39" s="290"/>
      <c r="V39" s="1513" t="s">
        <v>528</v>
      </c>
      <c r="W39" s="1237" t="s">
        <v>529</v>
      </c>
      <c r="X39" s="1237" t="s">
        <v>530</v>
      </c>
      <c r="Y39" s="1519" t="s">
        <v>438</v>
      </c>
      <c r="Z39" s="2121" t="s">
        <v>439</v>
      </c>
      <c r="AA39" s="2122"/>
      <c r="AB39" s="2131"/>
      <c r="AC39" s="1513" t="s">
        <v>528</v>
      </c>
      <c r="AD39" s="1237" t="s">
        <v>529</v>
      </c>
      <c r="AE39" s="1237" t="s">
        <v>530</v>
      </c>
      <c r="AF39" s="1519" t="s">
        <v>438</v>
      </c>
      <c r="AG39" s="2121" t="s">
        <v>439</v>
      </c>
      <c r="AH39" s="2122"/>
      <c r="AI39" s="2131"/>
      <c r="AJ39" s="2134"/>
      <c r="AK39" s="1971"/>
    </row>
    <row s="2610" customFormat="1" customHeight="1" ht="11.25" hidden="1">
      <c r="A40" s="1400"/>
      <c r="B40" s="1400"/>
      <c r="C40" s="1400"/>
      <c r="D40" s="1400"/>
      <c r="E40" s="1400"/>
      <c r="F40" s="1400"/>
      <c r="G40" s="1400"/>
      <c r="H40" s="1400"/>
      <c r="I40" s="1400"/>
      <c r="J40" s="1400"/>
      <c r="K40" s="1400"/>
      <c r="L40" s="1394"/>
      <c r="M40" s="1392"/>
      <c r="N40" s="1392"/>
      <c r="O40" s="1392"/>
      <c r="P40" s="1264"/>
      <c r="Q40" s="1265"/>
      <c r="R40" s="1280">
        <v>1</v>
      </c>
      <c r="S40" s="1307" t="s">
        <v>110</v>
      </c>
      <c r="T40" s="1281" t="s">
        <v>111</v>
      </c>
      <c r="U40" s="1263" t="str">
        <f>OFFSET(U40,0,-1)</f>
        <v>2</v>
      </c>
      <c r="V40" s="1512">
        <f>OFFSET(V40,0,-1)+1</f>
        <v>3</v>
      </c>
      <c r="W40" s="1512">
        <f>OFFSET(W40,0,-1)+1</f>
        <v>4</v>
      </c>
      <c r="X40" s="1512">
        <f>OFFSET(X40,0,-1)+1</f>
        <v>5</v>
      </c>
      <c r="Y40" s="1512">
        <f>OFFSET(Y40,0,-1)+1</f>
        <v>6</v>
      </c>
      <c r="Z40" s="2123">
        <f>OFFSET(Z40,0,-1)+1</f>
        <v>7</v>
      </c>
      <c r="AA40" s="2123"/>
      <c r="AB40" s="1512">
        <f>OFFSET(AB40,0,-2)+1</f>
        <v>8</v>
      </c>
      <c r="AC40" s="1512">
        <f>OFFSET(AC40,0,-1)+1</f>
        <v>9</v>
      </c>
      <c r="AD40" s="1512">
        <f>OFFSET(AD40,0,-1)+1</f>
        <v>10</v>
      </c>
      <c r="AE40" s="1512">
        <f>OFFSET(AE40,0,-1)+1</f>
        <v>11</v>
      </c>
      <c r="AF40" s="1512">
        <f>OFFSET(AF40,0,-1)+1</f>
        <v>12</v>
      </c>
      <c r="AG40" s="2123">
        <f>OFFSET(AG40,0,-1)+1</f>
        <v>13</v>
      </c>
      <c r="AH40" s="2123"/>
      <c r="AI40" s="1512">
        <f>OFFSET(AI40,0,-2)+1</f>
        <v>14</v>
      </c>
      <c r="AJ40" s="1263">
        <f>OFFSET(AJ40,0,-1)</f>
        <v>14</v>
      </c>
      <c r="AK40" s="1512">
        <f>OFFSET(AK40,0,-1)+1</f>
        <v>15</v>
      </c>
      <c r="AL40" s="517"/>
      <c r="AM40" s="517"/>
      <c r="AN40" s="517"/>
      <c r="AO40" s="517"/>
      <c r="AP40" s="517"/>
    </row>
    <row customHeight="1" ht="23.25">
      <c r="A41" s="1393" t="s">
        <v>244</v>
      </c>
      <c r="B41" s="1393"/>
      <c r="C41" s="1393"/>
      <c r="D41" s="1393"/>
      <c r="E41" s="2107">
        <v>1</v>
      </c>
      <c r="F41" s="1393"/>
      <c r="G41" s="1393"/>
      <c r="H41" s="1393"/>
      <c r="I41" s="1393"/>
      <c r="J41" s="1393"/>
      <c r="K41" s="1393"/>
      <c r="L41" s="1394"/>
      <c r="M41" s="1395"/>
      <c r="N41" s="1395"/>
      <c r="O41" s="1395"/>
      <c r="P41" s="357"/>
      <c r="Q41" s="356"/>
      <c r="R41" s="351"/>
      <c r="S41" s="1523">
        <f>INDEX(PT_DIFFERENTIATION_NUM_NTAR,MATCH(A41,PT_DIFFERENTIATION_NTAR_ID,0))</f>
        <v>0</v>
      </c>
      <c r="T41" s="286" t="s">
        <v>124</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244</v>
      </c>
      <c r="B42" s="1393" t="s">
        <v>245</v>
      </c>
      <c r="C42" s="1393"/>
      <c r="D42" s="1393"/>
      <c r="E42" s="2108"/>
      <c r="F42" s="2107">
        <v>1</v>
      </c>
      <c r="G42" s="1393"/>
      <c r="H42" s="1393"/>
      <c r="I42" s="1393"/>
      <c r="J42" s="1393"/>
      <c r="K42" s="1393"/>
      <c r="L42" s="1394"/>
      <c r="M42" s="1395"/>
      <c r="N42" s="1395"/>
      <c r="O42" s="1395"/>
      <c r="P42" s="1517"/>
      <c r="Q42" s="348"/>
      <c r="R42" s="349"/>
      <c r="S42" s="1523" t="str">
        <f>INDEX(PT_DIFFERENTIATION_NUM_TER,MATCH(B42,PT_DIFFERENTIATION_TER_ID,0))</f>
        <v>.</v>
      </c>
      <c r="T42" s="298" t="s">
        <v>392</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393</v>
      </c>
      <c r="AM42" s="506"/>
      <c r="AN42" s="506" t="str">
        <f>IF(T42="","",T42)</f>
        <v>Территория действия тарифа</v>
      </c>
      <c r="AO42" s="506"/>
      <c r="AP42" s="506"/>
    </row>
    <row customHeight="1" ht="23.25">
      <c r="A43" s="1393" t="s">
        <v>244</v>
      </c>
      <c r="B43" s="1393" t="s">
        <v>245</v>
      </c>
      <c r="C43" s="1393" t="s">
        <v>246</v>
      </c>
      <c r="D43" s="1393"/>
      <c r="E43" s="2108"/>
      <c r="F43" s="2108"/>
      <c r="G43" s="2107">
        <v>1</v>
      </c>
      <c r="H43" s="1393"/>
      <c r="I43" s="1393"/>
      <c r="J43" s="1393"/>
      <c r="K43" s="1393"/>
      <c r="L43" s="1394"/>
      <c r="M43" s="1395"/>
      <c r="N43" s="1395"/>
      <c r="O43" s="1395"/>
      <c r="P43" s="350"/>
      <c r="Q43" s="348"/>
      <c r="R43" s="349"/>
      <c r="S43" s="1523" t="str">
        <f>INDEX(PT_DIFFERENTIATION_NUM_CS,MATCH(C43,PT_DIFFERENTIATION_CS_ID,0))</f>
        <v>..</v>
      </c>
      <c r="T43" s="299" t="s">
        <v>524</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525</v>
      </c>
      <c r="AM43" s="506"/>
      <c r="AN43" s="506" t="str">
        <f>IF(T43="","",T43)</f>
        <v>Наименование централизованной системы горячего водоснабжения</v>
      </c>
      <c r="AO43" s="506"/>
      <c r="AP43" s="506"/>
    </row>
    <row customHeight="1" ht="23.25">
      <c r="A44" s="1393" t="s">
        <v>244</v>
      </c>
      <c r="B44" s="1393" t="s">
        <v>245</v>
      </c>
      <c r="C44" s="1393" t="s">
        <v>246</v>
      </c>
      <c r="D44" s="1393" t="s">
        <v>531</v>
      </c>
      <c r="E44" s="2108"/>
      <c r="F44" s="2108"/>
      <c r="G44" s="2108"/>
      <c r="H44" s="2108"/>
      <c r="I44" s="2109" t="str">
        <f>S43&amp;".1"</f>
        <v>...1</v>
      </c>
      <c r="J44" s="1393"/>
      <c r="K44" s="1393"/>
      <c r="L44" s="1394"/>
      <c r="P44" s="2111">
        <v>1</v>
      </c>
      <c r="Q44" s="1511"/>
      <c r="R44" s="352"/>
      <c r="S44" s="1523" t="str">
        <f>$I44</f>
        <v>...1</v>
      </c>
      <c r="T44" s="273" t="s">
        <v>479</v>
      </c>
      <c r="U44" s="288"/>
      <c r="V44" s="2194"/>
      <c r="W44" s="2195"/>
      <c r="X44" s="2195"/>
      <c r="Y44" s="2195"/>
      <c r="Z44" s="2195"/>
      <c r="AA44" s="2195"/>
      <c r="AB44" s="2196"/>
      <c r="AC44" s="2197"/>
      <c r="AD44" s="2198"/>
      <c r="AE44" s="2198"/>
      <c r="AF44" s="2198"/>
      <c r="AG44" s="2198"/>
      <c r="AH44" s="2198"/>
      <c r="AI44" s="2198"/>
      <c r="AJ44" s="2199"/>
      <c r="AK44" s="1286" t="s">
        <v>480</v>
      </c>
      <c r="AM44" s="506"/>
      <c r="AN44" s="506" t="str">
        <f>IF(T44="","",T44)</f>
        <v>Наименование признака дифференциации</v>
      </c>
      <c r="AO44" s="506"/>
      <c r="AP44" s="506"/>
    </row>
    <row customHeight="1" ht="23.25">
      <c r="A45" s="1393" t="s">
        <v>244</v>
      </c>
      <c r="B45" s="1393" t="s">
        <v>245</v>
      </c>
      <c r="C45" s="1393" t="s">
        <v>246</v>
      </c>
      <c r="D45" s="1393" t="s">
        <v>531</v>
      </c>
      <c r="E45" s="2108"/>
      <c r="F45" s="2108"/>
      <c r="G45" s="2108"/>
      <c r="H45" s="2108"/>
      <c r="I45" s="2110"/>
      <c r="J45" s="2109" t="str">
        <f>I44&amp;".1"</f>
        <v>...1.1</v>
      </c>
      <c r="K45" s="1393"/>
      <c r="L45" s="1394" t="s">
        <v>401</v>
      </c>
      <c r="P45" s="2111"/>
      <c r="Q45" s="2111">
        <v>1</v>
      </c>
      <c r="R45" s="353"/>
      <c r="S45" s="1523" t="str">
        <f>$J45</f>
        <v>...1.1</v>
      </c>
      <c r="T45" s="274" t="s">
        <v>402</v>
      </c>
      <c r="U45" s="288"/>
      <c r="V45" s="2095"/>
      <c r="W45" s="2096"/>
      <c r="X45" s="2096"/>
      <c r="Y45" s="2096"/>
      <c r="Z45" s="2096"/>
      <c r="AA45" s="2096"/>
      <c r="AB45" s="2097"/>
      <c r="AC45" s="2095"/>
      <c r="AD45" s="2096"/>
      <c r="AE45" s="2096"/>
      <c r="AF45" s="2096"/>
      <c r="AG45" s="2096"/>
      <c r="AH45" s="2096"/>
      <c r="AI45" s="2096"/>
      <c r="AJ45" s="2097"/>
      <c r="AK45" s="1337" t="s">
        <v>481</v>
      </c>
      <c r="AM45" s="506"/>
      <c r="AN45" s="506" t="str">
        <f>IF(T45="","",T45)</f>
        <v>Группа потребителей</v>
      </c>
      <c r="AO45" s="506"/>
      <c r="AP45" s="506"/>
    </row>
    <row customHeight="1" ht="23.25">
      <c r="A46" s="1393" t="s">
        <v>244</v>
      </c>
      <c r="B46" s="1393" t="s">
        <v>245</v>
      </c>
      <c r="C46" s="1393" t="s">
        <v>246</v>
      </c>
      <c r="D46" s="1393" t="s">
        <v>531</v>
      </c>
      <c r="E46" s="2108"/>
      <c r="F46" s="2108"/>
      <c r="G46" s="2108"/>
      <c r="H46" s="2108"/>
      <c r="I46" s="2110"/>
      <c r="J46" s="2110"/>
      <c r="K46" s="2109" t="str">
        <f>J45&amp;".1"</f>
        <v>...1.1.1</v>
      </c>
      <c r="L46" s="1394"/>
      <c r="P46" s="2111"/>
      <c r="Q46" s="2111"/>
      <c r="R46" s="353">
        <v>1</v>
      </c>
      <c r="S46" s="1523" t="str">
        <f>$K46</f>
        <v>...1.1.1</v>
      </c>
      <c r="T46" s="1467"/>
      <c r="U46" s="288"/>
      <c r="V46" s="1390"/>
      <c r="W46" s="1390"/>
      <c r="X46" s="1391"/>
      <c r="Y46" s="2105"/>
      <c r="Z46" s="2104" t="s">
        <v>62</v>
      </c>
      <c r="AA46" s="2105"/>
      <c r="AB46" s="2104" t="s">
        <v>62</v>
      </c>
      <c r="AC46" s="757"/>
      <c r="AD46" s="757"/>
      <c r="AE46" s="1285"/>
      <c r="AF46" s="2112"/>
      <c r="AG46" s="1981" t="s">
        <v>62</v>
      </c>
      <c r="AH46" s="2114"/>
      <c r="AI46" s="1981" t="s">
        <v>57</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244</v>
      </c>
      <c r="B47" s="1393" t="s">
        <v>245</v>
      </c>
      <c r="C47" s="1393" t="s">
        <v>246</v>
      </c>
      <c r="D47" s="1393" t="s">
        <v>531</v>
      </c>
      <c r="E47" s="2108"/>
      <c r="F47" s="2108"/>
      <c r="G47" s="2108"/>
      <c r="H47" s="2108"/>
      <c r="I47" s="2110"/>
      <c r="J47" s="2110"/>
      <c r="K47" s="2109"/>
      <c r="L47" s="1394"/>
      <c r="P47" s="2111"/>
      <c r="Q47" s="2111"/>
      <c r="R47" s="353"/>
      <c r="S47" s="1520"/>
      <c r="T47" s="288"/>
      <c r="U47" s="288"/>
      <c r="V47" s="1390"/>
      <c r="W47" s="1390"/>
      <c r="X47" s="324" t="str">
        <f>Y46&amp;"-"&amp;AA46</f>
        <v>-</v>
      </c>
      <c r="Y47" s="2104"/>
      <c r="Z47" s="2104"/>
      <c r="AA47" s="2104"/>
      <c r="AB47" s="2104"/>
      <c r="AC47" s="320"/>
      <c r="AD47" s="320"/>
      <c r="AE47" s="324" t="str">
        <f>AF46&amp;"-"&amp;AH46</f>
        <v>-</v>
      </c>
      <c r="AF47" s="2113"/>
      <c r="AG47" s="1981"/>
      <c r="AH47" s="2115"/>
      <c r="AI47" s="1981"/>
      <c r="AJ47" s="1469"/>
      <c r="AK47" s="2200"/>
      <c r="AM47" s="506"/>
      <c r="AN47" s="506" t="str">
        <f>IF(T47="","",T47)</f>
        <v/>
      </c>
      <c r="AO47" s="506"/>
      <c r="AP47" s="506"/>
    </row>
    <row customHeight="1" ht="21">
      <c r="A48" s="1393" t="s">
        <v>244</v>
      </c>
      <c r="B48" s="1393" t="s">
        <v>245</v>
      </c>
      <c r="C48" s="1393" t="s">
        <v>246</v>
      </c>
      <c r="D48" s="1393" t="s">
        <v>531</v>
      </c>
      <c r="E48" s="2108"/>
      <c r="F48" s="2108"/>
      <c r="G48" s="2108"/>
      <c r="H48" s="2108"/>
      <c r="I48" s="2110"/>
      <c r="J48" s="2109"/>
      <c r="K48" s="1393"/>
      <c r="L48" s="1394"/>
      <c r="P48" s="2111"/>
      <c r="Q48" s="2111"/>
      <c r="R48" s="352"/>
      <c r="S48" s="1308"/>
      <c r="T48" s="275" t="s">
        <v>482</v>
      </c>
      <c r="U48" s="367"/>
      <c r="V48" s="367"/>
      <c r="W48" s="367"/>
      <c r="X48" s="367"/>
      <c r="Y48" s="367"/>
      <c r="Z48" s="367"/>
      <c r="AA48" s="367"/>
      <c r="AB48" s="367"/>
      <c r="AC48" s="367"/>
      <c r="AD48" s="367"/>
      <c r="AE48" s="367"/>
      <c r="AF48" s="367"/>
      <c r="AG48" s="367"/>
      <c r="AH48" s="367"/>
      <c r="AI48" s="367"/>
      <c r="AJ48" s="367"/>
      <c r="AK48" s="1286" t="s">
        <v>483</v>
      </c>
      <c r="AM48" s="506"/>
      <c r="AN48" s="506" t="str">
        <f>IF(T48="","",T48)</f>
        <v>Добавить значение признака дифференциации</v>
      </c>
      <c r="AO48" s="506"/>
      <c r="AP48" s="506"/>
    </row>
    <row customHeight="1" ht="21">
      <c r="A49" s="1393" t="s">
        <v>244</v>
      </c>
      <c r="B49" s="1393" t="s">
        <v>245</v>
      </c>
      <c r="C49" s="1393" t="s">
        <v>246</v>
      </c>
      <c r="D49" s="1393" t="s">
        <v>531</v>
      </c>
      <c r="E49" s="2108"/>
      <c r="F49" s="2108"/>
      <c r="G49" s="2108"/>
      <c r="H49" s="2108"/>
      <c r="I49" s="2109"/>
      <c r="J49" s="1393"/>
      <c r="K49" s="1393"/>
      <c r="L49" s="1394"/>
      <c r="P49" s="2111"/>
      <c r="Q49" s="1511"/>
      <c r="R49" s="352"/>
      <c r="S49" s="1308"/>
      <c r="T49" s="364" t="s">
        <v>407</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244</v>
      </c>
      <c r="B50" s="1393" t="s">
        <v>245</v>
      </c>
      <c r="C50" s="1393" t="s">
        <v>246</v>
      </c>
      <c r="D50" s="1393" t="s">
        <v>531</v>
      </c>
      <c r="E50" s="2108"/>
      <c r="F50" s="2108"/>
      <c r="G50" s="2108"/>
      <c r="H50" s="2107"/>
      <c r="I50" s="1393"/>
      <c r="J50" s="1393"/>
      <c r="K50" s="1393"/>
      <c r="L50" s="1394"/>
      <c r="M50" s="1395"/>
      <c r="N50" s="1395"/>
      <c r="O50" s="543"/>
      <c r="P50" s="356"/>
      <c r="Q50" s="376"/>
      <c r="R50" s="351"/>
      <c r="S50" s="1308"/>
      <c r="T50" s="372" t="s">
        <v>484</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73" customFormat="1" customHeight="1" ht="0">
      <c r="A51" s="1373" t="s">
        <v>244</v>
      </c>
      <c r="B51" s="1373" t="s">
        <v>245</v>
      </c>
      <c r="C51" s="1344"/>
      <c r="D51" s="1344"/>
      <c r="E51" s="2108"/>
      <c r="F51" s="2107"/>
      <c r="G51" s="1344"/>
      <c r="H51" s="1344"/>
      <c r="I51" s="1344"/>
      <c r="J51" s="1344"/>
      <c r="K51" s="1344"/>
      <c r="L51" s="1524"/>
      <c r="M51" s="1351"/>
      <c r="N51" s="1351"/>
      <c r="P51" s="1346"/>
      <c r="Q51" s="1347"/>
      <c r="R51" s="1346"/>
      <c r="S51" s="1352"/>
      <c r="T51" s="1355" t="s">
        <v>182</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1" customFormat="1" customHeight="1" ht="0">
      <c r="A52" s="1373" t="s">
        <v>244</v>
      </c>
      <c r="B52" s="1373"/>
      <c r="C52" s="1373"/>
      <c r="D52" s="1373"/>
      <c r="E52" s="2107"/>
      <c r="F52" s="1373"/>
      <c r="G52" s="1373"/>
      <c r="H52" s="1373"/>
      <c r="I52" s="1373"/>
      <c r="J52" s="1373"/>
      <c r="K52" s="1373"/>
      <c r="L52" s="1376"/>
      <c r="M52" s="1351"/>
      <c r="N52" s="1351"/>
      <c r="O52" s="524"/>
      <c r="P52" s="385"/>
      <c r="Q52" s="1374"/>
      <c r="R52" s="385"/>
      <c r="S52" s="1352"/>
      <c r="T52" s="1355" t="s">
        <v>183</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73" customFormat="1" customHeight="1" ht="0">
      <c r="A53" s="1344"/>
      <c r="B53" s="1344"/>
      <c r="C53" s="1344"/>
      <c r="D53" s="1344"/>
      <c r="E53" s="1373"/>
      <c r="F53" s="1344"/>
      <c r="G53" s="1344"/>
      <c r="H53" s="1344"/>
      <c r="I53" s="1344"/>
      <c r="J53" s="1344"/>
      <c r="K53" s="1344"/>
      <c r="L53" s="1524"/>
      <c r="M53" s="1351"/>
      <c r="N53" s="1351"/>
      <c r="P53" s="1346"/>
      <c r="Q53" s="1347"/>
      <c r="R53" s="1346"/>
      <c r="S53" s="1352"/>
      <c r="T53" s="1355" t="s">
        <v>184</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717F7A8-027A-0905-B116-FD27F3F084F4}"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3292" width="11.57421875" hidden="1" customWidth="1"/>
    <col min="2" max="2" style="3292" width="11.00390625" hidden="1" customWidth="1"/>
    <col min="3" max="3" style="3292" width="10.57421875" hidden="1"/>
    <col min="4" max="4" style="3292" width="12.8515625" hidden="1" customWidth="1"/>
    <col min="5" max="5" style="3292" width="10.00390625" hidden="1" customWidth="1"/>
    <col min="6" max="6" style="3292" width="8.7109375" hidden="1" customWidth="1"/>
    <col min="7" max="7" style="3292" width="7.57421875" hidden="1" customWidth="1"/>
    <col min="8" max="8" style="3292" width="11.421875" hidden="1" customWidth="1"/>
    <col min="9" max="9" style="3292" width="12.00390625" hidden="1" customWidth="1"/>
    <col min="10" max="10" style="3292" width="9.8515625" hidden="1" customWidth="1"/>
    <col min="11" max="11" style="3292" width="11.421875" hidden="1" customWidth="1"/>
    <col min="12" max="12" style="3823" width="19.140625" hidden="1" customWidth="1"/>
    <col min="13" max="14" style="3294" width="12.28125" hidden="1" customWidth="1"/>
    <col min="15" max="15" style="3294" width="23.421875" hidden="1" customWidth="1"/>
    <col min="16" max="16" style="3294" width="3.7109375" hidden="1" customWidth="1"/>
    <col min="17" max="17" style="3296" width="3.7109375" hidden="1" customWidth="1"/>
    <col min="18" max="18" style="3371" width="3.7109375" customWidth="1"/>
    <col min="19" max="19" style="3372" width="12.7109375" customWidth="1"/>
    <col min="20" max="20" style="2939" width="32.00390625" customWidth="1"/>
    <col min="21" max="21" style="2939" width="0.140625" customWidth="1"/>
    <col min="22" max="25" style="2939" width="21.7109375" hidden="1" customWidth="1"/>
    <col min="26" max="26" style="2939" width="11.7109375" hidden="1" customWidth="1"/>
    <col min="27" max="27" style="2939" width="3.7109375" hidden="1" customWidth="1"/>
    <col min="28" max="28" style="2939" width="11.7109375" hidden="1" customWidth="1"/>
    <col min="29" max="29" style="2939" width="8.57421875" hidden="1" customWidth="1"/>
    <col min="30" max="32" style="2939" width="3.7109375" customWidth="1"/>
    <col min="33" max="33" style="2939" width="24.7109375" customWidth="1"/>
    <col min="34" max="36" style="2939" width="3.7109375" customWidth="1"/>
    <col min="37" max="37" style="2939" width="24.7109375" customWidth="1"/>
    <col min="38" max="40" style="2939" width="3.7109375" customWidth="1"/>
    <col min="41" max="41" style="2939" width="18.8515625" customWidth="1"/>
    <col min="42" max="44" style="2939" width="3.7109375" customWidth="1"/>
    <col min="45" max="45" style="2939" width="18.8515625" customWidth="1"/>
    <col min="46" max="49" style="2939" width="21.7109375" customWidth="1"/>
    <col min="50" max="50" style="2939" width="11.7109375" customWidth="1"/>
    <col min="51" max="51" style="2939" width="3.7109375" customWidth="1"/>
    <col min="52" max="52" style="2939" width="11.7109375" customWidth="1"/>
    <col min="53" max="53" style="2939" width="8.57421875" hidden="1" customWidth="1"/>
    <col min="54" max="54" style="2939" width="4.7109375" customWidth="1"/>
    <col min="55" max="55" style="2939" width="115.7109375" customWidth="1"/>
    <col min="56" max="57" style="2611" width="10.57421875"/>
    <col min="58" max="58" style="2611" width="11.140625" customWidth="1"/>
    <col min="59" max="60" style="2611" width="10.57421875"/>
  </cols>
  <sheetData>
    <row customHeight="1" ht="14.25" hidden="1">
      <c r="W1" s="323"/>
      <c r="Y1" s="323"/>
      <c r="Z1" s="323"/>
      <c r="AW1" s="323"/>
      <c r="AX1" s="323"/>
    </row>
    <row customHeight="1" ht="21" hidden="1">
      <c r="A2" s="1393"/>
      <c r="B2" s="1393"/>
      <c r="C2" s="1393"/>
      <c r="D2" s="1393"/>
      <c r="E2" s="2107">
        <v>1</v>
      </c>
      <c r="F2" s="1393"/>
      <c r="G2" s="1393"/>
      <c r="H2" s="1393"/>
      <c r="I2" s="1393"/>
      <c r="J2" s="1393"/>
      <c r="K2" s="1393"/>
      <c r="L2" s="1394"/>
      <c r="M2" s="1395"/>
      <c r="N2" s="1395"/>
      <c r="O2" s="1395"/>
      <c r="P2" s="1439"/>
      <c r="Q2" s="879"/>
      <c r="R2" s="351"/>
      <c r="S2" s="1523">
        <f>INDEX(PT_DIFFERENTIATION_NUM_NTAR,MATCH(A2,PT_DIFFERENTIATION_NTAR_ID,0))</f>
      </c>
      <c r="T2" s="286" t="s">
        <v>124</v>
      </c>
      <c r="U2" s="288"/>
      <c r="V2" s="2102"/>
      <c r="W2" s="2102"/>
      <c r="X2" s="2102"/>
      <c r="Y2" s="2102"/>
      <c r="Z2" s="2102"/>
      <c r="AA2" s="2102"/>
      <c r="AB2" s="2102"/>
      <c r="AC2" s="2103"/>
      <c r="AD2" s="2101">
        <f>INDEX(PT_DIFFERENTIATION_NTAR,MATCH(A2,PT_DIFFERENTIATION_NTAR_ID,0))</f>
      </c>
      <c r="AE2" s="2102"/>
      <c r="AF2" s="2102"/>
      <c r="AG2" s="2102"/>
      <c r="AH2" s="2102"/>
      <c r="AI2" s="2102"/>
      <c r="AJ2" s="2102"/>
      <c r="AK2" s="2102"/>
      <c r="AL2" s="2102"/>
      <c r="AM2" s="2102"/>
      <c r="AN2" s="2102"/>
      <c r="AO2" s="2102"/>
      <c r="AP2" s="2102"/>
      <c r="AQ2" s="2102"/>
      <c r="AR2" s="2102"/>
      <c r="AS2" s="2102"/>
      <c r="AT2" s="2102"/>
      <c r="AU2" s="2102"/>
      <c r="AV2" s="2102"/>
      <c r="AW2" s="2102"/>
      <c r="AX2" s="2102"/>
      <c r="AY2" s="2102"/>
      <c r="AZ2" s="2102"/>
      <c r="BA2" s="2102"/>
      <c r="BB2" s="2103"/>
      <c r="BC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6"/>
      <c r="BF2" s="506" t="str">
        <f>IF(T2="","",T2)</f>
        <v>Наименование тарифа</v>
      </c>
      <c r="BG2" s="506"/>
      <c r="BH2" s="506"/>
    </row>
    <row customHeight="1" ht="21" hidden="1">
      <c r="A3" s="1393"/>
      <c r="B3" s="1393"/>
      <c r="C3" s="1393"/>
      <c r="D3" s="1393"/>
      <c r="E3" s="2108"/>
      <c r="F3" s="2107">
        <v>1</v>
      </c>
      <c r="G3" s="1393"/>
      <c r="H3" s="1393"/>
      <c r="I3" s="1393"/>
      <c r="J3" s="1393"/>
      <c r="K3" s="1393"/>
      <c r="L3" s="1394"/>
      <c r="M3" s="1395"/>
      <c r="N3" s="1395"/>
      <c r="O3" s="1395"/>
      <c r="P3" s="1440"/>
      <c r="Q3" s="1441"/>
      <c r="R3" s="349"/>
      <c r="S3" s="1523">
        <f>INDEX(PT_DIFFERENTIATION_NUM_TER,MATCH(B3,PT_DIFFERENTIATION_TER_ID,0))</f>
      </c>
      <c r="T3" s="298" t="s">
        <v>392</v>
      </c>
      <c r="U3" s="288"/>
      <c r="V3" s="2102"/>
      <c r="W3" s="2102"/>
      <c r="X3" s="2102"/>
      <c r="Y3" s="2102"/>
      <c r="Z3" s="2102"/>
      <c r="AA3" s="2102"/>
      <c r="AB3" s="2102"/>
      <c r="AC3" s="2103"/>
      <c r="AD3" s="2101">
        <f>INDEX(PT_DIFFERENTIATION_TER,MATCH(B3,PT_DIFFERENTIATION_TER_ID,0))</f>
      </c>
      <c r="AE3" s="2102"/>
      <c r="AF3" s="2102"/>
      <c r="AG3" s="2102"/>
      <c r="AH3" s="2102"/>
      <c r="AI3" s="2102"/>
      <c r="AJ3" s="2102"/>
      <c r="AK3" s="2102"/>
      <c r="AL3" s="2102"/>
      <c r="AM3" s="2102"/>
      <c r="AN3" s="2102"/>
      <c r="AO3" s="2102"/>
      <c r="AP3" s="2102"/>
      <c r="AQ3" s="2102"/>
      <c r="AR3" s="2102"/>
      <c r="AS3" s="2102"/>
      <c r="AT3" s="2102"/>
      <c r="AU3" s="2102"/>
      <c r="AV3" s="2102"/>
      <c r="AW3" s="2102"/>
      <c r="AX3" s="2102"/>
      <c r="AY3" s="2102"/>
      <c r="AZ3" s="2102"/>
      <c r="BA3" s="2102"/>
      <c r="BB3" s="2103"/>
      <c r="BC3" s="1286" t="s">
        <v>393</v>
      </c>
      <c r="BE3" s="506"/>
      <c r="BF3" s="506" t="str">
        <f>IF(T3="","",T3)</f>
        <v>Территория действия тарифа</v>
      </c>
      <c r="BG3" s="506"/>
      <c r="BH3" s="506"/>
    </row>
    <row customHeight="1" ht="33.75" hidden="1">
      <c r="A4" s="1393"/>
      <c r="B4" s="1393"/>
      <c r="C4" s="1393"/>
      <c r="D4" s="1393"/>
      <c r="E4" s="2108"/>
      <c r="F4" s="2108"/>
      <c r="G4" s="2107">
        <v>1</v>
      </c>
      <c r="H4" s="1393"/>
      <c r="I4" s="1393"/>
      <c r="J4" s="1393"/>
      <c r="K4" s="1393"/>
      <c r="L4" s="1394"/>
      <c r="M4" s="1395"/>
      <c r="N4" s="1395"/>
      <c r="O4" s="1395"/>
      <c r="P4" s="1442"/>
      <c r="Q4" s="1441"/>
      <c r="R4" s="349"/>
      <c r="S4" s="1523">
        <f>INDEX(PT_DIFFERENTIATION_NUM_CS,MATCH(C4,PT_DIFFERENTIATION_CS_ID,0))</f>
      </c>
      <c r="T4" s="299" t="s">
        <v>524</v>
      </c>
      <c r="U4" s="288"/>
      <c r="V4" s="2102"/>
      <c r="W4" s="2102"/>
      <c r="X4" s="2102"/>
      <c r="Y4" s="2102"/>
      <c r="Z4" s="2102"/>
      <c r="AA4" s="2102"/>
      <c r="AB4" s="2102"/>
      <c r="AC4" s="2103"/>
      <c r="AD4" s="2101">
        <f>INDEX(PT_DIFFERENTIATION_CS,MATCH(C4,PT_DIFFERENTIATION_CS_ID,0))</f>
      </c>
      <c r="AE4" s="2102"/>
      <c r="AF4" s="2102"/>
      <c r="AG4" s="2102"/>
      <c r="AH4" s="2102"/>
      <c r="AI4" s="2102"/>
      <c r="AJ4" s="2102"/>
      <c r="AK4" s="2102"/>
      <c r="AL4" s="2102"/>
      <c r="AM4" s="2102"/>
      <c r="AN4" s="2102"/>
      <c r="AO4" s="2102"/>
      <c r="AP4" s="2102"/>
      <c r="AQ4" s="2102"/>
      <c r="AR4" s="2102"/>
      <c r="AS4" s="2102"/>
      <c r="AT4" s="2102"/>
      <c r="AU4" s="2102"/>
      <c r="AV4" s="2102"/>
      <c r="AW4" s="2102"/>
      <c r="AX4" s="2102"/>
      <c r="AY4" s="2102"/>
      <c r="AZ4" s="2102"/>
      <c r="BA4" s="2102"/>
      <c r="BB4" s="2103"/>
      <c r="BC4" s="1286" t="s">
        <v>525</v>
      </c>
      <c r="BE4" s="506"/>
      <c r="BF4" s="506" t="str">
        <f>IF(T4="","",T4)</f>
        <v>Наименование централизованной системы горячего водоснабжения</v>
      </c>
      <c r="BG4" s="506"/>
      <c r="BH4" s="506"/>
    </row>
    <row s="2611" customFormat="1" customHeight="1" ht="14.25" hidden="1">
      <c r="A5" s="1373"/>
      <c r="B5" s="1373"/>
      <c r="C5" s="1373"/>
      <c r="D5" s="1373"/>
      <c r="E5" s="2108"/>
      <c r="F5" s="2108"/>
      <c r="G5" s="2108"/>
      <c r="H5" s="2107">
        <v>1</v>
      </c>
      <c r="I5" s="1373"/>
      <c r="J5" s="1373"/>
      <c r="K5" s="1373"/>
      <c r="L5" s="1376"/>
      <c r="M5" s="1345"/>
      <c r="N5" s="1345"/>
      <c r="O5" s="1345"/>
      <c r="P5" s="1527"/>
      <c r="Q5" s="1528"/>
      <c r="R5" s="353"/>
      <c r="S5" s="1049"/>
      <c r="T5" s="1529"/>
      <c r="U5" s="1414"/>
      <c r="V5" s="2148"/>
      <c r="W5" s="2148"/>
      <c r="X5" s="2148"/>
      <c r="Y5" s="2148"/>
      <c r="Z5" s="2148"/>
      <c r="AA5" s="2148"/>
      <c r="AB5" s="2148"/>
      <c r="AC5" s="2149"/>
      <c r="AD5" s="2147"/>
      <c r="AE5" s="2148"/>
      <c r="AF5" s="2148"/>
      <c r="AG5" s="2148"/>
      <c r="AH5" s="2148"/>
      <c r="AI5" s="2148"/>
      <c r="AJ5" s="2148"/>
      <c r="AK5" s="2148"/>
      <c r="AL5" s="2148"/>
      <c r="AM5" s="2148"/>
      <c r="AN5" s="2148"/>
      <c r="AO5" s="2148"/>
      <c r="AP5" s="2148"/>
      <c r="AQ5" s="2148"/>
      <c r="AR5" s="2148"/>
      <c r="AS5" s="2148"/>
      <c r="AT5" s="2148"/>
      <c r="AU5" s="2148"/>
      <c r="AV5" s="2148"/>
      <c r="AW5" s="2148"/>
      <c r="AX5" s="2148"/>
      <c r="AY5" s="2148"/>
      <c r="AZ5" s="2148"/>
      <c r="BA5" s="2148"/>
      <c r="BB5" s="2149"/>
      <c r="BC5" s="1415" t="s">
        <v>397</v>
      </c>
      <c r="BE5" s="506"/>
      <c r="BF5" s="506" t="str">
        <f>IF(T5="","",T5)</f>
        <v/>
      </c>
      <c r="BG5" s="506"/>
      <c r="BH5" s="506"/>
    </row>
    <row s="2611" customFormat="1" customHeight="1" ht="14.25" hidden="1">
      <c r="A6" s="1373"/>
      <c r="B6" s="1373"/>
      <c r="C6" s="1373"/>
      <c r="D6" s="1373"/>
      <c r="E6" s="2108"/>
      <c r="F6" s="2108"/>
      <c r="G6" s="2108"/>
      <c r="H6" s="2108"/>
      <c r="I6" s="2109" t="str">
        <f>S5&amp;".1"</f>
        <v>.1</v>
      </c>
      <c r="J6" s="1373"/>
      <c r="K6" s="1373"/>
      <c r="L6" s="1376" t="s">
        <v>398</v>
      </c>
      <c r="M6" s="516"/>
      <c r="N6" s="516"/>
      <c r="O6" s="516"/>
      <c r="P6" s="2111">
        <v>1</v>
      </c>
      <c r="Q6" s="1511"/>
      <c r="R6" s="352"/>
      <c r="S6" s="1049"/>
      <c r="T6" s="1413"/>
      <c r="U6" s="1414"/>
      <c r="V6" s="2148"/>
      <c r="W6" s="2148"/>
      <c r="X6" s="2148"/>
      <c r="Y6" s="2148"/>
      <c r="Z6" s="2148"/>
      <c r="AA6" s="2148"/>
      <c r="AB6" s="2148"/>
      <c r="AC6" s="2149"/>
      <c r="AD6" s="2147"/>
      <c r="AE6" s="2148"/>
      <c r="AF6" s="2148"/>
      <c r="AG6" s="2148"/>
      <c r="AH6" s="2148"/>
      <c r="AI6" s="2148"/>
      <c r="AJ6" s="2148"/>
      <c r="AK6" s="2148"/>
      <c r="AL6" s="2148"/>
      <c r="AM6" s="2148"/>
      <c r="AN6" s="2148"/>
      <c r="AO6" s="2148"/>
      <c r="AP6" s="2148"/>
      <c r="AQ6" s="2148"/>
      <c r="AR6" s="2148"/>
      <c r="AS6" s="2148"/>
      <c r="AT6" s="2148"/>
      <c r="AU6" s="2148"/>
      <c r="AV6" s="2148"/>
      <c r="AW6" s="2148"/>
      <c r="AX6" s="2148"/>
      <c r="AY6" s="2148"/>
      <c r="AZ6" s="2148"/>
      <c r="BA6" s="2148"/>
      <c r="BB6" s="2149"/>
      <c r="BC6" s="1415"/>
      <c r="BE6" s="506"/>
      <c r="BF6" s="506" t="str">
        <f>IF(T6="","",T6)</f>
        <v/>
      </c>
      <c r="BG6" s="506"/>
      <c r="BH6" s="506"/>
    </row>
    <row s="2611" customFormat="1" customHeight="1" ht="14.25" hidden="1">
      <c r="A7" s="1373"/>
      <c r="B7" s="1373"/>
      <c r="C7" s="1373"/>
      <c r="D7" s="1373"/>
      <c r="E7" s="2108"/>
      <c r="F7" s="2108"/>
      <c r="G7" s="2108"/>
      <c r="H7" s="2108"/>
      <c r="I7" s="2110"/>
      <c r="J7" s="2109" t="str">
        <f>S5&amp;".1"</f>
        <v>.1</v>
      </c>
      <c r="K7" s="1373"/>
      <c r="L7" s="1376"/>
      <c r="M7" s="516"/>
      <c r="N7" s="516"/>
      <c r="O7" s="516"/>
      <c r="P7" s="2111"/>
      <c r="Q7" s="2111">
        <v>1</v>
      </c>
      <c r="R7" s="353"/>
      <c r="S7" s="1049"/>
      <c r="T7" s="1429"/>
      <c r="U7" s="1414"/>
      <c r="V7" s="2148"/>
      <c r="W7" s="2148"/>
      <c r="X7" s="2148"/>
      <c r="Y7" s="2148"/>
      <c r="Z7" s="2148"/>
      <c r="AA7" s="2148"/>
      <c r="AB7" s="2148"/>
      <c r="AC7" s="2149"/>
      <c r="AD7" s="2147"/>
      <c r="AE7" s="2148"/>
      <c r="AF7" s="2148"/>
      <c r="AG7" s="2148"/>
      <c r="AH7" s="2148"/>
      <c r="AI7" s="2148"/>
      <c r="AJ7" s="2148"/>
      <c r="AK7" s="2148"/>
      <c r="AL7" s="2148"/>
      <c r="AM7" s="2148"/>
      <c r="AN7" s="2148"/>
      <c r="AO7" s="2148"/>
      <c r="AP7" s="2148"/>
      <c r="AQ7" s="2148"/>
      <c r="AR7" s="2148"/>
      <c r="AS7" s="2148"/>
      <c r="AT7" s="2148"/>
      <c r="AU7" s="2148"/>
      <c r="AV7" s="2148"/>
      <c r="AW7" s="2148"/>
      <c r="AX7" s="2148"/>
      <c r="AY7" s="2148"/>
      <c r="AZ7" s="2148"/>
      <c r="BA7" s="2148"/>
      <c r="BB7" s="2149"/>
      <c r="BC7" s="1415"/>
      <c r="BE7" s="506"/>
      <c r="BF7" s="506" t="str">
        <f>IF(T7="","",T7)</f>
        <v/>
      </c>
      <c r="BG7" s="506"/>
      <c r="BH7" s="506"/>
    </row>
    <row customHeight="1" ht="11.25" hidden="1">
      <c r="A8" s="1393"/>
      <c r="B8" s="1393"/>
      <c r="C8" s="1393"/>
      <c r="D8" s="1393"/>
      <c r="E8" s="2108"/>
      <c r="F8" s="2108"/>
      <c r="G8" s="2108"/>
      <c r="H8" s="2108"/>
      <c r="I8" s="2110"/>
      <c r="J8" s="2110"/>
      <c r="K8" s="2109">
        <f>S4&amp;".1"</f>
      </c>
      <c r="L8" s="1394"/>
      <c r="P8" s="2111"/>
      <c r="Q8" s="2111"/>
      <c r="R8" s="2187">
        <v>1</v>
      </c>
      <c r="S8" s="2184">
        <f>$K8</f>
      </c>
      <c r="T8" s="2203"/>
      <c r="U8" s="288"/>
      <c r="V8" s="757"/>
      <c r="W8" s="1285"/>
      <c r="X8" s="757"/>
      <c r="Y8" s="1285"/>
      <c r="Z8" s="1774"/>
      <c r="AA8" s="1499" t="s">
        <v>62</v>
      </c>
      <c r="AB8" s="1774"/>
      <c r="AC8" s="1499" t="s">
        <v>62</v>
      </c>
      <c r="AD8" s="2044" t="s">
        <v>62</v>
      </c>
      <c r="AE8" s="2180"/>
      <c r="AF8" s="2057">
        <v>1</v>
      </c>
      <c r="AG8" s="2202"/>
      <c r="AH8" s="1981" t="s">
        <v>62</v>
      </c>
      <c r="AI8" s="2180"/>
      <c r="AJ8" s="2057">
        <v>1</v>
      </c>
      <c r="AK8" s="2201" t="s">
        <v>24</v>
      </c>
      <c r="AL8" s="1981" t="s">
        <v>62</v>
      </c>
      <c r="AM8" s="2029"/>
      <c r="AN8" s="2057">
        <v>1</v>
      </c>
      <c r="AO8" s="2206"/>
      <c r="AP8" s="2207" t="s">
        <v>62</v>
      </c>
      <c r="AQ8" s="301"/>
      <c r="AR8" s="1516">
        <v>1</v>
      </c>
      <c r="AS8" s="1522" t="s">
        <v>24</v>
      </c>
      <c r="AT8" s="757"/>
      <c r="AU8" s="1285"/>
      <c r="AV8" s="757"/>
      <c r="AW8" s="1285"/>
      <c r="AX8" s="1774"/>
      <c r="AY8" s="1499" t="s">
        <v>62</v>
      </c>
      <c r="AZ8" s="1774"/>
      <c r="BA8" s="1499" t="s">
        <v>62</v>
      </c>
      <c r="BB8" s="1378"/>
      <c r="BC8" s="2137" t="s">
        <v>495</v>
      </c>
      <c r="BE8" s="506"/>
      <c r="BF8" s="506" t="str">
        <f>IF(T8="","",T8)</f>
        <v/>
      </c>
      <c r="BG8" s="506"/>
      <c r="BH8" s="506"/>
    </row>
    <row customHeight="1" ht="11.25" hidden="1">
      <c r="A9" s="1393"/>
      <c r="B9" s="1393"/>
      <c r="C9" s="1393"/>
      <c r="D9" s="1393"/>
      <c r="E9" s="2108"/>
      <c r="F9" s="2108"/>
      <c r="G9" s="2108"/>
      <c r="H9" s="2108"/>
      <c r="I9" s="2110"/>
      <c r="J9" s="2110"/>
      <c r="K9" s="2109"/>
      <c r="L9" s="1394"/>
      <c r="P9" s="2111"/>
      <c r="Q9" s="2111"/>
      <c r="R9" s="2187"/>
      <c r="S9" s="2185"/>
      <c r="T9" s="2204"/>
      <c r="U9" s="288"/>
      <c r="V9" s="1423"/>
      <c r="W9" s="1526"/>
      <c r="X9" s="1423"/>
      <c r="Y9" s="1526"/>
      <c r="Z9" s="1423"/>
      <c r="AA9" s="1423"/>
      <c r="AB9" s="1423"/>
      <c r="AC9" s="1423"/>
      <c r="AD9" s="2045"/>
      <c r="AE9" s="2180"/>
      <c r="AF9" s="2057"/>
      <c r="AG9" s="2202"/>
      <c r="AH9" s="1981"/>
      <c r="AI9" s="2180"/>
      <c r="AJ9" s="2057"/>
      <c r="AK9" s="2201"/>
      <c r="AL9" s="1981"/>
      <c r="AM9" s="2037"/>
      <c r="AN9" s="2057"/>
      <c r="AO9" s="2206"/>
      <c r="AP9" s="2208"/>
      <c r="AQ9" s="308"/>
      <c r="AR9" s="422"/>
      <c r="AS9" s="422" t="s">
        <v>496</v>
      </c>
      <c r="AT9" s="1423"/>
      <c r="AU9" s="1526"/>
      <c r="AV9" s="1423"/>
      <c r="AW9" s="1526"/>
      <c r="AX9" s="1423"/>
      <c r="AY9" s="1423"/>
      <c r="AZ9" s="1423"/>
      <c r="BA9" s="1423"/>
      <c r="BB9" s="1427"/>
      <c r="BC9" s="2138"/>
      <c r="BE9" s="506"/>
      <c r="BF9" s="506"/>
      <c r="BG9" s="506"/>
      <c r="BH9" s="506"/>
    </row>
    <row customHeight="1" ht="11.25" hidden="1">
      <c r="A10" s="1393"/>
      <c r="B10" s="1393"/>
      <c r="C10" s="1393"/>
      <c r="D10" s="1393"/>
      <c r="E10" s="2108"/>
      <c r="F10" s="2108"/>
      <c r="G10" s="2108"/>
      <c r="H10" s="2108"/>
      <c r="I10" s="2110"/>
      <c r="J10" s="2110"/>
      <c r="K10" s="2109"/>
      <c r="L10" s="1394"/>
      <c r="P10" s="2111"/>
      <c r="Q10" s="2111"/>
      <c r="R10" s="2187"/>
      <c r="S10" s="2185"/>
      <c r="T10" s="2204"/>
      <c r="U10" s="288"/>
      <c r="V10" s="1423"/>
      <c r="W10" s="1526"/>
      <c r="X10" s="1423"/>
      <c r="Y10" s="1526"/>
      <c r="Z10" s="1423"/>
      <c r="AA10" s="1423"/>
      <c r="AB10" s="1423"/>
      <c r="AC10" s="1423"/>
      <c r="AD10" s="2045"/>
      <c r="AE10" s="2180"/>
      <c r="AF10" s="2057"/>
      <c r="AG10" s="2202"/>
      <c r="AH10" s="1981"/>
      <c r="AI10" s="2180"/>
      <c r="AJ10" s="2057"/>
      <c r="AK10" s="2201"/>
      <c r="AL10" s="1981"/>
      <c r="AM10" s="308"/>
      <c r="AN10" s="1530"/>
      <c r="AO10" s="1530" t="s">
        <v>497</v>
      </c>
      <c r="AP10" s="422"/>
      <c r="AQ10" s="422"/>
      <c r="AR10" s="422"/>
      <c r="AS10" s="1423"/>
      <c r="AT10" s="1423"/>
      <c r="AU10" s="1526"/>
      <c r="AV10" s="1423"/>
      <c r="AW10" s="1526"/>
      <c r="AX10" s="1423"/>
      <c r="AY10" s="1423"/>
      <c r="AZ10" s="1423"/>
      <c r="BA10" s="1423"/>
      <c r="BB10" s="1427"/>
      <c r="BC10" s="2138"/>
      <c r="BE10" s="506"/>
      <c r="BF10" s="506"/>
      <c r="BG10" s="506"/>
      <c r="BH10" s="506"/>
    </row>
    <row customHeight="1" ht="11.25" hidden="1">
      <c r="A11" s="1393"/>
      <c r="B11" s="1393"/>
      <c r="C11" s="1393"/>
      <c r="D11" s="1393"/>
      <c r="E11" s="2108"/>
      <c r="F11" s="2108"/>
      <c r="G11" s="2108"/>
      <c r="H11" s="2108"/>
      <c r="I11" s="2110"/>
      <c r="J11" s="2110"/>
      <c r="K11" s="2109"/>
      <c r="L11" s="1394"/>
      <c r="P11" s="2111"/>
      <c r="Q11" s="2111"/>
      <c r="R11" s="2187"/>
      <c r="S11" s="2185"/>
      <c r="T11" s="2204"/>
      <c r="U11" s="288"/>
      <c r="V11" s="1423"/>
      <c r="W11" s="1526"/>
      <c r="X11" s="1423"/>
      <c r="Y11" s="1526"/>
      <c r="Z11" s="1423"/>
      <c r="AA11" s="1423"/>
      <c r="AB11" s="1423"/>
      <c r="AC11" s="1423"/>
      <c r="AD11" s="2045"/>
      <c r="AE11" s="2180"/>
      <c r="AF11" s="2057"/>
      <c r="AG11" s="2202"/>
      <c r="AH11" s="1981"/>
      <c r="AI11" s="282"/>
      <c r="AJ11" s="421"/>
      <c r="AK11" s="303" t="s">
        <v>498</v>
      </c>
      <c r="AL11" s="1423"/>
      <c r="AM11" s="1423"/>
      <c r="AN11" s="1423"/>
      <c r="AO11" s="1423"/>
      <c r="AP11" s="1423"/>
      <c r="AQ11" s="1423"/>
      <c r="AR11" s="1423"/>
      <c r="AS11" s="1423"/>
      <c r="AT11" s="1423"/>
      <c r="AU11" s="1526"/>
      <c r="AV11" s="1423"/>
      <c r="AW11" s="1526"/>
      <c r="AX11" s="1423"/>
      <c r="AY11" s="1423"/>
      <c r="AZ11" s="1423"/>
      <c r="BA11" s="1423"/>
      <c r="BB11" s="1427"/>
      <c r="BC11" s="2138"/>
      <c r="BE11" s="506"/>
      <c r="BF11" s="506"/>
      <c r="BG11" s="506"/>
      <c r="BH11" s="506"/>
    </row>
    <row customHeight="1" ht="11.25" hidden="1">
      <c r="A12" s="1393"/>
      <c r="B12" s="1393"/>
      <c r="C12" s="1393"/>
      <c r="D12" s="1393"/>
      <c r="E12" s="2108"/>
      <c r="F12" s="2108"/>
      <c r="G12" s="2108"/>
      <c r="H12" s="2108"/>
      <c r="I12" s="2110"/>
      <c r="J12" s="2110"/>
      <c r="K12" s="2109"/>
      <c r="L12" s="1394"/>
      <c r="P12" s="2111"/>
      <c r="Q12" s="2111"/>
      <c r="R12" s="2187"/>
      <c r="S12" s="2186"/>
      <c r="T12" s="2205"/>
      <c r="U12" s="288"/>
      <c r="V12" s="1423"/>
      <c r="W12" s="1424" t="str">
        <f>Z8&amp;"-"&amp;AB8</f>
        <v>-</v>
      </c>
      <c r="X12" s="1423"/>
      <c r="Y12" s="1424" t="str">
        <f>AB8&amp;"-"&amp;AD8</f>
        <v>-да</v>
      </c>
      <c r="Z12" s="1423"/>
      <c r="AA12" s="1423"/>
      <c r="AB12" s="1423"/>
      <c r="AC12" s="1423"/>
      <c r="AD12" s="1986"/>
      <c r="AE12" s="302"/>
      <c r="AF12" s="304"/>
      <c r="AG12" s="422" t="s">
        <v>499</v>
      </c>
      <c r="AH12" s="1423"/>
      <c r="AI12" s="1423"/>
      <c r="AJ12" s="1423"/>
      <c r="AK12" s="1423"/>
      <c r="AL12" s="1423"/>
      <c r="AM12" s="1423"/>
      <c r="AN12" s="1423"/>
      <c r="AO12" s="1423"/>
      <c r="AP12" s="1423"/>
      <c r="AQ12" s="1423"/>
      <c r="AR12" s="1423"/>
      <c r="AS12" s="1423"/>
      <c r="AT12" s="1423"/>
      <c r="AU12" s="1424" t="str">
        <f>AX8&amp;"-"&amp;AZ8</f>
        <v>-</v>
      </c>
      <c r="AV12" s="1423"/>
      <c r="AW12" s="1424" t="str">
        <f>AZ8&amp;"-"&amp;BB8</f>
        <v>-</v>
      </c>
      <c r="AX12" s="1423"/>
      <c r="AY12" s="1423"/>
      <c r="AZ12" s="1423"/>
      <c r="BA12" s="1423"/>
      <c r="BB12" s="1426" t="str">
        <f>BE8&amp;"-"&amp;BG8</f>
        <v>-</v>
      </c>
      <c r="BC12" s="2138"/>
      <c r="BE12" s="506"/>
      <c r="BF12" s="506" t="str">
        <f>IF(T12="","",T12)</f>
        <v/>
      </c>
      <c r="BG12" s="506"/>
      <c r="BH12" s="506"/>
    </row>
    <row customHeight="1" ht="11.25" hidden="1">
      <c r="A13" s="1393"/>
      <c r="B13" s="1393"/>
      <c r="C13" s="1393"/>
      <c r="D13" s="1393"/>
      <c r="E13" s="2108"/>
      <c r="F13" s="2108"/>
      <c r="G13" s="2108"/>
      <c r="H13" s="2108"/>
      <c r="I13" s="2110"/>
      <c r="J13" s="2109"/>
      <c r="K13" s="1393"/>
      <c r="L13" s="1394"/>
      <c r="P13" s="2111"/>
      <c r="Q13" s="2111"/>
      <c r="R13" s="352"/>
      <c r="S13" s="1308"/>
      <c r="T13" s="275" t="s">
        <v>463</v>
      </c>
      <c r="U13" s="367"/>
      <c r="V13" s="367"/>
      <c r="W13" s="367"/>
      <c r="X13" s="367"/>
      <c r="Y13" s="367"/>
      <c r="Z13" s="367"/>
      <c r="AA13" s="367"/>
      <c r="AB13" s="367"/>
      <c r="AC13" s="367"/>
      <c r="AD13" s="153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39"/>
      <c r="BE13" s="506"/>
      <c r="BF13" s="506" t="str">
        <f>IF(T13="","",T13)</f>
        <v>Добавить строку</v>
      </c>
      <c r="BG13" s="506"/>
      <c r="BH13" s="506"/>
    </row>
    <row s="2611" customFormat="1" customHeight="1" ht="14.25" hidden="1">
      <c r="A14" s="1373"/>
      <c r="B14" s="1373"/>
      <c r="C14" s="1373"/>
      <c r="D14" s="1373"/>
      <c r="E14" s="2108"/>
      <c r="F14" s="2108"/>
      <c r="G14" s="2108"/>
      <c r="H14" s="2108"/>
      <c r="I14" s="2109"/>
      <c r="J14" s="1373"/>
      <c r="K14" s="1373"/>
      <c r="L14" s="1376"/>
      <c r="M14" s="516"/>
      <c r="N14" s="516"/>
      <c r="O14" s="516"/>
      <c r="P14" s="2111"/>
      <c r="Q14" s="1511"/>
      <c r="R14" s="352"/>
      <c r="S14" s="1416"/>
      <c r="T14" s="1417"/>
      <c r="U14" s="1418"/>
      <c r="V14" s="1418"/>
      <c r="W14" s="1418"/>
      <c r="X14" s="1418"/>
      <c r="Y14" s="1418"/>
      <c r="Z14" s="1418"/>
      <c r="AA14" s="1418"/>
      <c r="AB14" s="1418"/>
      <c r="AC14" s="1418"/>
      <c r="AD14" s="1418"/>
      <c r="AE14" s="1418"/>
      <c r="AF14" s="1418"/>
      <c r="AG14" s="1418"/>
      <c r="AH14" s="1418"/>
      <c r="AI14" s="1418"/>
      <c r="AJ14" s="1418"/>
      <c r="AK14" s="1418"/>
      <c r="AL14" s="1418"/>
      <c r="AM14" s="1418"/>
      <c r="AN14" s="1418"/>
      <c r="AO14" s="1418"/>
      <c r="AP14" s="1418"/>
      <c r="AQ14" s="1418"/>
      <c r="AR14" s="1418"/>
      <c r="AS14" s="1418"/>
      <c r="AT14" s="1418"/>
      <c r="AU14" s="1418"/>
      <c r="AV14" s="1418"/>
      <c r="AW14" s="1418"/>
      <c r="AX14" s="1418"/>
      <c r="AY14" s="1418"/>
      <c r="AZ14" s="1418"/>
      <c r="BA14" s="1418"/>
      <c r="BB14" s="1418"/>
      <c r="BC14" s="1419"/>
      <c r="BE14" s="506"/>
      <c r="BF14" s="506" t="str">
        <f>IF(T14="","",T14)</f>
        <v/>
      </c>
      <c r="BG14" s="506"/>
      <c r="BH14" s="506"/>
    </row>
    <row s="2611" customFormat="1" customHeight="1" ht="14.25" hidden="1">
      <c r="A15" s="1373"/>
      <c r="B15" s="1373"/>
      <c r="C15" s="1373"/>
      <c r="D15" s="1373"/>
      <c r="E15" s="2108"/>
      <c r="F15" s="2108"/>
      <c r="G15" s="2108"/>
      <c r="H15" s="2107"/>
      <c r="I15" s="1373"/>
      <c r="J15" s="1373"/>
      <c r="K15" s="1373"/>
      <c r="L15" s="1376"/>
      <c r="M15" s="1345"/>
      <c r="N15" s="1345"/>
      <c r="O15" s="524"/>
      <c r="P15" s="385"/>
      <c r="Q15" s="1374"/>
      <c r="R15" s="1431"/>
      <c r="S15" s="1416"/>
      <c r="T15" s="1417"/>
      <c r="U15" s="1418"/>
      <c r="V15" s="1418"/>
      <c r="W15" s="1418"/>
      <c r="X15" s="1418"/>
      <c r="Y15" s="1418"/>
      <c r="Z15" s="1418"/>
      <c r="AA15" s="1418"/>
      <c r="AB15" s="1418"/>
      <c r="AC15" s="1418"/>
      <c r="AD15" s="1418"/>
      <c r="AE15" s="1418"/>
      <c r="AF15" s="1418"/>
      <c r="AG15" s="1418"/>
      <c r="AH15" s="1418"/>
      <c r="AI15" s="1418"/>
      <c r="AJ15" s="1418"/>
      <c r="AK15" s="1418"/>
      <c r="AL15" s="1418"/>
      <c r="AM15" s="1418"/>
      <c r="AN15" s="1418"/>
      <c r="AO15" s="1418"/>
      <c r="AP15" s="1418"/>
      <c r="AQ15" s="1418"/>
      <c r="AR15" s="1418"/>
      <c r="AS15" s="1418"/>
      <c r="AT15" s="1418"/>
      <c r="AU15" s="1418"/>
      <c r="AV15" s="1418"/>
      <c r="AW15" s="1418"/>
      <c r="AX15" s="1418"/>
      <c r="AY15" s="1418"/>
      <c r="AZ15" s="1418"/>
      <c r="BA15" s="1418"/>
      <c r="BB15" s="1418"/>
      <c r="BC15" s="1419"/>
      <c r="BE15" s="506"/>
      <c r="BF15" s="506" t="str">
        <f>IF(T15="","",T15)</f>
        <v/>
      </c>
      <c r="BG15" s="506"/>
      <c r="BH15" s="506"/>
    </row>
    <row s="3273" customFormat="1" customHeight="1" ht="14.25" hidden="1">
      <c r="A16" s="1373"/>
      <c r="B16" s="1373"/>
      <c r="C16" s="1373"/>
      <c r="D16" s="1344"/>
      <c r="E16" s="2108"/>
      <c r="F16" s="2108"/>
      <c r="G16" s="2107"/>
      <c r="H16" s="1344"/>
      <c r="I16" s="1344"/>
      <c r="J16" s="1344"/>
      <c r="K16" s="1344"/>
      <c r="L16" s="1524"/>
      <c r="M16" s="1345"/>
      <c r="N16" s="1345"/>
      <c r="P16" s="1346"/>
      <c r="Q16" s="1347"/>
      <c r="R16" s="1346"/>
      <c r="S16" s="1352"/>
      <c r="T16" s="1355"/>
      <c r="U16" s="1354"/>
      <c r="V16" s="1354"/>
      <c r="W16" s="1354"/>
      <c r="X16" s="1354"/>
      <c r="Y16" s="1354"/>
      <c r="Z16" s="1354"/>
      <c r="AA16" s="1354"/>
      <c r="AB16" s="1354"/>
      <c r="AC16" s="1354"/>
      <c r="AD16" s="1354"/>
      <c r="AE16" s="1354"/>
      <c r="AF16" s="1354"/>
      <c r="AG16" s="1354"/>
      <c r="AH16" s="1354"/>
      <c r="AI16" s="1354"/>
      <c r="AJ16" s="1354"/>
      <c r="AK16" s="1354"/>
      <c r="AL16" s="1354"/>
      <c r="AM16" s="1354"/>
      <c r="AN16" s="1354"/>
      <c r="AO16" s="1354"/>
      <c r="AP16" s="1354"/>
      <c r="AQ16" s="1354"/>
      <c r="AR16" s="1354"/>
      <c r="AS16" s="1354"/>
      <c r="AT16" s="1354"/>
      <c r="AU16" s="1354"/>
      <c r="AV16" s="1354"/>
      <c r="AW16" s="1354"/>
      <c r="AX16" s="1354"/>
      <c r="AY16" s="1354"/>
      <c r="AZ16" s="1354"/>
      <c r="BA16" s="1354"/>
      <c r="BB16" s="1354"/>
      <c r="BC16" s="1354"/>
      <c r="BE16" s="795"/>
      <c r="BF16" s="795" t="str">
        <f>IF(T16="","",T16)</f>
        <v/>
      </c>
      <c r="BG16" s="795"/>
      <c r="BH16" s="795"/>
    </row>
    <row s="3273" customFormat="1" customHeight="1" ht="14.25" hidden="1">
      <c r="A17" s="1373"/>
      <c r="B17" s="1373"/>
      <c r="C17" s="1344"/>
      <c r="D17" s="1344"/>
      <c r="E17" s="2108"/>
      <c r="F17" s="2107"/>
      <c r="G17" s="1344"/>
      <c r="H17" s="1344"/>
      <c r="I17" s="1344"/>
      <c r="J17" s="1344"/>
      <c r="K17" s="1344"/>
      <c r="L17" s="1524"/>
      <c r="M17" s="1351"/>
      <c r="N17" s="1351"/>
      <c r="P17" s="1346"/>
      <c r="Q17" s="1347"/>
      <c r="R17" s="1346"/>
      <c r="S17" s="1352"/>
      <c r="T17" s="1355" t="s">
        <v>182</v>
      </c>
      <c r="U17" s="1354"/>
      <c r="V17" s="1354"/>
      <c r="W17" s="1354"/>
      <c r="X17" s="1354"/>
      <c r="Y17" s="1354"/>
      <c r="Z17" s="1354"/>
      <c r="AA17" s="1354"/>
      <c r="AB17" s="1354"/>
      <c r="AC17" s="1354"/>
      <c r="AD17" s="1354"/>
      <c r="AE17" s="1354"/>
      <c r="AF17" s="1354"/>
      <c r="AG17" s="1354"/>
      <c r="AH17" s="1354"/>
      <c r="AI17" s="1354"/>
      <c r="AJ17" s="1354"/>
      <c r="AK17" s="1354"/>
      <c r="AL17" s="1354"/>
      <c r="AM17" s="1354"/>
      <c r="AN17" s="1354"/>
      <c r="AO17" s="1354"/>
      <c r="AP17" s="1354"/>
      <c r="AQ17" s="1354"/>
      <c r="AR17" s="1354"/>
      <c r="AS17" s="1354"/>
      <c r="AT17" s="1354"/>
      <c r="AU17" s="1354"/>
      <c r="AV17" s="1354"/>
      <c r="AW17" s="1354"/>
      <c r="AX17" s="1354"/>
      <c r="AY17" s="1354"/>
      <c r="AZ17" s="1354"/>
      <c r="BA17" s="1354"/>
      <c r="BB17" s="1354"/>
      <c r="BC17" s="1354"/>
      <c r="BE17" s="795"/>
      <c r="BF17" s="795" t="str">
        <f>IF(T17="","",T17)</f>
        <v>Добавить централизованную систему для дифференциации</v>
      </c>
      <c r="BG17" s="795"/>
      <c r="BH17" s="795"/>
    </row>
    <row s="2611" customFormat="1" customHeight="1" ht="14.25" hidden="1">
      <c r="A18" s="1373"/>
      <c r="B18" s="1373"/>
      <c r="C18" s="1373"/>
      <c r="D18" s="1373"/>
      <c r="E18" s="2107"/>
      <c r="F18" s="1373"/>
      <c r="G18" s="1373"/>
      <c r="H18" s="1373"/>
      <c r="I18" s="1373"/>
      <c r="J18" s="1373"/>
      <c r="K18" s="1373"/>
      <c r="L18" s="1376"/>
      <c r="M18" s="1351"/>
      <c r="N18" s="1351"/>
      <c r="O18" s="524"/>
      <c r="P18" s="385"/>
      <c r="Q18" s="1374"/>
      <c r="R18" s="385"/>
      <c r="S18" s="1352"/>
      <c r="T18" s="1355" t="s">
        <v>183</v>
      </c>
      <c r="U18" s="1354"/>
      <c r="V18" s="1354"/>
      <c r="W18" s="1354"/>
      <c r="X18" s="1354"/>
      <c r="Y18" s="1354"/>
      <c r="Z18" s="1354"/>
      <c r="AA18" s="1354"/>
      <c r="AB18" s="1354"/>
      <c r="AC18" s="1354"/>
      <c r="AD18" s="1354"/>
      <c r="AE18" s="1354"/>
      <c r="AF18" s="1354"/>
      <c r="AG18" s="1354"/>
      <c r="AH18" s="1354"/>
      <c r="AI18" s="1354"/>
      <c r="AJ18" s="1354"/>
      <c r="AK18" s="1354"/>
      <c r="AL18" s="1354"/>
      <c r="AM18" s="1354"/>
      <c r="AN18" s="1354"/>
      <c r="AO18" s="1354"/>
      <c r="AP18" s="1354"/>
      <c r="AQ18" s="1354"/>
      <c r="AR18" s="1354"/>
      <c r="AS18" s="1354"/>
      <c r="AT18" s="1354"/>
      <c r="AU18" s="1354"/>
      <c r="AV18" s="1354"/>
      <c r="AW18" s="1354"/>
      <c r="AX18" s="1354"/>
      <c r="AY18" s="1354"/>
      <c r="AZ18" s="1354"/>
      <c r="BA18" s="1354"/>
      <c r="BB18" s="1354"/>
      <c r="BC18" s="1354"/>
      <c r="BE18" s="506"/>
      <c r="BF18" s="506" t="str">
        <f>IF(T18="","",T18)</f>
        <v>Добавить территорию для дифференциации</v>
      </c>
      <c r="BG18" s="506"/>
      <c r="BH18" s="506"/>
    </row>
    <row customHeight="1" ht="14.25" hidden="1">
      <c r="AC19" s="323"/>
      <c r="BA19" s="323"/>
    </row>
    <row customHeight="1" ht="14.25" hidden="1">
      <c r="AD20" s="1354" t="s">
        <v>57</v>
      </c>
      <c r="AE20" s="1531"/>
      <c r="AF20" s="554">
        <v>1</v>
      </c>
      <c r="AG20" s="1532"/>
      <c r="AH20" s="1354" t="s">
        <v>57</v>
      </c>
      <c r="AI20" s="1531"/>
      <c r="AJ20" s="554">
        <v>1</v>
      </c>
      <c r="AK20" s="1532"/>
      <c r="AL20" s="1354" t="s">
        <v>57</v>
      </c>
      <c r="AM20" s="1533"/>
      <c r="AN20" s="554">
        <v>1</v>
      </c>
      <c r="AO20" s="1534"/>
      <c r="AP20" s="1354" t="s">
        <v>57</v>
      </c>
      <c r="AQ20" s="1533"/>
      <c r="AR20" s="554">
        <v>1</v>
      </c>
      <c r="AS20" s="1534"/>
      <c r="AT20" s="320"/>
      <c r="AU20" s="390"/>
      <c r="AV20" s="320"/>
      <c r="AW20" s="390"/>
      <c r="AX20" s="1776"/>
      <c r="AY20" s="1515" t="s">
        <v>62</v>
      </c>
      <c r="AZ20" s="1776"/>
      <c r="BA20" s="1515" t="s">
        <v>62</v>
      </c>
    </row>
    <row customHeight="1" ht="14.25" hidden="1">
      <c r="BD21" s="502"/>
      <c r="BE21" s="502"/>
      <c r="BF21" s="502"/>
      <c r="BG21" s="502"/>
      <c r="BH21" s="502"/>
    </row>
    <row customHeight="1" ht="14.25" hidden="1">
      <c r="O22" s="1397" t="s">
        <v>409</v>
      </c>
      <c r="Z22" s="1375"/>
      <c r="AB22" s="1375"/>
      <c r="AC22" s="323"/>
      <c r="AX22" s="1375"/>
      <c r="AZ22" s="1375"/>
      <c r="BA22" s="323"/>
      <c r="BD22" s="502"/>
      <c r="BE22" s="502"/>
      <c r="BF22" s="502"/>
      <c r="BG22" s="502"/>
      <c r="BH22" s="502"/>
    </row>
    <row customHeight="1" ht="14.25" hidden="1">
      <c r="AC23" s="323"/>
      <c r="BA23" s="323"/>
      <c r="BD23" s="502"/>
      <c r="BE23" s="502"/>
      <c r="BF23" s="502"/>
      <c r="BG23" s="502"/>
      <c r="BH23" s="502"/>
    </row>
    <row s="3732" customFormat="1" customHeight="1" ht="14.25" hidden="1">
      <c r="M24" s="1538"/>
      <c r="N24" s="1538"/>
      <c r="O24" s="1539" t="s">
        <v>410</v>
      </c>
      <c r="P24" s="1538"/>
      <c r="Q24" s="1540"/>
      <c r="R24" s="1540"/>
      <c r="AA24" s="1537" t="s">
        <v>412</v>
      </c>
      <c r="AC24" s="1537" t="s">
        <v>413</v>
      </c>
      <c r="AD24" s="1537" t="s">
        <v>464</v>
      </c>
      <c r="AH24" s="1537" t="s">
        <v>464</v>
      </c>
      <c r="AK24" s="1537" t="s">
        <v>500</v>
      </c>
      <c r="AL24" s="1537" t="s">
        <v>464</v>
      </c>
      <c r="AP24" s="1537" t="s">
        <v>464</v>
      </c>
      <c r="AY24" s="1537" t="s">
        <v>412</v>
      </c>
      <c r="BA24" s="1537" t="s">
        <v>413</v>
      </c>
      <c r="BD24" s="1541"/>
      <c r="BE24" s="1541"/>
      <c r="BF24" s="1541"/>
      <c r="BG24" s="1541"/>
      <c r="BH24" s="1541"/>
    </row>
    <row customHeight="1" ht="14.25" hidden="1">
      <c r="O25" s="1394"/>
      <c r="BD25" s="502"/>
      <c r="BE25" s="502"/>
      <c r="BF25" s="502"/>
      <c r="BG25" s="502"/>
      <c r="BH25" s="502"/>
    </row>
    <row customHeight="1" ht="14.25" hidden="1">
      <c r="O26" s="1394"/>
      <c r="BD26" s="502"/>
      <c r="BE26" s="502"/>
      <c r="BF26" s="502"/>
      <c r="BG26" s="502"/>
      <c r="BH26" s="502"/>
    </row>
    <row customHeight="1" ht="14.25">
      <c r="Q27" s="279"/>
      <c r="R27" s="377"/>
      <c r="S27" s="1305"/>
      <c r="T27" s="361"/>
      <c r="U27" s="361"/>
      <c r="V27" s="515"/>
      <c r="W27" s="515"/>
      <c r="X27" s="515"/>
      <c r="Y27" s="515"/>
      <c r="Z27" s="515"/>
      <c r="AA27" s="515"/>
      <c r="AB27" s="515"/>
      <c r="AC27" s="515"/>
      <c r="AD27" s="515"/>
      <c r="AE27" s="515"/>
      <c r="AF27" s="515"/>
      <c r="AG27" s="515"/>
      <c r="AH27" s="515"/>
      <c r="AI27" s="515"/>
      <c r="AJ27" s="515"/>
      <c r="AK27" s="515"/>
      <c r="AL27" s="515"/>
      <c r="AM27" s="515"/>
      <c r="AN27" s="515"/>
      <c r="AO27" s="515"/>
      <c r="AP27" s="515"/>
      <c r="AQ27" s="515"/>
      <c r="AR27" s="515"/>
      <c r="AS27" s="515"/>
      <c r="AT27" s="515"/>
      <c r="AU27" s="515"/>
      <c r="AV27" s="515"/>
      <c r="AW27" s="515"/>
      <c r="AX27" s="515"/>
      <c r="AY27" s="515"/>
      <c r="AZ27" s="515"/>
      <c r="BA27" s="515"/>
    </row>
    <row customHeight="1" ht="14.25">
      <c r="Q28" s="279"/>
      <c r="R28" s="377"/>
      <c r="S28" s="2140" t="str">
        <f>IF(TEMPLATE_GROUP="P",PT_P_FORM_HOTVSNA_5_NAME_FORM,PT_R_FORM_HOTVSNA_17_NAME_FORM)</f>
        <v>Форма 3. Информация об установленных тарифах на подключение (технологическое присоединение) к централизованной системе горячего водоснабжения</v>
      </c>
      <c r="T28" s="2140"/>
      <c r="U28" s="2140"/>
      <c r="V28" s="2140"/>
      <c r="W28" s="2140"/>
      <c r="X28" s="2140"/>
      <c r="Y28" s="2140"/>
      <c r="Z28" s="2140"/>
      <c r="AA28" s="2140"/>
      <c r="AB28" s="2140"/>
      <c r="AC28" s="2140"/>
      <c r="AD28" s="2140"/>
      <c r="AE28" s="2140"/>
      <c r="AF28" s="2140"/>
      <c r="AG28" s="2140"/>
      <c r="AH28" s="2140"/>
      <c r="AI28" s="2140"/>
      <c r="AJ28" s="2140"/>
      <c r="AK28" s="2140"/>
      <c r="AL28" s="2140"/>
      <c r="AM28" s="2140"/>
      <c r="AN28" s="2140"/>
      <c r="AO28" s="2140"/>
      <c r="AP28" s="2140"/>
      <c r="AQ28" s="2140"/>
      <c r="AR28" s="2140"/>
      <c r="AS28" s="2140"/>
      <c r="AT28" s="2140"/>
      <c r="AU28" s="2140"/>
      <c r="AV28" s="2140"/>
      <c r="AW28" s="2140"/>
      <c r="AX28" s="2140"/>
      <c r="AY28" s="2140"/>
      <c r="AZ28" s="2140"/>
      <c r="BA28" s="1261"/>
    </row>
    <row customHeight="1" ht="14.25">
      <c r="Q29" s="279"/>
      <c r="R29" s="377"/>
      <c r="S29" s="2141" t="str">
        <f>IF(org=0,"Не определено",org)</f>
        <v>ЗАО "Байкалэнерго"</v>
      </c>
      <c r="T29" s="2141"/>
      <c r="U29" s="2141"/>
      <c r="V29" s="2141"/>
      <c r="W29" s="2141"/>
      <c r="X29" s="2141"/>
      <c r="Y29" s="2141"/>
      <c r="Z29" s="2141"/>
      <c r="AA29" s="2141"/>
      <c r="AB29" s="2141"/>
      <c r="AC29" s="2141"/>
      <c r="AD29" s="2141"/>
      <c r="AE29" s="2141"/>
      <c r="AF29" s="2141"/>
      <c r="AG29" s="2141"/>
      <c r="AH29" s="2141"/>
      <c r="AI29" s="2141"/>
      <c r="AJ29" s="2141"/>
      <c r="AK29" s="2141"/>
      <c r="AL29" s="2141"/>
      <c r="AM29" s="2141"/>
      <c r="AN29" s="2141"/>
      <c r="AO29" s="2141"/>
      <c r="AP29" s="2141"/>
      <c r="AQ29" s="2141"/>
      <c r="AR29" s="2141"/>
      <c r="AS29" s="2141"/>
      <c r="AT29" s="2141"/>
      <c r="AU29" s="2141"/>
      <c r="AV29" s="2141"/>
      <c r="AW29" s="2141"/>
      <c r="AX29" s="2141"/>
      <c r="AY29" s="2141"/>
      <c r="AZ29" s="2141"/>
      <c r="BA29" s="1261"/>
    </row>
    <row customHeight="1" ht="14.25">
      <c r="Q30" s="279"/>
      <c r="R30" s="377"/>
      <c r="S30" s="1305"/>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5"/>
    </row>
    <row s="3305" customFormat="1" customHeight="1" ht="25.5">
      <c r="A31" s="1398"/>
      <c r="B31" s="1398"/>
      <c r="C31" s="1398"/>
      <c r="D31" s="1398"/>
      <c r="E31" s="1398"/>
      <c r="F31" s="1398"/>
      <c r="G31" s="1398"/>
      <c r="H31" s="1398"/>
      <c r="I31" s="1398"/>
      <c r="J31" s="1398"/>
      <c r="K31" s="1398"/>
      <c r="L31" s="1399"/>
      <c r="M31" s="1398"/>
      <c r="N31" s="1398"/>
      <c r="O31" s="1398"/>
      <c r="P31" s="1398"/>
      <c r="Q31" s="1398"/>
      <c r="S31" s="2098" t="s">
        <v>38</v>
      </c>
      <c r="T31" s="2098"/>
      <c r="U31" s="1402"/>
      <c r="V31" s="2100" t="str">
        <f>IF(TITLE_NAME_OR_PR_CHANGE="",IF(TITLE_NAME_OR_PR="","",TITLE_NAME_OR_PR),TITLE_NAME_OR_PR_CHANGE)</f>
        <v>Служба по тарифам Иркутской области</v>
      </c>
      <c r="W31" s="2100"/>
      <c r="X31" s="2100"/>
      <c r="Y31" s="2100"/>
      <c r="Z31" s="2100"/>
      <c r="AA31" s="2100"/>
      <c r="AB31" s="2100"/>
      <c r="AC31" s="322"/>
      <c r="AD31" s="2100" t="str">
        <f>IF(TITLE_NAME_OR_PR_CHANGE="",IF(TITLE_NAME_OR_PR="","",TITLE_NAME_OR_PR),TITLE_NAME_OR_PR_CHANGE)</f>
        <v>Служба по тарифам Иркутской области</v>
      </c>
      <c r="AE31" s="2100"/>
      <c r="AF31" s="2100"/>
      <c r="AG31" s="2100"/>
      <c r="AH31" s="2100"/>
      <c r="AI31" s="2100"/>
      <c r="AJ31" s="2100"/>
      <c r="AK31" s="2100"/>
      <c r="AL31" s="2100"/>
      <c r="AM31" s="2100"/>
      <c r="AN31" s="2100"/>
      <c r="AO31" s="2100"/>
      <c r="AP31" s="2100"/>
      <c r="AQ31" s="2100"/>
      <c r="AR31" s="2100"/>
      <c r="AS31" s="2100"/>
      <c r="AT31" s="2100"/>
      <c r="AU31" s="2100"/>
      <c r="AV31" s="2100"/>
      <c r="AW31" s="2100"/>
      <c r="AX31" s="2100"/>
      <c r="AY31" s="2100"/>
      <c r="AZ31" s="2100"/>
      <c r="BA31" s="322"/>
      <c r="BB31" s="322"/>
      <c r="BC31" s="268"/>
      <c r="BD31" s="368"/>
      <c r="BE31" s="368"/>
      <c r="BF31" s="368"/>
      <c r="BG31" s="368"/>
      <c r="BH31" s="368"/>
    </row>
    <row s="3305" customFormat="1" customHeight="1" ht="18.75">
      <c r="A32" s="1398"/>
      <c r="B32" s="1398"/>
      <c r="C32" s="1398"/>
      <c r="D32" s="1398"/>
      <c r="E32" s="1398"/>
      <c r="F32" s="1398"/>
      <c r="G32" s="1398"/>
      <c r="H32" s="1398"/>
      <c r="I32" s="1398"/>
      <c r="J32" s="1398"/>
      <c r="K32" s="1398"/>
      <c r="L32" s="1399"/>
      <c r="M32" s="1398"/>
      <c r="N32" s="1398"/>
      <c r="O32" s="1398"/>
      <c r="P32" s="1398"/>
      <c r="Q32" s="1398"/>
      <c r="S32" s="2098" t="s">
        <v>415</v>
      </c>
      <c r="T32" s="2098"/>
      <c r="U32" s="1402"/>
      <c r="V32" s="2099" t="str">
        <f>IF(TITLE_DATE_PR_CHANGE="",IF(TITLE_DATE_PR="","",TITLE_DATE_PR),TITLE_DATE_PR_CHANGE)</f>
        <v>45280.56123842593</v>
      </c>
      <c r="W32" s="2099"/>
      <c r="X32" s="2099"/>
      <c r="Y32" s="2099"/>
      <c r="Z32" s="2099"/>
      <c r="AA32" s="2099"/>
      <c r="AB32" s="2099"/>
      <c r="AC32" s="322"/>
      <c r="AD32" s="2099" t="str">
        <f>IF(TITLE_DATE_PR_CHANGE="",IF(TITLE_DATE_PR="","",TITLE_DATE_PR),TITLE_DATE_PR_CHANGE)</f>
        <v>45280.56123842593</v>
      </c>
      <c r="AE32" s="2099"/>
      <c r="AF32" s="2099"/>
      <c r="AG32" s="2099"/>
      <c r="AH32" s="2099"/>
      <c r="AI32" s="2099"/>
      <c r="AJ32" s="2099"/>
      <c r="AK32" s="2099"/>
      <c r="AL32" s="2099"/>
      <c r="AM32" s="2099"/>
      <c r="AN32" s="2099"/>
      <c r="AO32" s="2099"/>
      <c r="AP32" s="2099"/>
      <c r="AQ32" s="2099"/>
      <c r="AR32" s="2099"/>
      <c r="AS32" s="2099"/>
      <c r="AT32" s="2099"/>
      <c r="AU32" s="2099"/>
      <c r="AV32" s="2099"/>
      <c r="AW32" s="2099"/>
      <c r="AX32" s="2099"/>
      <c r="AY32" s="2099"/>
      <c r="AZ32" s="2099"/>
      <c r="BA32" s="322"/>
      <c r="BB32" s="322"/>
      <c r="BC32" s="268"/>
      <c r="BD32" s="368"/>
      <c r="BE32" s="368"/>
      <c r="BF32" s="368"/>
      <c r="BG32" s="368"/>
      <c r="BH32" s="368"/>
    </row>
    <row s="3305" customFormat="1" customHeight="1" ht="18.75">
      <c r="A33" s="1398"/>
      <c r="B33" s="1398"/>
      <c r="C33" s="1398"/>
      <c r="D33" s="1398"/>
      <c r="E33" s="1398"/>
      <c r="F33" s="1398"/>
      <c r="G33" s="1398"/>
      <c r="H33" s="1398"/>
      <c r="I33" s="1398"/>
      <c r="J33" s="1398"/>
      <c r="K33" s="1398"/>
      <c r="L33" s="1399"/>
      <c r="M33" s="1398"/>
      <c r="N33" s="1398"/>
      <c r="O33" s="1398"/>
      <c r="P33" s="1398"/>
      <c r="Q33" s="1398"/>
      <c r="S33" s="2098" t="s">
        <v>416</v>
      </c>
      <c r="T33" s="2098"/>
      <c r="U33" s="1402"/>
      <c r="V33" s="2100" t="str">
        <f>IF(TITLE_NUMBER_PR_CHANGE="",IF(TITLE_NUMBER_PR="","",TITLE_NUMBER_PR),TITLE_NUMBER_PR_CHANGE)</f>
        <v>79-477-спр</v>
      </c>
      <c r="W33" s="2100"/>
      <c r="X33" s="2100"/>
      <c r="Y33" s="2100"/>
      <c r="Z33" s="2100"/>
      <c r="AA33" s="2100"/>
      <c r="AB33" s="2100"/>
      <c r="AC33" s="322"/>
      <c r="AD33" s="2100" t="str">
        <f>IF(TITLE_NUMBER_PR_CHANGE="",IF(TITLE_NUMBER_PR="","",TITLE_NUMBER_PR),TITLE_NUMBER_PR_CHANGE)</f>
        <v>79-477-спр</v>
      </c>
      <c r="AE33" s="2100"/>
      <c r="AF33" s="2100"/>
      <c r="AG33" s="2100"/>
      <c r="AH33" s="2100"/>
      <c r="AI33" s="2100"/>
      <c r="AJ33" s="2100"/>
      <c r="AK33" s="2100"/>
      <c r="AL33" s="2100"/>
      <c r="AM33" s="2100"/>
      <c r="AN33" s="2100"/>
      <c r="AO33" s="2100"/>
      <c r="AP33" s="2100"/>
      <c r="AQ33" s="2100"/>
      <c r="AR33" s="2100"/>
      <c r="AS33" s="2100"/>
      <c r="AT33" s="2100"/>
      <c r="AU33" s="2100"/>
      <c r="AV33" s="2100"/>
      <c r="AW33" s="2100"/>
      <c r="AX33" s="2100"/>
      <c r="AY33" s="2100"/>
      <c r="AZ33" s="2100"/>
      <c r="BA33" s="322"/>
      <c r="BB33" s="322"/>
      <c r="BC33" s="268"/>
      <c r="BD33" s="368"/>
      <c r="BE33" s="368"/>
      <c r="BF33" s="368"/>
      <c r="BG33" s="368"/>
      <c r="BH33" s="368"/>
    </row>
    <row s="3305" customFormat="1" customHeight="1" ht="18.75">
      <c r="A34" s="1398"/>
      <c r="B34" s="1398"/>
      <c r="C34" s="1398"/>
      <c r="D34" s="1398"/>
      <c r="E34" s="1398"/>
      <c r="F34" s="1398"/>
      <c r="G34" s="1398"/>
      <c r="H34" s="1398"/>
      <c r="I34" s="1398"/>
      <c r="J34" s="1398"/>
      <c r="K34" s="1398"/>
      <c r="L34" s="1399"/>
      <c r="M34" s="1398"/>
      <c r="N34" s="1398"/>
      <c r="O34" s="1398"/>
      <c r="P34" s="1398"/>
      <c r="Q34" s="1398"/>
      <c r="S34" s="2098" t="s">
        <v>40</v>
      </c>
      <c r="T34" s="2098"/>
      <c r="U34" s="1402"/>
      <c r="V34" s="2100" t="str">
        <f>IF(TITLE_IST_PUB_CHANGE="",IF(TITLE_IST_PUB="","",TITLE_IST_PUB),TITLE_IST_PUB_CHANGE)</f>
        <v>Официальный сайт службы по тарифам Иркутской области http://irkobl.ru</v>
      </c>
      <c r="W34" s="2100"/>
      <c r="X34" s="2100"/>
      <c r="Y34" s="2100"/>
      <c r="Z34" s="2100"/>
      <c r="AA34" s="2100"/>
      <c r="AB34" s="2100"/>
      <c r="AC34" s="322"/>
      <c r="AD34" s="2100" t="str">
        <f>IF(TITLE_IST_PUB_CHANGE="",IF(TITLE_IST_PUB="","",TITLE_IST_PUB),TITLE_IST_PUB_CHANGE)</f>
        <v>Официальный сайт службы по тарифам Иркутской области http://irkobl.ru</v>
      </c>
      <c r="AE34" s="2100"/>
      <c r="AF34" s="2100"/>
      <c r="AG34" s="2100"/>
      <c r="AH34" s="2100"/>
      <c r="AI34" s="2100"/>
      <c r="AJ34" s="2100"/>
      <c r="AK34" s="2100"/>
      <c r="AL34" s="2100"/>
      <c r="AM34" s="2100"/>
      <c r="AN34" s="2100"/>
      <c r="AO34" s="2100"/>
      <c r="AP34" s="2100"/>
      <c r="AQ34" s="2100"/>
      <c r="AR34" s="2100"/>
      <c r="AS34" s="2100"/>
      <c r="AT34" s="2100"/>
      <c r="AU34" s="2100"/>
      <c r="AV34" s="2100"/>
      <c r="AW34" s="2100"/>
      <c r="AX34" s="2100"/>
      <c r="AY34" s="2100"/>
      <c r="AZ34" s="2100"/>
      <c r="BA34" s="322"/>
      <c r="BB34" s="322"/>
      <c r="BC34" s="268"/>
      <c r="BD34" s="368"/>
      <c r="BE34" s="368"/>
      <c r="BF34" s="368"/>
      <c r="BG34" s="368"/>
      <c r="BH34" s="368"/>
    </row>
    <row customHeight="1" ht="14.25" hidden="1">
      <c r="Q35" s="279"/>
      <c r="R35" s="377"/>
      <c r="S35" s="1305"/>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5"/>
    </row>
    <row s="3305" customFormat="1" customHeight="1" ht="18.75" hidden="1">
      <c r="A36" s="1398"/>
      <c r="B36" s="1398"/>
      <c r="C36" s="1398"/>
      <c r="D36" s="1398"/>
      <c r="E36" s="1398"/>
      <c r="F36" s="1398"/>
      <c r="G36" s="1398"/>
      <c r="H36" s="1398"/>
      <c r="I36" s="1398"/>
      <c r="J36" s="1398"/>
      <c r="K36" s="1398"/>
      <c r="L36" s="1399"/>
      <c r="M36" s="1398"/>
      <c r="N36" s="1398"/>
      <c r="O36" s="1398"/>
      <c r="P36" s="1398"/>
      <c r="Q36" s="1398"/>
      <c r="S36" s="2098" t="s">
        <v>415</v>
      </c>
      <c r="T36" s="2098"/>
      <c r="U36" s="1402"/>
      <c r="V36" s="2099" t="str">
        <f>IF(TITLE_DATE_PR_CHANGE="",IF(TITLE_DATE_PR="","",TITLE_DATE_PR),TITLE_DATE_PR_CHANGE)</f>
        <v>45280.56123842593</v>
      </c>
      <c r="W36" s="2099"/>
      <c r="X36" s="2099"/>
      <c r="Y36" s="2099"/>
      <c r="Z36" s="2099"/>
      <c r="AA36" s="2099"/>
      <c r="AB36" s="2099"/>
      <c r="AC36" s="322"/>
      <c r="AD36" s="2099" t="str">
        <f>IF(TITLE_DATE_PR_CHANGE="",IF(TITLE_DATE_PR="","",TITLE_DATE_PR),TITLE_DATE_PR_CHANGE)</f>
        <v>45280.56123842593</v>
      </c>
      <c r="AE36" s="2099"/>
      <c r="AF36" s="2099"/>
      <c r="AG36" s="2099"/>
      <c r="AH36" s="2099"/>
      <c r="AI36" s="2099"/>
      <c r="AJ36" s="2099"/>
      <c r="AK36" s="2099"/>
      <c r="AL36" s="2099"/>
      <c r="AM36" s="2099"/>
      <c r="AN36" s="2099"/>
      <c r="AO36" s="2099"/>
      <c r="AP36" s="2099"/>
      <c r="AQ36" s="2099"/>
      <c r="AR36" s="2099"/>
      <c r="AS36" s="2099"/>
      <c r="AT36" s="2099"/>
      <c r="AU36" s="2099"/>
      <c r="AV36" s="2099"/>
      <c r="AW36" s="2099"/>
      <c r="AX36" s="2099"/>
      <c r="AY36" s="2099"/>
      <c r="AZ36" s="2099"/>
      <c r="BA36" s="322"/>
      <c r="BB36" s="322"/>
      <c r="BC36" s="268"/>
      <c r="BD36" s="368"/>
      <c r="BE36" s="368"/>
      <c r="BF36" s="368"/>
      <c r="BG36" s="368"/>
      <c r="BH36" s="368"/>
    </row>
    <row s="3305" customFormat="1" customHeight="1" ht="18.75" hidden="1">
      <c r="A37" s="1398"/>
      <c r="B37" s="1398"/>
      <c r="C37" s="1398"/>
      <c r="D37" s="1398"/>
      <c r="E37" s="1398"/>
      <c r="F37" s="1398"/>
      <c r="G37" s="1398"/>
      <c r="H37" s="1398"/>
      <c r="I37" s="1398"/>
      <c r="J37" s="1398"/>
      <c r="K37" s="1398"/>
      <c r="L37" s="1399"/>
      <c r="M37" s="1398"/>
      <c r="N37" s="1398"/>
      <c r="O37" s="1398"/>
      <c r="P37" s="1398"/>
      <c r="Q37" s="1398"/>
      <c r="S37" s="2098" t="s">
        <v>416</v>
      </c>
      <c r="T37" s="2098"/>
      <c r="U37" s="1402"/>
      <c r="V37" s="2100" t="str">
        <f>IF(TITLE_NUMBER_PR_CHANGE="",IF(TITLE_NUMBER_PR="","",TITLE_NUMBER_PR),TITLE_NUMBER_PR_CHANGE)</f>
        <v>79-477-спр</v>
      </c>
      <c r="W37" s="2100"/>
      <c r="X37" s="2100"/>
      <c r="Y37" s="2100"/>
      <c r="Z37" s="2100"/>
      <c r="AA37" s="2100"/>
      <c r="AB37" s="2100"/>
      <c r="AC37" s="322"/>
      <c r="AD37" s="2100" t="str">
        <f>IF(TITLE_NUMBER_PR_CHANGE="",IF(TITLE_NUMBER_PR="","",TITLE_NUMBER_PR),TITLE_NUMBER_PR_CHANGE)</f>
        <v>79-477-спр</v>
      </c>
      <c r="AE37" s="2100"/>
      <c r="AF37" s="2100"/>
      <c r="AG37" s="2100"/>
      <c r="AH37" s="2100"/>
      <c r="AI37" s="2100"/>
      <c r="AJ37" s="2100"/>
      <c r="AK37" s="2100"/>
      <c r="AL37" s="2100"/>
      <c r="AM37" s="2100"/>
      <c r="AN37" s="2100"/>
      <c r="AO37" s="2100"/>
      <c r="AP37" s="2100"/>
      <c r="AQ37" s="2100"/>
      <c r="AR37" s="2100"/>
      <c r="AS37" s="2100"/>
      <c r="AT37" s="2100"/>
      <c r="AU37" s="2100"/>
      <c r="AV37" s="2100"/>
      <c r="AW37" s="2100"/>
      <c r="AX37" s="2100"/>
      <c r="AY37" s="2100"/>
      <c r="AZ37" s="2100"/>
      <c r="BA37" s="322"/>
      <c r="BB37" s="322"/>
      <c r="BC37" s="268"/>
      <c r="BD37" s="368"/>
      <c r="BE37" s="368"/>
      <c r="BF37" s="368"/>
      <c r="BG37" s="368"/>
      <c r="BH37" s="368"/>
    </row>
    <row s="3305" customFormat="1" customHeight="1" ht="0">
      <c r="A38" s="1398"/>
      <c r="B38" s="1398"/>
      <c r="C38" s="1398"/>
      <c r="D38" s="1398"/>
      <c r="E38" s="1398"/>
      <c r="F38" s="1398"/>
      <c r="G38" s="1398"/>
      <c r="H38" s="1398"/>
      <c r="I38" s="1398"/>
      <c r="J38" s="1398"/>
      <c r="K38" s="1398"/>
      <c r="L38" s="1399"/>
      <c r="M38" s="1398"/>
      <c r="N38" s="1398"/>
      <c r="O38" s="1398"/>
      <c r="P38" s="1398"/>
      <c r="Q38" s="1398"/>
      <c r="S38" s="318"/>
      <c r="T38" s="318"/>
      <c r="U38" s="1518"/>
      <c r="V38" s="322"/>
      <c r="W38" s="322"/>
      <c r="X38" s="322"/>
      <c r="Y38" s="322"/>
      <c r="Z38" s="322"/>
      <c r="AA38" s="322"/>
      <c r="AB38" s="322"/>
      <c r="AC38" s="266" t="s">
        <v>419</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419</v>
      </c>
      <c r="BD38" s="368"/>
      <c r="BE38" s="368"/>
      <c r="BF38" s="368"/>
      <c r="BG38" s="368"/>
      <c r="BH38" s="368"/>
    </row>
    <row customHeight="1" ht="14.25">
      <c r="Q39" s="279"/>
      <c r="R39" s="377"/>
      <c r="S39" s="1305"/>
      <c r="T39" s="361"/>
      <c r="U39" s="1262"/>
      <c r="V39" s="2124"/>
      <c r="W39" s="2124"/>
      <c r="X39" s="2124"/>
      <c r="Y39" s="2124"/>
      <c r="Z39" s="2124"/>
      <c r="AA39" s="2124"/>
      <c r="AB39" s="2124"/>
      <c r="AC39" s="2124"/>
      <c r="AD39" s="2124"/>
      <c r="AE39" s="2124"/>
      <c r="AF39" s="2124"/>
      <c r="AG39" s="2124"/>
      <c r="AH39" s="2124"/>
      <c r="AI39" s="2124"/>
      <c r="AJ39" s="2124"/>
      <c r="AK39" s="2124"/>
      <c r="AL39" s="2124"/>
      <c r="AM39" s="2124"/>
      <c r="AN39" s="2124"/>
      <c r="AO39" s="2124"/>
      <c r="AP39" s="2124"/>
      <c r="AQ39" s="2124"/>
      <c r="AR39" s="2124"/>
      <c r="AS39" s="2124"/>
      <c r="AT39" s="2124"/>
      <c r="AU39" s="2124"/>
      <c r="AV39" s="2124"/>
      <c r="AW39" s="2124"/>
      <c r="AX39" s="2124"/>
      <c r="AY39" s="2124"/>
      <c r="AZ39" s="2124"/>
      <c r="BA39" s="2124"/>
    </row>
    <row customHeight="1" ht="14.25">
      <c r="Q40" s="279"/>
      <c r="R40" s="377"/>
      <c r="S40" s="1971" t="s">
        <v>293</v>
      </c>
      <c r="T40" s="1971"/>
      <c r="U40" s="1971"/>
      <c r="V40" s="1971"/>
      <c r="W40" s="1971"/>
      <c r="X40" s="1971"/>
      <c r="Y40" s="1971"/>
      <c r="Z40" s="1971"/>
      <c r="AA40" s="1971"/>
      <c r="AB40" s="1971"/>
      <c r="AC40" s="1971"/>
      <c r="AD40" s="1971"/>
      <c r="AE40" s="1971"/>
      <c r="AF40" s="1971"/>
      <c r="AG40" s="1971"/>
      <c r="AH40" s="1971"/>
      <c r="AI40" s="1971"/>
      <c r="AJ40" s="1971"/>
      <c r="AK40" s="1971"/>
      <c r="AL40" s="1971"/>
      <c r="AM40" s="1971"/>
      <c r="AN40" s="1971"/>
      <c r="AO40" s="1971"/>
      <c r="AP40" s="1971"/>
      <c r="AQ40" s="1971"/>
      <c r="AR40" s="1971"/>
      <c r="AS40" s="1971"/>
      <c r="AT40" s="1971"/>
      <c r="AU40" s="1971"/>
      <c r="AV40" s="1971"/>
      <c r="AW40" s="1971"/>
      <c r="AX40" s="1971"/>
      <c r="AY40" s="1971"/>
      <c r="AZ40" s="1971"/>
      <c r="BA40" s="1971"/>
      <c r="BB40" s="1971"/>
      <c r="BC40" s="1971" t="s">
        <v>294</v>
      </c>
    </row>
    <row customHeight="1" ht="14.25">
      <c r="Q41" s="279"/>
      <c r="R41" s="377"/>
      <c r="S41" s="2125" t="s">
        <v>88</v>
      </c>
      <c r="T41" s="2062" t="s">
        <v>501</v>
      </c>
      <c r="U41" s="289"/>
      <c r="V41" s="2126" t="s">
        <v>421</v>
      </c>
      <c r="W41" s="2127"/>
      <c r="X41" s="2127"/>
      <c r="Y41" s="2127"/>
      <c r="Z41" s="2127"/>
      <c r="AA41" s="2127"/>
      <c r="AB41" s="2128"/>
      <c r="AC41" s="2129" t="s">
        <v>422</v>
      </c>
      <c r="AD41" s="2173" t="s">
        <v>502</v>
      </c>
      <c r="AE41" s="2146"/>
      <c r="AF41" s="2146"/>
      <c r="AG41" s="2174"/>
      <c r="AH41" s="2173" t="s">
        <v>503</v>
      </c>
      <c r="AI41" s="2146"/>
      <c r="AJ41" s="2146"/>
      <c r="AK41" s="2174"/>
      <c r="AL41" s="2173" t="s">
        <v>504</v>
      </c>
      <c r="AM41" s="2146"/>
      <c r="AN41" s="2146"/>
      <c r="AO41" s="2174"/>
      <c r="AP41" s="2173" t="s">
        <v>505</v>
      </c>
      <c r="AQ41" s="2146"/>
      <c r="AR41" s="2146"/>
      <c r="AS41" s="2174"/>
      <c r="AT41" s="2126" t="s">
        <v>421</v>
      </c>
      <c r="AU41" s="2127"/>
      <c r="AV41" s="2127"/>
      <c r="AW41" s="2127"/>
      <c r="AX41" s="2127"/>
      <c r="AY41" s="2127"/>
      <c r="AZ41" s="2128"/>
      <c r="BA41" s="2129" t="s">
        <v>422</v>
      </c>
      <c r="BB41" s="2132" t="s">
        <v>424</v>
      </c>
      <c r="BC41" s="1971"/>
    </row>
    <row customHeight="1" ht="33.75">
      <c r="Q42" s="279"/>
      <c r="R42" s="377"/>
      <c r="S42" s="2125"/>
      <c r="T42" s="2062"/>
      <c r="U42" s="1038"/>
      <c r="V42" s="2029" t="s">
        <v>506</v>
      </c>
      <c r="W42" s="2030"/>
      <c r="X42" s="2029" t="s">
        <v>507</v>
      </c>
      <c r="Y42" s="2030"/>
      <c r="Z42" s="2144" t="s">
        <v>508</v>
      </c>
      <c r="AA42" s="2162"/>
      <c r="AB42" s="2163"/>
      <c r="AC42" s="2130"/>
      <c r="AD42" s="2175"/>
      <c r="AE42" s="2176"/>
      <c r="AF42" s="2176"/>
      <c r="AG42" s="2188"/>
      <c r="AH42" s="2175"/>
      <c r="AI42" s="2176"/>
      <c r="AJ42" s="2176"/>
      <c r="AK42" s="2188"/>
      <c r="AL42" s="2175"/>
      <c r="AM42" s="2176"/>
      <c r="AN42" s="2176"/>
      <c r="AO42" s="2188"/>
      <c r="AP42" s="2175"/>
      <c r="AQ42" s="2176"/>
      <c r="AR42" s="2176"/>
      <c r="AS42" s="2188"/>
      <c r="AT42" s="2029" t="s">
        <v>506</v>
      </c>
      <c r="AU42" s="2030"/>
      <c r="AV42" s="2029" t="s">
        <v>507</v>
      </c>
      <c r="AW42" s="2030"/>
      <c r="AX42" s="2144" t="s">
        <v>508</v>
      </c>
      <c r="AY42" s="2162"/>
      <c r="AZ42" s="2163"/>
      <c r="BA42" s="2130"/>
      <c r="BB42" s="2133"/>
      <c r="BC42" s="1971"/>
    </row>
    <row customHeight="1" ht="14.25">
      <c r="Q43" s="279"/>
      <c r="R43" s="377"/>
      <c r="S43" s="2125"/>
      <c r="T43" s="2062"/>
      <c r="U43" s="1038"/>
      <c r="V43" s="2037"/>
      <c r="W43" s="2038"/>
      <c r="X43" s="2037"/>
      <c r="Y43" s="2038"/>
      <c r="Z43" s="2145"/>
      <c r="AA43" s="2164"/>
      <c r="AB43" s="2165"/>
      <c r="AC43" s="2130"/>
      <c r="AD43" s="2175"/>
      <c r="AE43" s="2176"/>
      <c r="AF43" s="2176"/>
      <c r="AG43" s="2188"/>
      <c r="AH43" s="2175"/>
      <c r="AI43" s="2176"/>
      <c r="AJ43" s="2176"/>
      <c r="AK43" s="2188"/>
      <c r="AL43" s="2175"/>
      <c r="AM43" s="2176"/>
      <c r="AN43" s="2176"/>
      <c r="AO43" s="2188"/>
      <c r="AP43" s="2175"/>
      <c r="AQ43" s="2176"/>
      <c r="AR43" s="2176"/>
      <c r="AS43" s="2188"/>
      <c r="AT43" s="2037"/>
      <c r="AU43" s="2038"/>
      <c r="AV43" s="2037"/>
      <c r="AW43" s="2038"/>
      <c r="AX43" s="2145"/>
      <c r="AY43" s="2164"/>
      <c r="AZ43" s="2165"/>
      <c r="BA43" s="2130"/>
      <c r="BB43" s="2133"/>
      <c r="BC43" s="1971"/>
    </row>
    <row customHeight="1" ht="14.25">
      <c r="A44" s="1400"/>
      <c r="B44" s="1400" t="s">
        <v>136</v>
      </c>
      <c r="C44" s="1400" t="s">
        <v>137</v>
      </c>
      <c r="D44" s="1400" t="s">
        <v>138</v>
      </c>
      <c r="E44" s="1394" t="s">
        <v>429</v>
      </c>
      <c r="F44" s="1394" t="s">
        <v>430</v>
      </c>
      <c r="G44" s="1394" t="s">
        <v>431</v>
      </c>
      <c r="H44" s="1394" t="s">
        <v>432</v>
      </c>
      <c r="I44" s="1394" t="s">
        <v>433</v>
      </c>
      <c r="J44" s="1394" t="s">
        <v>434</v>
      </c>
      <c r="K44" s="1394" t="s">
        <v>435</v>
      </c>
      <c r="L44" s="1394" t="s">
        <v>410</v>
      </c>
      <c r="Q44" s="279"/>
      <c r="R44" s="377"/>
      <c r="S44" s="2125"/>
      <c r="T44" s="2062"/>
      <c r="U44" s="290"/>
      <c r="V44" s="1509" t="s">
        <v>474</v>
      </c>
      <c r="W44" s="1509" t="s">
        <v>475</v>
      </c>
      <c r="X44" s="1509" t="s">
        <v>474</v>
      </c>
      <c r="Y44" s="1509" t="s">
        <v>475</v>
      </c>
      <c r="Z44" s="1519" t="s">
        <v>438</v>
      </c>
      <c r="AA44" s="2121" t="s">
        <v>439</v>
      </c>
      <c r="AB44" s="2122"/>
      <c r="AC44" s="2131"/>
      <c r="AD44" s="2177"/>
      <c r="AE44" s="2178"/>
      <c r="AF44" s="2178"/>
      <c r="AG44" s="2179"/>
      <c r="AH44" s="2177"/>
      <c r="AI44" s="2178"/>
      <c r="AJ44" s="2178"/>
      <c r="AK44" s="2179"/>
      <c r="AL44" s="2177"/>
      <c r="AM44" s="2178"/>
      <c r="AN44" s="2178"/>
      <c r="AO44" s="2179"/>
      <c r="AP44" s="2177"/>
      <c r="AQ44" s="2178"/>
      <c r="AR44" s="2178"/>
      <c r="AS44" s="2179"/>
      <c r="AT44" s="1509" t="s">
        <v>474</v>
      </c>
      <c r="AU44" s="1509" t="s">
        <v>475</v>
      </c>
      <c r="AV44" s="1509" t="s">
        <v>474</v>
      </c>
      <c r="AW44" s="1509" t="s">
        <v>475</v>
      </c>
      <c r="AX44" s="1519" t="s">
        <v>438</v>
      </c>
      <c r="AY44" s="2121" t="s">
        <v>439</v>
      </c>
      <c r="AZ44" s="2122"/>
      <c r="BA44" s="2131"/>
      <c r="BB44" s="2134"/>
      <c r="BC44" s="1971"/>
    </row>
    <row s="2610" customFormat="1" customHeight="1" ht="0">
      <c r="A45" s="1400"/>
      <c r="B45" s="1400"/>
      <c r="C45" s="1400"/>
      <c r="D45" s="1400"/>
      <c r="E45" s="1400"/>
      <c r="F45" s="1400"/>
      <c r="G45" s="1400"/>
      <c r="H45" s="1400"/>
      <c r="I45" s="1400"/>
      <c r="J45" s="1400"/>
      <c r="K45" s="1400"/>
      <c r="L45" s="1394"/>
      <c r="M45" s="1392"/>
      <c r="N45" s="1392"/>
      <c r="O45" s="1392"/>
      <c r="P45" s="516"/>
      <c r="Q45" s="1280"/>
      <c r="R45" s="1280">
        <v>1</v>
      </c>
      <c r="S45" s="1307" t="s">
        <v>110</v>
      </c>
      <c r="T45" s="1281" t="s">
        <v>111</v>
      </c>
      <c r="U45" s="1263" t="str">
        <f>OFFSET(U45,0,-1)</f>
        <v>2</v>
      </c>
      <c r="V45" s="1512">
        <f>OFFSET(V45,0,-1)+1</f>
        <v>3</v>
      </c>
      <c r="W45" s="1512">
        <f>OFFSET(W45,0,-1)+1</f>
        <v>4</v>
      </c>
      <c r="X45" s="1512">
        <f>OFFSET(X45,0,-1)+1</f>
        <v>5</v>
      </c>
      <c r="Y45" s="1512">
        <f>OFFSET(Y45,0,-1)+1</f>
        <v>6</v>
      </c>
      <c r="Z45" s="1512">
        <f>OFFSET(Z45,0,-1)+1</f>
        <v>7</v>
      </c>
      <c r="AA45" s="2123">
        <f>OFFSET(AA45,0,-1)+1</f>
        <v>8</v>
      </c>
      <c r="AB45" s="2123"/>
      <c r="AC45" s="1512">
        <f>OFFSET(AC45,0,-2)+1</f>
        <v>9</v>
      </c>
      <c r="AD45" s="1512">
        <f>OFFSET(AD45,0,-1)+1</f>
        <v>10</v>
      </c>
      <c r="AE45" s="1512"/>
      <c r="AF45" s="1512"/>
      <c r="AG45" s="1512"/>
      <c r="AH45" s="1512"/>
      <c r="AI45" s="1512"/>
      <c r="AJ45" s="1512"/>
      <c r="AK45" s="1512"/>
      <c r="AL45" s="1512"/>
      <c r="AM45" s="1512"/>
      <c r="AN45" s="1512"/>
      <c r="AO45" s="1512"/>
      <c r="AP45" s="1512"/>
      <c r="AQ45" s="1512"/>
      <c r="AR45" s="1512"/>
      <c r="AS45" s="1512"/>
      <c r="AT45" s="1512"/>
      <c r="AU45" s="1512"/>
      <c r="AV45" s="1512"/>
      <c r="AW45" s="1512">
        <f>OFFSET(AW45,0,-1)+1</f>
        <v>1</v>
      </c>
      <c r="AX45" s="1512">
        <f>OFFSET(AX45,0,-1)+1</f>
        <v>2</v>
      </c>
      <c r="AY45" s="2123">
        <f>OFFSET(AY45,0,-1)+1</f>
        <v>3</v>
      </c>
      <c r="AZ45" s="2123"/>
      <c r="BA45" s="1512">
        <f>OFFSET(BA45,0,-2)+1</f>
        <v>4</v>
      </c>
      <c r="BB45" s="1263">
        <f>OFFSET(BB45,0,-1)</f>
        <v>4</v>
      </c>
      <c r="BC45" s="1512">
        <f>OFFSET(BC45,0,-1)+1</f>
        <v>5</v>
      </c>
      <c r="BD45" s="517"/>
      <c r="BE45" s="517"/>
      <c r="BF45" s="517"/>
      <c r="BG45" s="517"/>
      <c r="BH45" s="517"/>
    </row>
    <row customHeight="1" ht="21">
      <c r="A46" s="1393" t="s">
        <v>254</v>
      </c>
      <c r="B46" s="1393"/>
      <c r="C46" s="1393"/>
      <c r="D46" s="1393"/>
      <c r="E46" s="2107">
        <v>1</v>
      </c>
      <c r="F46" s="1393"/>
      <c r="G46" s="1393"/>
      <c r="H46" s="1393"/>
      <c r="I46" s="1393"/>
      <c r="J46" s="1393"/>
      <c r="K46" s="1393"/>
      <c r="L46" s="1394"/>
      <c r="M46" s="1395"/>
      <c r="N46" s="1395"/>
      <c r="O46" s="1395"/>
      <c r="P46" s="1439"/>
      <c r="Q46" s="879"/>
      <c r="R46" s="351"/>
      <c r="S46" s="1523">
        <f>INDEX(PT_DIFFERENTIATION_NUM_NTAR,MATCH(A46,PT_DIFFERENTIATION_NTAR_ID,0))</f>
        <v>0</v>
      </c>
      <c r="T46" s="286" t="s">
        <v>124</v>
      </c>
      <c r="U46" s="288"/>
      <c r="V46" s="2102"/>
      <c r="W46" s="2102"/>
      <c r="X46" s="2102"/>
      <c r="Y46" s="2102"/>
      <c r="Z46" s="2102"/>
      <c r="AA46" s="2102"/>
      <c r="AB46" s="2102"/>
      <c r="AC46" s="2103"/>
      <c r="AD46" s="2101" t="str">
        <f>INDEX(PT_DIFFERENTIATION_NTAR,MATCH(A46,PT_DIFFERENTIATION_NTAR_ID,0))</f>
        <v/>
      </c>
      <c r="AE46" s="2102"/>
      <c r="AF46" s="2102"/>
      <c r="AG46" s="2102"/>
      <c r="AH46" s="2102"/>
      <c r="AI46" s="2102"/>
      <c r="AJ46" s="2102"/>
      <c r="AK46" s="2102"/>
      <c r="AL46" s="2102"/>
      <c r="AM46" s="2102"/>
      <c r="AN46" s="2102"/>
      <c r="AO46" s="2102"/>
      <c r="AP46" s="2102"/>
      <c r="AQ46" s="2102"/>
      <c r="AR46" s="2102"/>
      <c r="AS46" s="2102"/>
      <c r="AT46" s="2102"/>
      <c r="AU46" s="2102"/>
      <c r="AV46" s="2102"/>
      <c r="AW46" s="2102"/>
      <c r="AX46" s="2102"/>
      <c r="AY46" s="2102"/>
      <c r="AZ46" s="2102"/>
      <c r="BA46" s="2102"/>
      <c r="BB46" s="2103"/>
      <c r="BC46"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6"/>
      <c r="BF46" s="506" t="str">
        <f>IF(T46="","",T46)</f>
        <v>Наименование тарифа</v>
      </c>
      <c r="BG46" s="506"/>
      <c r="BH46" s="506"/>
    </row>
    <row customHeight="1" ht="21">
      <c r="A47" s="1393" t="s">
        <v>254</v>
      </c>
      <c r="B47" s="1393" t="s">
        <v>255</v>
      </c>
      <c r="C47" s="1393"/>
      <c r="D47" s="1393"/>
      <c r="E47" s="2108"/>
      <c r="F47" s="2107">
        <v>1</v>
      </c>
      <c r="G47" s="1393"/>
      <c r="H47" s="1393"/>
      <c r="I47" s="1393"/>
      <c r="J47" s="1393"/>
      <c r="K47" s="1393"/>
      <c r="L47" s="1394"/>
      <c r="M47" s="1395"/>
      <c r="N47" s="1395"/>
      <c r="O47" s="1395"/>
      <c r="P47" s="1440"/>
      <c r="Q47" s="1441"/>
      <c r="R47" s="349"/>
      <c r="S47" s="1523" t="str">
        <f>INDEX(PT_DIFFERENTIATION_NUM_TER,MATCH(B47,PT_DIFFERENTIATION_TER_ID,0))</f>
        <v>.</v>
      </c>
      <c r="T47" s="298" t="s">
        <v>392</v>
      </c>
      <c r="U47" s="288"/>
      <c r="V47" s="2102"/>
      <c r="W47" s="2102"/>
      <c r="X47" s="2102"/>
      <c r="Y47" s="2102"/>
      <c r="Z47" s="2102"/>
      <c r="AA47" s="2102"/>
      <c r="AB47" s="2102"/>
      <c r="AC47" s="2103"/>
      <c r="AD47" s="2101" t="str">
        <f>INDEX(PT_DIFFERENTIATION_TER,MATCH(B47,PT_DIFFERENTIATION_TER_ID,0))</f>
        <v/>
      </c>
      <c r="AE47" s="2102"/>
      <c r="AF47" s="2102"/>
      <c r="AG47" s="2102"/>
      <c r="AH47" s="2102"/>
      <c r="AI47" s="2102"/>
      <c r="AJ47" s="2102"/>
      <c r="AK47" s="2102"/>
      <c r="AL47" s="2102"/>
      <c r="AM47" s="2102"/>
      <c r="AN47" s="2102"/>
      <c r="AO47" s="2102"/>
      <c r="AP47" s="2102"/>
      <c r="AQ47" s="2102"/>
      <c r="AR47" s="2102"/>
      <c r="AS47" s="2102"/>
      <c r="AT47" s="2102"/>
      <c r="AU47" s="2102"/>
      <c r="AV47" s="2102"/>
      <c r="AW47" s="2102"/>
      <c r="AX47" s="2102"/>
      <c r="AY47" s="2102"/>
      <c r="AZ47" s="2102"/>
      <c r="BA47" s="2102"/>
      <c r="BB47" s="2103"/>
      <c r="BC47" s="1286" t="s">
        <v>393</v>
      </c>
      <c r="BE47" s="506"/>
      <c r="BF47" s="506" t="str">
        <f>IF(T47="","",T47)</f>
        <v>Территория действия тарифа</v>
      </c>
      <c r="BG47" s="506"/>
      <c r="BH47" s="506"/>
    </row>
    <row customHeight="1" ht="33.75">
      <c r="A48" s="1393" t="s">
        <v>254</v>
      </c>
      <c r="B48" s="1393" t="s">
        <v>255</v>
      </c>
      <c r="C48" s="1393" t="s">
        <v>256</v>
      </c>
      <c r="D48" s="1393"/>
      <c r="E48" s="2108"/>
      <c r="F48" s="2108"/>
      <c r="G48" s="2107">
        <v>1</v>
      </c>
      <c r="H48" s="1393"/>
      <c r="I48" s="1393"/>
      <c r="J48" s="1393"/>
      <c r="K48" s="1393"/>
      <c r="L48" s="1394"/>
      <c r="M48" s="1395"/>
      <c r="N48" s="1395"/>
      <c r="O48" s="1395"/>
      <c r="P48" s="1442"/>
      <c r="Q48" s="1441"/>
      <c r="R48" s="349"/>
      <c r="S48" s="1523" t="str">
        <f>INDEX(PT_DIFFERENTIATION_NUM_CS,MATCH(C48,PT_DIFFERENTIATION_CS_ID,0))</f>
        <v>..</v>
      </c>
      <c r="T48" s="299" t="s">
        <v>524</v>
      </c>
      <c r="U48" s="288"/>
      <c r="V48" s="2102"/>
      <c r="W48" s="2102"/>
      <c r="X48" s="2102"/>
      <c r="Y48" s="2102"/>
      <c r="Z48" s="2102"/>
      <c r="AA48" s="2102"/>
      <c r="AB48" s="2102"/>
      <c r="AC48" s="2103"/>
      <c r="AD48" s="2101" t="str">
        <f>INDEX(PT_DIFFERENTIATION_CS,MATCH(C48,PT_DIFFERENTIATION_CS_ID,0))</f>
        <v/>
      </c>
      <c r="AE48" s="2102"/>
      <c r="AF48" s="2102"/>
      <c r="AG48" s="2102"/>
      <c r="AH48" s="2102"/>
      <c r="AI48" s="2102"/>
      <c r="AJ48" s="2102"/>
      <c r="AK48" s="2102"/>
      <c r="AL48" s="2102"/>
      <c r="AM48" s="2102"/>
      <c r="AN48" s="2102"/>
      <c r="AO48" s="2102"/>
      <c r="AP48" s="2102"/>
      <c r="AQ48" s="2102"/>
      <c r="AR48" s="2102"/>
      <c r="AS48" s="2102"/>
      <c r="AT48" s="2102"/>
      <c r="AU48" s="2102"/>
      <c r="AV48" s="2102"/>
      <c r="AW48" s="2102"/>
      <c r="AX48" s="2102"/>
      <c r="AY48" s="2102"/>
      <c r="AZ48" s="2102"/>
      <c r="BA48" s="2102"/>
      <c r="BB48" s="2103"/>
      <c r="BC48" s="1286" t="s">
        <v>525</v>
      </c>
      <c r="BE48" s="506"/>
      <c r="BF48" s="506" t="str">
        <f>IF(T48="","",T48)</f>
        <v>Наименование централизованной системы горячего водоснабжения</v>
      </c>
      <c r="BG48" s="506"/>
      <c r="BH48" s="506"/>
    </row>
    <row s="2611" customFormat="1" customHeight="1" ht="0">
      <c r="A49" s="1373" t="s">
        <v>254</v>
      </c>
      <c r="B49" s="1373" t="s">
        <v>255</v>
      </c>
      <c r="C49" s="1373" t="s">
        <v>256</v>
      </c>
      <c r="D49" s="1373" t="s">
        <v>532</v>
      </c>
      <c r="E49" s="2108"/>
      <c r="F49" s="2108"/>
      <c r="G49" s="2108"/>
      <c r="H49" s="2107">
        <v>1</v>
      </c>
      <c r="I49" s="1373"/>
      <c r="J49" s="1373"/>
      <c r="K49" s="1373"/>
      <c r="L49" s="1376"/>
      <c r="M49" s="1345"/>
      <c r="N49" s="1345"/>
      <c r="O49" s="1345"/>
      <c r="P49" s="1527"/>
      <c r="Q49" s="1528"/>
      <c r="R49" s="353"/>
      <c r="S49" s="1049"/>
      <c r="T49" s="1529"/>
      <c r="U49" s="1414"/>
      <c r="V49" s="2148"/>
      <c r="W49" s="2148"/>
      <c r="X49" s="2148"/>
      <c r="Y49" s="2148"/>
      <c r="Z49" s="2148"/>
      <c r="AA49" s="2148"/>
      <c r="AB49" s="2148"/>
      <c r="AC49" s="2149"/>
      <c r="AD49" s="2147"/>
      <c r="AE49" s="2148"/>
      <c r="AF49" s="2148"/>
      <c r="AG49" s="2148"/>
      <c r="AH49" s="2148"/>
      <c r="AI49" s="2148"/>
      <c r="AJ49" s="2148"/>
      <c r="AK49" s="2148"/>
      <c r="AL49" s="2148"/>
      <c r="AM49" s="2148"/>
      <c r="AN49" s="2148"/>
      <c r="AO49" s="2148"/>
      <c r="AP49" s="2148"/>
      <c r="AQ49" s="2148"/>
      <c r="AR49" s="2148"/>
      <c r="AS49" s="2148"/>
      <c r="AT49" s="2148"/>
      <c r="AU49" s="2148"/>
      <c r="AV49" s="2148"/>
      <c r="AW49" s="2148"/>
      <c r="AX49" s="2148"/>
      <c r="AY49" s="2148"/>
      <c r="AZ49" s="2148"/>
      <c r="BA49" s="2148"/>
      <c r="BB49" s="2149"/>
      <c r="BC49" s="1415" t="s">
        <v>397</v>
      </c>
      <c r="BE49" s="506"/>
      <c r="BF49" s="506" t="str">
        <f>IF(T49="","",T49)</f>
        <v/>
      </c>
      <c r="BG49" s="506"/>
      <c r="BH49" s="506"/>
    </row>
    <row s="2611" customFormat="1" customHeight="1" ht="0">
      <c r="A50" s="1373" t="s">
        <v>254</v>
      </c>
      <c r="B50" s="1373" t="s">
        <v>255</v>
      </c>
      <c r="C50" s="1373" t="s">
        <v>256</v>
      </c>
      <c r="D50" s="1373" t="s">
        <v>532</v>
      </c>
      <c r="E50" s="2108"/>
      <c r="F50" s="2108"/>
      <c r="G50" s="2108"/>
      <c r="H50" s="2108"/>
      <c r="I50" s="2109" t="str">
        <f>S49&amp;".1"</f>
        <v>.1</v>
      </c>
      <c r="J50" s="1373"/>
      <c r="K50" s="1373"/>
      <c r="L50" s="1376" t="s">
        <v>398</v>
      </c>
      <c r="M50" s="516"/>
      <c r="N50" s="516"/>
      <c r="O50" s="516"/>
      <c r="P50" s="2111">
        <v>1</v>
      </c>
      <c r="Q50" s="1511"/>
      <c r="R50" s="352"/>
      <c r="S50" s="1049"/>
      <c r="T50" s="1413"/>
      <c r="U50" s="1414"/>
      <c r="V50" s="2148"/>
      <c r="W50" s="2148"/>
      <c r="X50" s="2148"/>
      <c r="Y50" s="2148"/>
      <c r="Z50" s="2148"/>
      <c r="AA50" s="2148"/>
      <c r="AB50" s="2148"/>
      <c r="AC50" s="2149"/>
      <c r="AD50" s="2147"/>
      <c r="AE50" s="2148"/>
      <c r="AF50" s="2148"/>
      <c r="AG50" s="2148"/>
      <c r="AH50" s="2148"/>
      <c r="AI50" s="2148"/>
      <c r="AJ50" s="2148"/>
      <c r="AK50" s="2148"/>
      <c r="AL50" s="2148"/>
      <c r="AM50" s="2148"/>
      <c r="AN50" s="2148"/>
      <c r="AO50" s="2148"/>
      <c r="AP50" s="2148"/>
      <c r="AQ50" s="2148"/>
      <c r="AR50" s="2148"/>
      <c r="AS50" s="2148"/>
      <c r="AT50" s="2148"/>
      <c r="AU50" s="2148"/>
      <c r="AV50" s="2148"/>
      <c r="AW50" s="2148"/>
      <c r="AX50" s="2148"/>
      <c r="AY50" s="2148"/>
      <c r="AZ50" s="2148"/>
      <c r="BA50" s="2148"/>
      <c r="BB50" s="2149"/>
      <c r="BC50" s="1415"/>
      <c r="BE50" s="506"/>
      <c r="BF50" s="506" t="str">
        <f>IF(T50="","",T50)</f>
        <v/>
      </c>
      <c r="BG50" s="506"/>
      <c r="BH50" s="506"/>
    </row>
    <row s="2611" customFormat="1" customHeight="1" ht="0">
      <c r="A51" s="1373" t="s">
        <v>254</v>
      </c>
      <c r="B51" s="1373" t="s">
        <v>255</v>
      </c>
      <c r="C51" s="1373" t="s">
        <v>256</v>
      </c>
      <c r="D51" s="1373" t="s">
        <v>532</v>
      </c>
      <c r="E51" s="2108"/>
      <c r="F51" s="2108"/>
      <c r="G51" s="2108"/>
      <c r="H51" s="2108"/>
      <c r="I51" s="2110"/>
      <c r="J51" s="2109" t="str">
        <f>S49&amp;".1"</f>
        <v>.1</v>
      </c>
      <c r="K51" s="1373"/>
      <c r="L51" s="1376"/>
      <c r="M51" s="516"/>
      <c r="N51" s="516"/>
      <c r="O51" s="516"/>
      <c r="P51" s="2111"/>
      <c r="Q51" s="2111">
        <v>1</v>
      </c>
      <c r="R51" s="353"/>
      <c r="S51" s="1049"/>
      <c r="T51" s="1429"/>
      <c r="U51" s="1414"/>
      <c r="V51" s="2148"/>
      <c r="W51" s="2148"/>
      <c r="X51" s="2148"/>
      <c r="Y51" s="2148"/>
      <c r="Z51" s="2148"/>
      <c r="AA51" s="2148"/>
      <c r="AB51" s="2148"/>
      <c r="AC51" s="2149"/>
      <c r="AD51" s="2147"/>
      <c r="AE51" s="2148"/>
      <c r="AF51" s="2148"/>
      <c r="AG51" s="2148"/>
      <c r="AH51" s="2148"/>
      <c r="AI51" s="2148"/>
      <c r="AJ51" s="2148"/>
      <c r="AK51" s="2148"/>
      <c r="AL51" s="2148"/>
      <c r="AM51" s="2148"/>
      <c r="AN51" s="2209"/>
      <c r="AO51" s="2209"/>
      <c r="AP51" s="2148"/>
      <c r="AQ51" s="2148"/>
      <c r="AR51" s="2148"/>
      <c r="AS51" s="2148"/>
      <c r="AT51" s="2148"/>
      <c r="AU51" s="2148"/>
      <c r="AV51" s="2148"/>
      <c r="AW51" s="2148"/>
      <c r="AX51" s="2148"/>
      <c r="AY51" s="2148"/>
      <c r="AZ51" s="2148"/>
      <c r="BA51" s="2148"/>
      <c r="BB51" s="2149"/>
      <c r="BC51" s="1415"/>
      <c r="BE51" s="506"/>
      <c r="BF51" s="506" t="str">
        <f>IF(T51="","",T51)</f>
        <v/>
      </c>
      <c r="BG51" s="506"/>
      <c r="BH51" s="506"/>
    </row>
    <row customHeight="1" ht="11.25">
      <c r="A52" s="1393" t="s">
        <v>254</v>
      </c>
      <c r="B52" s="1393" t="s">
        <v>255</v>
      </c>
      <c r="C52" s="1393" t="s">
        <v>256</v>
      </c>
      <c r="D52" s="1393" t="s">
        <v>532</v>
      </c>
      <c r="E52" s="2108"/>
      <c r="F52" s="2108"/>
      <c r="G52" s="2108"/>
      <c r="H52" s="2108"/>
      <c r="I52" s="2110"/>
      <c r="J52" s="2110"/>
      <c r="K52" s="2109" t="str">
        <f>S48&amp;".1"</f>
        <v>...1</v>
      </c>
      <c r="L52" s="1394"/>
      <c r="P52" s="2111"/>
      <c r="Q52" s="2111"/>
      <c r="R52" s="353">
        <v>1</v>
      </c>
      <c r="S52" s="2184" t="str">
        <f>$K52</f>
        <v>...1</v>
      </c>
      <c r="T52" s="2203"/>
      <c r="U52" s="288"/>
      <c r="V52" s="757"/>
      <c r="W52" s="1285"/>
      <c r="X52" s="757"/>
      <c r="Y52" s="1285"/>
      <c r="Z52" s="1774"/>
      <c r="AA52" s="1499" t="s">
        <v>62</v>
      </c>
      <c r="AB52" s="1774"/>
      <c r="AC52" s="1499" t="s">
        <v>62</v>
      </c>
      <c r="AD52" s="2044" t="s">
        <v>62</v>
      </c>
      <c r="AE52" s="2180"/>
      <c r="AF52" s="2057">
        <v>1</v>
      </c>
      <c r="AG52" s="2202"/>
      <c r="AH52" s="1981" t="s">
        <v>62</v>
      </c>
      <c r="AI52" s="2180"/>
      <c r="AJ52" s="2057">
        <v>1</v>
      </c>
      <c r="AK52" s="2201" t="s">
        <v>24</v>
      </c>
      <c r="AL52" s="1981" t="s">
        <v>62</v>
      </c>
      <c r="AM52" s="2029"/>
      <c r="AN52" s="2057">
        <v>1</v>
      </c>
      <c r="AO52" s="2206"/>
      <c r="AP52" s="2207" t="s">
        <v>62</v>
      </c>
      <c r="AQ52" s="301"/>
      <c r="AR52" s="1516">
        <v>1</v>
      </c>
      <c r="AS52" s="1522" t="s">
        <v>24</v>
      </c>
      <c r="AT52" s="757"/>
      <c r="AU52" s="1285"/>
      <c r="AV52" s="757"/>
      <c r="AW52" s="1285"/>
      <c r="AX52" s="1774"/>
      <c r="AY52" s="1499" t="s">
        <v>62</v>
      </c>
      <c r="AZ52" s="1774"/>
      <c r="BA52" s="1499" t="s">
        <v>62</v>
      </c>
      <c r="BB52" s="1378"/>
      <c r="BC52" s="2137" t="s">
        <v>495</v>
      </c>
      <c r="BE52" s="506"/>
      <c r="BF52" s="506" t="str">
        <f>IF(T52="","",T52)</f>
        <v/>
      </c>
      <c r="BG52" s="506"/>
      <c r="BH52" s="506"/>
    </row>
    <row customHeight="1" ht="11.25">
      <c r="A53" s="1393"/>
      <c r="B53" s="1393"/>
      <c r="C53" s="1393"/>
      <c r="D53" s="1393"/>
      <c r="E53" s="2108"/>
      <c r="F53" s="2108"/>
      <c r="G53" s="2108"/>
      <c r="H53" s="2108"/>
      <c r="I53" s="2110"/>
      <c r="J53" s="2110"/>
      <c r="K53" s="2109"/>
      <c r="L53" s="1394"/>
      <c r="P53" s="2111"/>
      <c r="Q53" s="2111"/>
      <c r="R53" s="353"/>
      <c r="S53" s="2185"/>
      <c r="T53" s="2204"/>
      <c r="U53" s="288"/>
      <c r="V53" s="1423"/>
      <c r="W53" s="1526"/>
      <c r="X53" s="1423"/>
      <c r="Y53" s="1526"/>
      <c r="Z53" s="1423"/>
      <c r="AA53" s="1423"/>
      <c r="AB53" s="1423"/>
      <c r="AC53" s="1423"/>
      <c r="AD53" s="2045"/>
      <c r="AE53" s="2180"/>
      <c r="AF53" s="2057"/>
      <c r="AG53" s="2202"/>
      <c r="AH53" s="1981"/>
      <c r="AI53" s="2180"/>
      <c r="AJ53" s="2057"/>
      <c r="AK53" s="2201"/>
      <c r="AL53" s="1981"/>
      <c r="AM53" s="2037"/>
      <c r="AN53" s="2057"/>
      <c r="AO53" s="2206"/>
      <c r="AP53" s="2208"/>
      <c r="AQ53" s="308"/>
      <c r="AR53" s="422"/>
      <c r="AS53" s="422" t="s">
        <v>496</v>
      </c>
      <c r="AT53" s="1423"/>
      <c r="AU53" s="1526"/>
      <c r="AV53" s="1423"/>
      <c r="AW53" s="1526"/>
      <c r="AX53" s="1423"/>
      <c r="AY53" s="1423"/>
      <c r="AZ53" s="1423"/>
      <c r="BA53" s="1423"/>
      <c r="BB53" s="1427"/>
      <c r="BC53" s="2138"/>
      <c r="BE53" s="506"/>
      <c r="BF53" s="506"/>
      <c r="BG53" s="506"/>
      <c r="BH53" s="506"/>
    </row>
    <row customHeight="1" ht="11.25">
      <c r="A54" s="1393" t="s">
        <v>254</v>
      </c>
      <c r="B54" s="1393"/>
      <c r="C54" s="1393"/>
      <c r="D54" s="1393"/>
      <c r="E54" s="2108"/>
      <c r="F54" s="2108"/>
      <c r="G54" s="2108"/>
      <c r="H54" s="2108"/>
      <c r="I54" s="2110"/>
      <c r="J54" s="2110"/>
      <c r="K54" s="2109"/>
      <c r="L54" s="1394"/>
      <c r="P54" s="2111"/>
      <c r="Q54" s="2111"/>
      <c r="R54" s="353"/>
      <c r="S54" s="2185"/>
      <c r="T54" s="2204"/>
      <c r="U54" s="288"/>
      <c r="V54" s="1423"/>
      <c r="W54" s="1526"/>
      <c r="X54" s="1423"/>
      <c r="Y54" s="1526"/>
      <c r="Z54" s="1423"/>
      <c r="AA54" s="1423"/>
      <c r="AB54" s="1423"/>
      <c r="AC54" s="1423"/>
      <c r="AD54" s="2045"/>
      <c r="AE54" s="2180"/>
      <c r="AF54" s="2057"/>
      <c r="AG54" s="2202"/>
      <c r="AH54" s="1981"/>
      <c r="AI54" s="2180"/>
      <c r="AJ54" s="2057"/>
      <c r="AK54" s="2201"/>
      <c r="AL54" s="1981"/>
      <c r="AM54" s="308"/>
      <c r="AN54" s="1530"/>
      <c r="AO54" s="1530" t="s">
        <v>497</v>
      </c>
      <c r="AP54" s="422"/>
      <c r="AQ54" s="422"/>
      <c r="AR54" s="422"/>
      <c r="AS54" s="1423"/>
      <c r="AT54" s="1423"/>
      <c r="AU54" s="1526"/>
      <c r="AV54" s="1423"/>
      <c r="AW54" s="1526"/>
      <c r="AX54" s="1423"/>
      <c r="AY54" s="1423"/>
      <c r="AZ54" s="1423"/>
      <c r="BA54" s="1423"/>
      <c r="BB54" s="1427"/>
      <c r="BC54" s="2138"/>
      <c r="BE54" s="506"/>
      <c r="BF54" s="506"/>
      <c r="BG54" s="506"/>
      <c r="BH54" s="506"/>
    </row>
    <row customHeight="1" ht="11.25">
      <c r="A55" s="1393" t="s">
        <v>254</v>
      </c>
      <c r="B55" s="1393"/>
      <c r="C55" s="1393"/>
      <c r="D55" s="1393"/>
      <c r="E55" s="2108"/>
      <c r="F55" s="2108"/>
      <c r="G55" s="2108"/>
      <c r="H55" s="2108"/>
      <c r="I55" s="2110"/>
      <c r="J55" s="2110"/>
      <c r="K55" s="2109"/>
      <c r="L55" s="1394"/>
      <c r="P55" s="2111"/>
      <c r="Q55" s="2111"/>
      <c r="R55" s="353"/>
      <c r="S55" s="2185"/>
      <c r="T55" s="2204"/>
      <c r="U55" s="288"/>
      <c r="V55" s="1423"/>
      <c r="W55" s="1526"/>
      <c r="X55" s="1423"/>
      <c r="Y55" s="1526"/>
      <c r="Z55" s="1423"/>
      <c r="AA55" s="1423"/>
      <c r="AB55" s="1423"/>
      <c r="AC55" s="1423"/>
      <c r="AD55" s="2045"/>
      <c r="AE55" s="2180"/>
      <c r="AF55" s="2057"/>
      <c r="AG55" s="2202"/>
      <c r="AH55" s="1981"/>
      <c r="AI55" s="282"/>
      <c r="AJ55" s="421"/>
      <c r="AK55" s="303" t="s">
        <v>498</v>
      </c>
      <c r="AL55" s="1423"/>
      <c r="AM55" s="1423"/>
      <c r="AN55" s="1423"/>
      <c r="AO55" s="1423"/>
      <c r="AP55" s="1423"/>
      <c r="AQ55" s="1423"/>
      <c r="AR55" s="1423"/>
      <c r="AS55" s="1423"/>
      <c r="AT55" s="1423"/>
      <c r="AU55" s="1526"/>
      <c r="AV55" s="1423"/>
      <c r="AW55" s="1526"/>
      <c r="AX55" s="1423"/>
      <c r="AY55" s="1423"/>
      <c r="AZ55" s="1423"/>
      <c r="BA55" s="1423"/>
      <c r="BB55" s="1427"/>
      <c r="BC55" s="2138"/>
      <c r="BE55" s="506"/>
      <c r="BF55" s="506"/>
      <c r="BG55" s="506"/>
      <c r="BH55" s="506"/>
    </row>
    <row customHeight="1" ht="11.25">
      <c r="A56" s="1393" t="s">
        <v>254</v>
      </c>
      <c r="B56" s="1393" t="s">
        <v>255</v>
      </c>
      <c r="C56" s="1393" t="s">
        <v>256</v>
      </c>
      <c r="D56" s="1393" t="s">
        <v>532</v>
      </c>
      <c r="E56" s="2108"/>
      <c r="F56" s="2108"/>
      <c r="G56" s="2108"/>
      <c r="H56" s="2108"/>
      <c r="I56" s="2110"/>
      <c r="J56" s="2110"/>
      <c r="K56" s="2109"/>
      <c r="L56" s="1394"/>
      <c r="P56" s="2111"/>
      <c r="Q56" s="2111"/>
      <c r="R56" s="353"/>
      <c r="S56" s="2186"/>
      <c r="T56" s="2205"/>
      <c r="U56" s="288"/>
      <c r="V56" s="1423"/>
      <c r="W56" s="1424" t="str">
        <f>Z52&amp;"-"&amp;AB52</f>
        <v>-</v>
      </c>
      <c r="X56" s="1423"/>
      <c r="Y56" s="1424" t="str">
        <f>AB52&amp;"-"&amp;AD52</f>
        <v>-да</v>
      </c>
      <c r="Z56" s="1423"/>
      <c r="AA56" s="1423"/>
      <c r="AB56" s="1423"/>
      <c r="AC56" s="1423"/>
      <c r="AD56" s="1986"/>
      <c r="AE56" s="302"/>
      <c r="AF56" s="304"/>
      <c r="AG56" s="422" t="s">
        <v>499</v>
      </c>
      <c r="AH56" s="1423"/>
      <c r="AI56" s="1423"/>
      <c r="AJ56" s="1423"/>
      <c r="AK56" s="1423"/>
      <c r="AL56" s="1423"/>
      <c r="AM56" s="1423"/>
      <c r="AN56" s="1423"/>
      <c r="AO56" s="1423"/>
      <c r="AP56" s="1423"/>
      <c r="AQ56" s="1423"/>
      <c r="AR56" s="1423"/>
      <c r="AS56" s="1423"/>
      <c r="AT56" s="1423"/>
      <c r="AU56" s="1424" t="str">
        <f>AX52&amp;"-"&amp;AZ52</f>
        <v>-</v>
      </c>
      <c r="AV56" s="1423"/>
      <c r="AW56" s="1424" t="str">
        <f>AZ52&amp;"-"&amp;BB52</f>
        <v>-</v>
      </c>
      <c r="AX56" s="1423"/>
      <c r="AY56" s="1423"/>
      <c r="AZ56" s="1423"/>
      <c r="BA56" s="1423"/>
      <c r="BB56" s="1426" t="str">
        <f>BE52&amp;"-"&amp;BG52</f>
        <v>-</v>
      </c>
      <c r="BC56" s="2138"/>
      <c r="BE56" s="506"/>
      <c r="BF56" s="506" t="str">
        <f>IF(T56="","",T56)</f>
        <v/>
      </c>
      <c r="BG56" s="506"/>
      <c r="BH56" s="506"/>
    </row>
    <row customHeight="1" ht="11.25">
      <c r="A57" s="1393" t="s">
        <v>254</v>
      </c>
      <c r="B57" s="1393" t="s">
        <v>255</v>
      </c>
      <c r="C57" s="1393" t="s">
        <v>256</v>
      </c>
      <c r="D57" s="1393" t="s">
        <v>532</v>
      </c>
      <c r="E57" s="2108"/>
      <c r="F57" s="2108"/>
      <c r="G57" s="2108"/>
      <c r="H57" s="2108"/>
      <c r="I57" s="2110"/>
      <c r="J57" s="2109"/>
      <c r="K57" s="1393"/>
      <c r="L57" s="1394"/>
      <c r="P57" s="2111"/>
      <c r="Q57" s="2111"/>
      <c r="R57" s="352"/>
      <c r="S57" s="1308"/>
      <c r="T57" s="275" t="s">
        <v>463</v>
      </c>
      <c r="U57" s="367"/>
      <c r="V57" s="367"/>
      <c r="W57" s="367"/>
      <c r="X57" s="367"/>
      <c r="Y57" s="367"/>
      <c r="Z57" s="367"/>
      <c r="AA57" s="367"/>
      <c r="AB57" s="367"/>
      <c r="AC57" s="319"/>
      <c r="AD57" s="153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39"/>
      <c r="BE57" s="506"/>
      <c r="BF57" s="506" t="str">
        <f>IF(T57="","",T57)</f>
        <v>Добавить строку</v>
      </c>
      <c r="BG57" s="506"/>
      <c r="BH57" s="506"/>
    </row>
    <row s="2611" customFormat="1" customHeight="1" ht="0">
      <c r="A58" s="1373" t="s">
        <v>254</v>
      </c>
      <c r="B58" s="1373" t="s">
        <v>255</v>
      </c>
      <c r="C58" s="1373" t="s">
        <v>256</v>
      </c>
      <c r="D58" s="1373" t="s">
        <v>532</v>
      </c>
      <c r="E58" s="2108"/>
      <c r="F58" s="2108"/>
      <c r="G58" s="2108"/>
      <c r="H58" s="2108"/>
      <c r="I58" s="2109"/>
      <c r="J58" s="1373"/>
      <c r="K58" s="1373"/>
      <c r="L58" s="1376"/>
      <c r="M58" s="516"/>
      <c r="N58" s="516"/>
      <c r="O58" s="516"/>
      <c r="P58" s="2111"/>
      <c r="Q58" s="1511"/>
      <c r="R58" s="352"/>
      <c r="S58" s="1416"/>
      <c r="T58" s="1417"/>
      <c r="U58" s="1418"/>
      <c r="V58" s="1418"/>
      <c r="W58" s="1418"/>
      <c r="X58" s="1418"/>
      <c r="Y58" s="1418"/>
      <c r="Z58" s="1418"/>
      <c r="AA58" s="1418"/>
      <c r="AB58" s="1418"/>
      <c r="AC58" s="1418"/>
      <c r="AD58" s="1418"/>
      <c r="AE58" s="1418"/>
      <c r="AF58" s="1418"/>
      <c r="AG58" s="1418"/>
      <c r="AH58" s="1418"/>
      <c r="AI58" s="1418"/>
      <c r="AJ58" s="1418"/>
      <c r="AK58" s="1418"/>
      <c r="AL58" s="1418"/>
      <c r="AM58" s="1418"/>
      <c r="AN58" s="1418"/>
      <c r="AO58" s="1418"/>
      <c r="AP58" s="1418"/>
      <c r="AQ58" s="1418"/>
      <c r="AR58" s="1418"/>
      <c r="AS58" s="1418"/>
      <c r="AT58" s="1418"/>
      <c r="AU58" s="1418"/>
      <c r="AV58" s="1418"/>
      <c r="AW58" s="1418"/>
      <c r="AX58" s="1418"/>
      <c r="AY58" s="1418"/>
      <c r="AZ58" s="1418"/>
      <c r="BA58" s="1418"/>
      <c r="BB58" s="1418"/>
      <c r="BC58" s="1419"/>
      <c r="BE58" s="506"/>
      <c r="BF58" s="506" t="str">
        <f>IF(T58="","",T58)</f>
        <v/>
      </c>
      <c r="BG58" s="506"/>
      <c r="BH58" s="506"/>
    </row>
    <row s="2611" customFormat="1" customHeight="1" ht="0">
      <c r="A59" s="1373" t="s">
        <v>254</v>
      </c>
      <c r="B59" s="1373" t="s">
        <v>255</v>
      </c>
      <c r="C59" s="1373" t="s">
        <v>256</v>
      </c>
      <c r="D59" s="1373" t="s">
        <v>532</v>
      </c>
      <c r="E59" s="2108"/>
      <c r="F59" s="2108"/>
      <c r="G59" s="2108"/>
      <c r="H59" s="2107"/>
      <c r="I59" s="1373"/>
      <c r="J59" s="1373"/>
      <c r="K59" s="1373"/>
      <c r="L59" s="1376"/>
      <c r="M59" s="1345"/>
      <c r="N59" s="1345"/>
      <c r="O59" s="524"/>
      <c r="P59" s="385"/>
      <c r="Q59" s="1374"/>
      <c r="R59" s="1431"/>
      <c r="S59" s="1416"/>
      <c r="T59" s="1417"/>
      <c r="U59" s="1418"/>
      <c r="V59" s="1418"/>
      <c r="W59" s="1418"/>
      <c r="X59" s="1418"/>
      <c r="Y59" s="1418"/>
      <c r="Z59" s="1418"/>
      <c r="AA59" s="1418"/>
      <c r="AB59" s="1418"/>
      <c r="AC59" s="1418"/>
      <c r="AD59" s="1418"/>
      <c r="AE59" s="1418"/>
      <c r="AF59" s="1418"/>
      <c r="AG59" s="1418"/>
      <c r="AH59" s="1418"/>
      <c r="AI59" s="1418"/>
      <c r="AJ59" s="1418"/>
      <c r="AK59" s="1418"/>
      <c r="AL59" s="1418"/>
      <c r="AM59" s="1418"/>
      <c r="AN59" s="1418"/>
      <c r="AO59" s="1418"/>
      <c r="AP59" s="1418"/>
      <c r="AQ59" s="1418"/>
      <c r="AR59" s="1418"/>
      <c r="AS59" s="1418"/>
      <c r="AT59" s="1418"/>
      <c r="AU59" s="1418"/>
      <c r="AV59" s="1418"/>
      <c r="AW59" s="1418"/>
      <c r="AX59" s="1418"/>
      <c r="AY59" s="1418"/>
      <c r="AZ59" s="1418"/>
      <c r="BA59" s="1418"/>
      <c r="BB59" s="1418"/>
      <c r="BC59" s="1419"/>
      <c r="BE59" s="506"/>
      <c r="BF59" s="506" t="str">
        <f>IF(T59="","",T59)</f>
        <v/>
      </c>
      <c r="BG59" s="506"/>
      <c r="BH59" s="506"/>
    </row>
    <row s="3273" customFormat="1" customHeight="1" ht="0">
      <c r="A60" s="1373" t="s">
        <v>254</v>
      </c>
      <c r="B60" s="1373" t="s">
        <v>255</v>
      </c>
      <c r="C60" s="1373" t="s">
        <v>256</v>
      </c>
      <c r="D60" s="1344"/>
      <c r="E60" s="2108"/>
      <c r="F60" s="2108"/>
      <c r="G60" s="2107"/>
      <c r="H60" s="1344"/>
      <c r="I60" s="1344"/>
      <c r="J60" s="1344"/>
      <c r="K60" s="1344"/>
      <c r="L60" s="1524"/>
      <c r="M60" s="1345"/>
      <c r="N60" s="1345"/>
      <c r="P60" s="1346"/>
      <c r="Q60" s="1347"/>
      <c r="R60" s="1346"/>
      <c r="S60" s="1352"/>
      <c r="T60" s="1355"/>
      <c r="U60" s="1354"/>
      <c r="V60" s="1354"/>
      <c r="W60" s="1354"/>
      <c r="X60" s="1354"/>
      <c r="Y60" s="1354"/>
      <c r="Z60" s="1354"/>
      <c r="AA60" s="1354"/>
      <c r="AB60" s="1354"/>
      <c r="AC60" s="1354"/>
      <c r="AD60" s="1354"/>
      <c r="AE60" s="1354"/>
      <c r="AF60" s="1354"/>
      <c r="AG60" s="1354"/>
      <c r="AH60" s="1354"/>
      <c r="AI60" s="1354"/>
      <c r="AJ60" s="1354"/>
      <c r="AK60" s="1354"/>
      <c r="AL60" s="1354"/>
      <c r="AM60" s="1354"/>
      <c r="AN60" s="1354"/>
      <c r="AO60" s="1354"/>
      <c r="AP60" s="1354"/>
      <c r="AQ60" s="1354"/>
      <c r="AR60" s="1354"/>
      <c r="AS60" s="1354"/>
      <c r="AT60" s="1354"/>
      <c r="AU60" s="1354"/>
      <c r="AV60" s="1354"/>
      <c r="AW60" s="1354"/>
      <c r="AX60" s="1354"/>
      <c r="AY60" s="1354"/>
      <c r="AZ60" s="1354"/>
      <c r="BA60" s="1354"/>
      <c r="BB60" s="1354"/>
      <c r="BC60" s="1354"/>
      <c r="BE60" s="795"/>
      <c r="BF60" s="795" t="str">
        <f>IF(T60="","",T60)</f>
        <v/>
      </c>
      <c r="BG60" s="795"/>
      <c r="BH60" s="795"/>
    </row>
    <row s="3273" customFormat="1" customHeight="1" ht="0">
      <c r="A61" s="1373" t="s">
        <v>254</v>
      </c>
      <c r="B61" s="1373" t="s">
        <v>255</v>
      </c>
      <c r="C61" s="1344"/>
      <c r="D61" s="1344"/>
      <c r="E61" s="2108"/>
      <c r="F61" s="2107"/>
      <c r="G61" s="1344"/>
      <c r="H61" s="1344"/>
      <c r="I61" s="1344"/>
      <c r="J61" s="1344"/>
      <c r="K61" s="1344"/>
      <c r="L61" s="1524"/>
      <c r="M61" s="1351"/>
      <c r="N61" s="1351"/>
      <c r="P61" s="1346"/>
      <c r="Q61" s="1347"/>
      <c r="R61" s="1346"/>
      <c r="S61" s="1352"/>
      <c r="T61" s="1355" t="s">
        <v>182</v>
      </c>
      <c r="U61" s="1354"/>
      <c r="V61" s="1354"/>
      <c r="W61" s="1354"/>
      <c r="X61" s="1354"/>
      <c r="Y61" s="1354"/>
      <c r="Z61" s="1354"/>
      <c r="AA61" s="1354"/>
      <c r="AB61" s="1354"/>
      <c r="AC61" s="1354"/>
      <c r="AD61" s="1354"/>
      <c r="AE61" s="1354"/>
      <c r="AF61" s="1354"/>
      <c r="AG61" s="1354"/>
      <c r="AH61" s="1354"/>
      <c r="AI61" s="1354"/>
      <c r="AJ61" s="1354"/>
      <c r="AK61" s="1354"/>
      <c r="AL61" s="1354"/>
      <c r="AM61" s="1354"/>
      <c r="AN61" s="1354"/>
      <c r="AO61" s="1354"/>
      <c r="AP61" s="1354"/>
      <c r="AQ61" s="1354"/>
      <c r="AR61" s="1354"/>
      <c r="AS61" s="1354"/>
      <c r="AT61" s="1354"/>
      <c r="AU61" s="1354"/>
      <c r="AV61" s="1354"/>
      <c r="AW61" s="1354"/>
      <c r="AX61" s="1354"/>
      <c r="AY61" s="1354"/>
      <c r="AZ61" s="1354"/>
      <c r="BA61" s="1354"/>
      <c r="BB61" s="1354"/>
      <c r="BC61" s="1354"/>
      <c r="BE61" s="795"/>
      <c r="BF61" s="795" t="str">
        <f>IF(T61="","",T61)</f>
        <v>Добавить централизованную систему для дифференциации</v>
      </c>
      <c r="BG61" s="795"/>
      <c r="BH61" s="795"/>
    </row>
    <row s="2611" customFormat="1" customHeight="1" ht="0">
      <c r="A62" s="1373" t="s">
        <v>254</v>
      </c>
      <c r="B62" s="1373"/>
      <c r="C62" s="1373"/>
      <c r="D62" s="1373"/>
      <c r="E62" s="2107"/>
      <c r="F62" s="1373"/>
      <c r="G62" s="1373"/>
      <c r="H62" s="1373"/>
      <c r="I62" s="1373"/>
      <c r="J62" s="1373"/>
      <c r="K62" s="1373"/>
      <c r="L62" s="1376"/>
      <c r="M62" s="1351"/>
      <c r="N62" s="1351"/>
      <c r="O62" s="524"/>
      <c r="P62" s="385"/>
      <c r="Q62" s="1374"/>
      <c r="R62" s="385"/>
      <c r="S62" s="1352"/>
      <c r="T62" s="1355" t="s">
        <v>183</v>
      </c>
      <c r="U62" s="1354"/>
      <c r="V62" s="1354"/>
      <c r="W62" s="1354"/>
      <c r="X62" s="1354"/>
      <c r="Y62" s="1354"/>
      <c r="Z62" s="1354"/>
      <c r="AA62" s="1354"/>
      <c r="AB62" s="1354"/>
      <c r="AC62" s="1354"/>
      <c r="AD62" s="1354"/>
      <c r="AE62" s="1354"/>
      <c r="AF62" s="1354"/>
      <c r="AG62" s="1354"/>
      <c r="AH62" s="1354"/>
      <c r="AI62" s="1354"/>
      <c r="AJ62" s="1354"/>
      <c r="AK62" s="1354"/>
      <c r="AL62" s="1354"/>
      <c r="AM62" s="1354"/>
      <c r="AN62" s="1354"/>
      <c r="AO62" s="1354"/>
      <c r="AP62" s="1354"/>
      <c r="AQ62" s="1354"/>
      <c r="AR62" s="1354"/>
      <c r="AS62" s="1354"/>
      <c r="AT62" s="1354"/>
      <c r="AU62" s="1354"/>
      <c r="AV62" s="1354"/>
      <c r="AW62" s="1354"/>
      <c r="AX62" s="1354"/>
      <c r="AY62" s="1354"/>
      <c r="AZ62" s="1354"/>
      <c r="BA62" s="1354"/>
      <c r="BB62" s="1354"/>
      <c r="BC62" s="1354"/>
      <c r="BE62" s="506"/>
      <c r="BF62" s="506" t="str">
        <f>IF(T62="","",T62)</f>
        <v>Добавить территорию для дифференциации</v>
      </c>
      <c r="BG62" s="506"/>
      <c r="BH62" s="506"/>
    </row>
    <row s="3273" customFormat="1" customHeight="1" ht="0">
      <c r="A63" s="1344"/>
      <c r="B63" s="1344"/>
      <c r="C63" s="1344"/>
      <c r="D63" s="1344"/>
      <c r="E63" s="1373"/>
      <c r="F63" s="1344"/>
      <c r="G63" s="1344"/>
      <c r="H63" s="1344"/>
      <c r="I63" s="1344"/>
      <c r="J63" s="1344"/>
      <c r="K63" s="1344"/>
      <c r="L63" s="1524"/>
      <c r="M63" s="1351"/>
      <c r="N63" s="1351"/>
      <c r="P63" s="1346"/>
      <c r="Q63" s="1347"/>
      <c r="R63" s="1346"/>
      <c r="S63" s="1352"/>
      <c r="T63" s="1355" t="s">
        <v>184</v>
      </c>
      <c r="U63" s="1354"/>
      <c r="V63" s="1354"/>
      <c r="W63" s="1354"/>
      <c r="X63" s="1354"/>
      <c r="Y63" s="1354"/>
      <c r="Z63" s="1354"/>
      <c r="AA63" s="1354"/>
      <c r="AB63" s="1354"/>
      <c r="AC63" s="1354"/>
      <c r="AD63" s="1354"/>
      <c r="AE63" s="1354"/>
      <c r="AF63" s="1354"/>
      <c r="AG63" s="1354"/>
      <c r="AH63" s="1354"/>
      <c r="AI63" s="1354"/>
      <c r="AJ63" s="1354"/>
      <c r="AK63" s="1354"/>
      <c r="AL63" s="1354"/>
      <c r="AM63" s="1354"/>
      <c r="AN63" s="1354"/>
      <c r="AO63" s="1354"/>
      <c r="AP63" s="1354"/>
      <c r="AQ63" s="1354"/>
      <c r="AR63" s="1354"/>
      <c r="AS63" s="1354"/>
      <c r="AT63" s="1354"/>
      <c r="AU63" s="1354"/>
      <c r="AV63" s="1354"/>
      <c r="AW63" s="1354"/>
      <c r="AX63" s="1354"/>
      <c r="AY63" s="1354"/>
      <c r="AZ63" s="1354"/>
      <c r="BA63" s="1354"/>
      <c r="BB63" s="1354"/>
      <c r="BC63" s="1354"/>
      <c r="BE63" s="795"/>
      <c r="BF63" s="795" t="str">
        <f>IF(T63="","",T63)</f>
        <v>Добавить наименование тарифа</v>
      </c>
      <c r="BG63" s="795"/>
      <c r="BH63" s="795"/>
    </row>
    <row customHeight="1" ht="11.25">
      <c r="M64" s="1168"/>
      <c r="N64" s="1168"/>
      <c r="O64" s="543"/>
      <c r="P64" s="1168"/>
      <c r="Q64" s="1168"/>
      <c r="R64" s="1163"/>
      <c r="S64" s="1163"/>
      <c r="BD64" s="1163"/>
      <c r="BE64" s="1163"/>
      <c r="BF64" s="1163"/>
      <c r="BG64" s="1163"/>
      <c r="BH64" s="1163"/>
    </row>
    <row customHeight="1" ht="18.75">
      <c r="O65" s="543"/>
      <c r="S65" s="1273"/>
      <c r="T65" s="2106"/>
      <c r="U65" s="2106"/>
      <c r="V65" s="2106"/>
      <c r="W65" s="2106"/>
      <c r="X65" s="2106"/>
      <c r="Y65" s="2106"/>
      <c r="Z65" s="2106"/>
      <c r="AA65" s="2106"/>
      <c r="AB65" s="2106"/>
      <c r="AC65" s="2106"/>
      <c r="AD65" s="2106"/>
      <c r="AE65" s="2106"/>
      <c r="AF65" s="2106"/>
      <c r="AG65" s="2106"/>
      <c r="AH65" s="2106"/>
      <c r="AI65" s="2106"/>
      <c r="AJ65" s="2106"/>
      <c r="AK65" s="2106"/>
      <c r="AL65" s="2106"/>
      <c r="AM65" s="2106"/>
      <c r="AN65" s="2106"/>
      <c r="AO65" s="2106"/>
      <c r="AP65" s="2106"/>
      <c r="AQ65" s="2106"/>
      <c r="AR65" s="2106"/>
      <c r="AS65" s="2106"/>
      <c r="AT65" s="2106"/>
      <c r="AU65" s="2106"/>
      <c r="AV65" s="2106"/>
      <c r="AW65" s="2106"/>
      <c r="AX65" s="2106"/>
      <c r="AY65" s="2106"/>
      <c r="AZ65" s="2106"/>
      <c r="BA65" s="2106"/>
      <c r="BB65" s="2106"/>
      <c r="BC65" s="2106"/>
    </row>
    <row customHeight="1" ht="14.25">
      <c r="O66" s="543"/>
      <c r="T66" s="1510"/>
      <c r="U66" s="1510"/>
      <c r="V66" s="1510"/>
      <c r="W66" s="1510"/>
      <c r="X66" s="1510"/>
      <c r="Y66" s="1510"/>
      <c r="Z66" s="1510"/>
      <c r="AA66" s="1510"/>
      <c r="AB66" s="1510"/>
      <c r="AC66" s="1510"/>
      <c r="AD66" s="1510"/>
      <c r="AE66" s="1510"/>
      <c r="AF66" s="1510"/>
      <c r="AG66" s="1510"/>
      <c r="AH66" s="1510"/>
      <c r="AI66" s="1510"/>
      <c r="AJ66" s="1510"/>
      <c r="AK66" s="1510"/>
      <c r="AL66" s="1510"/>
      <c r="AM66" s="1510"/>
      <c r="AN66" s="1510"/>
      <c r="AO66" s="1510"/>
      <c r="AP66" s="1510"/>
      <c r="AQ66" s="1510"/>
      <c r="AR66" s="1510"/>
      <c r="AS66" s="1510"/>
      <c r="AT66" s="1510"/>
      <c r="AU66" s="1510"/>
      <c r="AV66" s="1510"/>
      <c r="AW66" s="1510"/>
      <c r="AX66" s="1510"/>
      <c r="AY66" s="1510"/>
      <c r="AZ66" s="1510"/>
      <c r="BA66" s="1510"/>
      <c r="BB66" s="1510"/>
      <c r="BC66" s="1510"/>
    </row>
    <row customHeight="1" ht="18.75">
      <c r="O67" s="543"/>
      <c r="S67" s="1273"/>
      <c r="T67" s="2106"/>
      <c r="U67" s="2106"/>
      <c r="V67" s="2106"/>
      <c r="W67" s="2106"/>
      <c r="X67" s="2106"/>
      <c r="Y67" s="2106"/>
      <c r="Z67" s="2106"/>
      <c r="AA67" s="2106"/>
      <c r="AB67" s="2106"/>
      <c r="AC67" s="2106"/>
      <c r="AD67" s="2106"/>
      <c r="AE67" s="2106"/>
      <c r="AF67" s="2106"/>
      <c r="AG67" s="2106"/>
      <c r="AH67" s="2106"/>
      <c r="AI67" s="2106"/>
      <c r="AJ67" s="2106"/>
      <c r="AK67" s="2106"/>
      <c r="AL67" s="2106"/>
      <c r="AM67" s="2106"/>
      <c r="AN67" s="2106"/>
      <c r="AO67" s="2106"/>
      <c r="AP67" s="2106"/>
      <c r="AQ67" s="2106"/>
      <c r="AR67" s="2106"/>
      <c r="AS67" s="2106"/>
      <c r="AT67" s="2106"/>
      <c r="AU67" s="2106"/>
      <c r="AV67" s="2106"/>
      <c r="AW67" s="2106"/>
      <c r="AX67" s="2106"/>
      <c r="AY67" s="2106"/>
      <c r="AZ67" s="2106"/>
      <c r="BA67" s="2106"/>
      <c r="BB67" s="2106"/>
      <c r="BC67" s="2106"/>
    </row>
    <row customHeight="1" ht="14.25">
      <c r="O68" s="54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2EAE5A3-E84E-F17B-7BEB-AA621989F57A}" mc:Ignorable="x14ac xr xr2 xr3">
  <sheetPr>
    <tabColor theme="9" tint="-0.25"/>
  </sheetPr>
  <dimension ref="A1:AE302"/>
  <sheetViews>
    <sheetView topLeftCell="A1" showGridLines="0" zoomScale="90" workbookViewId="0">
      <selection activeCell="A1" sqref="A1"/>
    </sheetView>
  </sheetViews>
  <sheetFormatPr defaultColWidth="9.140625" customHeight="1" defaultRowHeight="11.25"/>
  <cols>
    <col min="1" max="1" style="3851" width="10.7109375" hidden="1" customWidth="1"/>
    <col min="2" max="2" style="3292" width="16.8515625" hidden="1" customWidth="1"/>
    <col min="3" max="3" style="3842" width="5.57421875" hidden="1" customWidth="1"/>
    <col min="4" max="4" style="3954" width="3.7109375" customWidth="1"/>
    <col min="5" max="5" style="2948" width="7.7109375" customWidth="1"/>
    <col min="6" max="6" style="2948" width="54.57421875" customWidth="1"/>
    <col min="7" max="7" style="2948" width="10.421875" customWidth="1"/>
    <col min="8" max="8" style="2948" width="40.7109375" hidden="1" customWidth="1"/>
    <col min="9" max="9" style="2948" width="40.7109375" customWidth="1"/>
    <col min="10" max="10" style="2948" width="102.8515625" customWidth="1"/>
    <col min="11" max="11" style="3292" width="9.7109375" customWidth="1"/>
    <col min="12" max="12" style="3842" width="5.28125" customWidth="1"/>
    <col min="13" max="13" style="3842" width="3.7109375" customWidth="1"/>
    <col min="14" max="17" style="3292" width="3.7109375" customWidth="1"/>
    <col min="18" max="18" style="3842" width="10.57421875" customWidth="1"/>
    <col min="19" max="19" style="3292" width="34.7109375" customWidth="1"/>
    <col min="20" max="20" style="3292" width="9.421875" customWidth="1"/>
    <col min="21" max="21" style="3855" width="9.140625"/>
    <col min="22" max="26" style="3292" width="9.140625"/>
    <col min="27" max="31" style="2947" width="9.140625"/>
  </cols>
  <sheetData>
    <row customHeight="1" ht="11.25" hidden="1"/>
    <row customHeight="1" ht="23.25" hidden="1">
      <c r="B2" s="1953"/>
      <c r="C2" s="1175" t="s">
        <v>533</v>
      </c>
      <c r="D2" s="1678"/>
      <c r="E2" s="552">
        <f>B2</f>
        <v>0</v>
      </c>
      <c r="F2" s="553"/>
      <c r="G2" s="1686" t="s">
        <v>534</v>
      </c>
      <c r="H2" s="1686" t="s">
        <v>534</v>
      </c>
      <c r="I2" s="1686" t="s">
        <v>534</v>
      </c>
      <c r="J2" s="277" t="s">
        <v>535</v>
      </c>
      <c r="K2" s="549"/>
    </row>
    <row s="3842" customFormat="1" customHeight="1" ht="0.75" hidden="1">
      <c r="B3" s="1953"/>
      <c r="C3" s="1175"/>
      <c r="D3" s="554"/>
      <c r="E3" s="555"/>
      <c r="F3" s="556" t="s">
        <v>536</v>
      </c>
      <c r="G3" s="557"/>
      <c r="H3" s="557">
        <f>H4*H5+H7</f>
        <v>0</v>
      </c>
      <c r="I3" s="557">
        <f>I4*I5+I6</f>
        <v>0</v>
      </c>
      <c r="J3" s="558"/>
    </row>
    <row customHeight="1" ht="23.25" hidden="1">
      <c r="B4" s="1953"/>
      <c r="C4" s="1175"/>
      <c r="D4" s="1678"/>
      <c r="E4" s="552" t="str">
        <f>B2&amp;".1"</f>
        <v>.1</v>
      </c>
      <c r="F4" s="559" t="s">
        <v>537</v>
      </c>
      <c r="G4" s="560"/>
      <c r="H4" s="547"/>
      <c r="I4" s="547"/>
      <c r="J4" s="277" t="s">
        <v>538</v>
      </c>
      <c r="K4" s="549"/>
    </row>
    <row customHeight="1" ht="18.75" hidden="1">
      <c r="B5" s="1953"/>
      <c r="C5" s="1175"/>
      <c r="D5" s="1678"/>
      <c r="E5" s="552" t="str">
        <f>B2&amp;".2"</f>
        <v>.2</v>
      </c>
      <c r="F5" s="559" t="s">
        <v>539</v>
      </c>
      <c r="G5" s="1686" t="s">
        <v>540</v>
      </c>
      <c r="H5" s="547"/>
      <c r="I5" s="547"/>
      <c r="J5" s="277"/>
      <c r="K5" s="549"/>
    </row>
    <row customHeight="1" ht="18.75" hidden="1">
      <c r="B6" s="1953"/>
      <c r="C6" s="1175"/>
      <c r="D6" s="1678"/>
      <c r="E6" s="552" t="str">
        <f>B2&amp;".3"</f>
        <v>.3</v>
      </c>
      <c r="F6" s="559" t="s">
        <v>541</v>
      </c>
      <c r="G6" s="1686" t="s">
        <v>540</v>
      </c>
      <c r="H6" s="547"/>
      <c r="I6" s="547"/>
      <c r="J6" s="277"/>
      <c r="K6" s="549"/>
    </row>
    <row customHeight="1" ht="18.75" hidden="1">
      <c r="B7" s="1953"/>
      <c r="C7" s="1175"/>
      <c r="D7" s="1678"/>
      <c r="E7" s="552" t="str">
        <f>B2&amp;".4"</f>
        <v>.4</v>
      </c>
      <c r="F7" s="559" t="s">
        <v>542</v>
      </c>
      <c r="G7" s="1686" t="s">
        <v>534</v>
      </c>
      <c r="H7" s="561"/>
      <c r="I7" s="561"/>
      <c r="J7" s="277"/>
      <c r="K7" s="549"/>
    </row>
    <row s="3292" customFormat="1" customHeight="1" ht="11.25" hidden="1">
      <c r="A8" s="994"/>
      <c r="C8" s="1676"/>
      <c r="D8" s="543"/>
      <c r="H8" s="1168">
        <v>4</v>
      </c>
      <c r="I8" s="1168">
        <v>4</v>
      </c>
      <c r="L8" s="1676"/>
      <c r="M8" s="1676"/>
      <c r="R8" s="1676"/>
    </row>
    <row s="3292" customFormat="1" customHeight="1" ht="22.5" hidden="1">
      <c r="A9" s="994"/>
      <c r="C9" s="1676"/>
      <c r="D9" s="544"/>
      <c r="E9" s="1688"/>
      <c r="F9" s="546"/>
      <c r="G9" s="1686" t="s">
        <v>540</v>
      </c>
      <c r="H9" s="547"/>
      <c r="I9" s="547"/>
      <c r="J9" s="548" t="s">
        <v>543</v>
      </c>
      <c r="K9" s="549"/>
      <c r="L9" s="1676"/>
      <c r="M9" s="1676"/>
      <c r="R9" s="1676"/>
      <c r="U9" s="550"/>
      <c r="AA9" s="1672"/>
      <c r="AB9" s="1672"/>
      <c r="AC9" s="1672"/>
      <c r="AD9" s="1672"/>
      <c r="AE9" s="1672"/>
    </row>
    <row customHeight="1" ht="11.25" hidden="1"/>
    <row customHeight="1" ht="18.75" hidden="1">
      <c r="D11" s="1678"/>
      <c r="E11" s="552"/>
      <c r="F11" s="546"/>
      <c r="G11" s="1686" t="s">
        <v>544</v>
      </c>
      <c r="H11" s="547"/>
      <c r="I11" s="547"/>
      <c r="J11" s="277" t="s">
        <v>545</v>
      </c>
      <c r="K11" s="549"/>
    </row>
    <row customHeight="1" ht="11.25" hidden="1"/>
    <row customHeight="1" ht="22.5" hidden="1">
      <c r="D13" s="1678"/>
      <c r="E13" s="552"/>
      <c r="F13" s="546"/>
      <c r="G13" s="976" t="s">
        <v>546</v>
      </c>
      <c r="H13" s="551"/>
      <c r="I13" s="551"/>
      <c r="J13" s="751" t="s">
        <v>547</v>
      </c>
      <c r="K13" s="549"/>
    </row>
    <row customHeight="1" ht="11.25" hidden="1"/>
    <row customHeight="1" ht="22.5" hidden="1">
      <c r="D15" s="1678"/>
      <c r="E15" s="552"/>
      <c r="F15" s="546"/>
      <c r="G15" s="1686" t="s">
        <v>548</v>
      </c>
      <c r="H15" s="551"/>
      <c r="I15" s="551"/>
      <c r="J15" s="277" t="s">
        <v>549</v>
      </c>
      <c r="K15" s="549"/>
    </row>
    <row customHeight="1" ht="11.25" hidden="1"/>
    <row customHeight="1" ht="22.5" hidden="1">
      <c r="D17" s="1678"/>
      <c r="E17" s="552"/>
      <c r="F17" s="546"/>
      <c r="G17" s="1686" t="s">
        <v>550</v>
      </c>
      <c r="H17" s="551"/>
      <c r="I17" s="551"/>
      <c r="J17" s="277" t="s">
        <v>551</v>
      </c>
      <c r="K17" s="549"/>
    </row>
    <row customHeight="1" ht="11.25" hidden="1"/>
    <row s="2947" customFormat="1" customHeight="1" ht="11.25" hidden="1">
      <c r="A19" s="994"/>
      <c r="B19" s="1168"/>
      <c r="C19" s="1676"/>
      <c r="D19" s="360"/>
      <c r="J19" s="1672">
        <v>4</v>
      </c>
      <c r="K19" s="1168"/>
      <c r="L19" s="1676"/>
      <c r="M19" s="1676"/>
      <c r="N19" s="1168"/>
      <c r="O19" s="1168"/>
      <c r="P19" s="1168"/>
      <c r="Q19" s="1168"/>
      <c r="R19" s="1676"/>
      <c r="S19" s="1168"/>
      <c r="T19" s="1168"/>
      <c r="U19" s="550"/>
      <c r="V19" s="1168"/>
      <c r="W19" s="1168"/>
      <c r="X19" s="1168"/>
      <c r="Y19" s="1168"/>
      <c r="Z19" s="1168"/>
    </row>
    <row r="21" customHeight="1" ht="24">
      <c r="E21" s="2140"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140"/>
      <c r="G21" s="2140"/>
      <c r="H21" s="2140"/>
      <c r="I21" s="2140"/>
      <c r="J21" s="562"/>
    </row>
    <row customHeight="1" ht="24">
      <c r="E22" s="2141" t="str">
        <f>IF(org=0,"Не определено",org)</f>
        <v>ЗАО "Байкалэнерго"</v>
      </c>
      <c r="F22" s="2141"/>
      <c r="G22" s="2141"/>
      <c r="H22" s="2141"/>
      <c r="I22" s="2141"/>
    </row>
    <row customHeight="1" ht="11.25">
      <c r="E23" s="1143"/>
      <c r="F23" s="1143"/>
      <c r="G23" s="1143"/>
      <c r="H23" s="1143"/>
      <c r="I23" s="1143"/>
    </row>
    <row s="3842" customFormat="1" customHeight="1" ht="0.75">
      <c r="A24" s="1175"/>
      <c r="D24" s="1682"/>
      <c r="H24" s="895"/>
      <c r="I24" s="895" t="s">
        <v>118</v>
      </c>
    </row>
    <row customHeight="1" ht="11.25">
      <c r="E25" s="717"/>
      <c r="F25" s="2213" t="s">
        <v>106</v>
      </c>
      <c r="G25" s="2214"/>
      <c r="H25" s="1692" t="str">
        <f>IF(H24="","",INDEX(DIFFERENTIATION_UNMERGE_VD,MATCH(H24,DIFFERENTIATION_ID_DIFF,0)))</f>
        <v/>
      </c>
      <c r="I25" s="1692">
        <f>IF(I24="","",INDEX(DIFFERENTIATION_UNMERGE_VD,MATCH(I24,DIFFERENTIATION_ID_DIFF,0)))</f>
        <v>0</v>
      </c>
      <c r="J25" s="1971"/>
    </row>
    <row customHeight="1" ht="11.25">
      <c r="E26" s="717"/>
      <c r="F26" s="2213" t="s">
        <v>552</v>
      </c>
      <c r="G26" s="2214"/>
      <c r="H26" s="1692" t="str">
        <f>IF(H24="","",INDEX(DIFFERENTIATION_UNMERGE_AREA,MATCH(H24,DIFFERENTIATION_ID_DIFF,0)))</f>
        <v/>
      </c>
      <c r="I26" s="1692" t="str">
        <f>IF(I24="","",INDEX(DIFFERENTIATION_UNMERGE_AREA,MATCH(I24,DIFFERENTIATION_ID_DIFF,0)))</f>
        <v/>
      </c>
      <c r="J26" s="1971"/>
    </row>
    <row customHeight="1" ht="11.25">
      <c r="E27" s="717"/>
      <c r="F27" s="2213" t="s">
        <v>553</v>
      </c>
      <c r="G27" s="2214"/>
      <c r="H27" s="1692" t="str">
        <f>IF(H24="","",INDEX(DIFFERENTIATION_UNMERGE_SYSTEM,MATCH(H24,DIFFERENTIATION_ID_DIFF,0)))</f>
        <v/>
      </c>
      <c r="I27" s="1692" t="str">
        <f>IF(I24="","",INDEX(DIFFERENTIATION_UNMERGE_SYSTEM,MATCH(I24,DIFFERENTIATION_ID_DIFF,0)))</f>
        <v>без дифференциации</v>
      </c>
      <c r="J27" s="1971"/>
    </row>
    <row customHeight="1" ht="11.25">
      <c r="E28" s="2215" t="s">
        <v>293</v>
      </c>
      <c r="F28" s="2216"/>
      <c r="G28" s="2216"/>
      <c r="H28" s="1685"/>
      <c r="I28" s="1685"/>
      <c r="J28" s="1971"/>
    </row>
    <row customHeight="1" ht="22.5">
      <c r="E29" s="1686" t="s">
        <v>88</v>
      </c>
      <c r="F29" s="1693" t="s">
        <v>295</v>
      </c>
      <c r="G29" s="1693" t="s">
        <v>554</v>
      </c>
      <c r="H29" s="1693" t="s">
        <v>296</v>
      </c>
      <c r="I29" s="1693" t="s">
        <v>296</v>
      </c>
      <c r="J29" s="1971"/>
    </row>
    <row customHeight="1" ht="18.75">
      <c r="D30" s="1678"/>
      <c r="E30" s="552">
        <f>FHD_NUM_P_1</f>
        <v>1</v>
      </c>
      <c r="F30" s="1923" t="str">
        <f>FHD_P_1</f>
        <v>Выручка от регулируемого вида деятельности с распределением по видам деятельности</v>
      </c>
      <c r="G30" s="1921" t="s">
        <v>540</v>
      </c>
      <c r="H30" s="563"/>
      <c r="I30" s="563"/>
      <c r="J30" s="277" t="str">
        <f>FHD_NOTE_P_1</f>
        <v>Указывается выручка от регулируемого вида деятельности с распределением по видам деятельности.</v>
      </c>
      <c r="K30" s="549"/>
    </row>
    <row customHeight="1" ht="11.25">
      <c r="D31" s="1678"/>
      <c r="E31" s="552">
        <f>FHD_NUM_P_2</f>
        <v>2</v>
      </c>
      <c r="F31" s="1923" t="str">
        <f>FHD_P_2</f>
        <v>Себестоимость производимых товаров (оказываемых услуг) по регулируемому виду деятельности, включая:</v>
      </c>
      <c r="G31" s="1921" t="s">
        <v>540</v>
      </c>
      <c r="H31" s="564">
        <f>SUMIF($K33:$K71,$K31,H33:H71)</f>
        <v>0</v>
      </c>
      <c r="I31" s="564">
        <f>SUMIF($K33:$K71,$K31,I33:I71)</f>
        <v>0</v>
      </c>
      <c r="J31" s="277" t="str">
        <f>FHD_NOTE_P_2</f>
        <v>Указывается суммарная себестоимость производимых товаров.</v>
      </c>
      <c r="K31" s="1676" t="s">
        <v>555</v>
      </c>
    </row>
    <row customHeight="1" ht="11.25">
      <c r="D32" s="1678"/>
      <c r="E32" s="552" t="str">
        <f>FHD_NUM_P_3</f>
        <v>2.1</v>
      </c>
      <c r="F32" s="1554" t="str">
        <f>FHD_P_3</f>
        <v>Расходы на приобретаемую тепловую энергию (мощность), теплоноситель</v>
      </c>
      <c r="G32" s="1921" t="s">
        <v>540</v>
      </c>
      <c r="H32" s="563"/>
      <c r="I32" s="563"/>
      <c r="J32" s="277" t="str">
        <f>FHD_NOTE_P_3</f>
        <v/>
      </c>
      <c r="K32" s="1676" t="str">
        <f>IF((LEN(E32)-LEN(SUBSTITUTE(E32,".","")))/LEN(".")=1,"p","")</f>
        <v>p</v>
      </c>
    </row>
    <row customHeight="1" ht="11.25">
      <c r="A33" s="2210" t="s">
        <v>556</v>
      </c>
      <c r="D33" s="1678"/>
      <c r="E33" s="552" t="str">
        <f>FHD_NUM_P_4</f>
        <v>2.2</v>
      </c>
      <c r="F33" s="1554"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921" t="s">
        <v>540</v>
      </c>
      <c r="H33" s="564">
        <f>SUMIF($F34:$F40,$F3,H34:H40)</f>
        <v>0</v>
      </c>
      <c r="I33" s="564">
        <f>SUMIF($F34:$F40,$F3,I34:I40)</f>
        <v>0</v>
      </c>
      <c r="J33" s="277" t="str">
        <f>FHD_NOTE_P_4</f>
        <v>Указываются суммарные расходы на приобретение топлива всех видов.</v>
      </c>
      <c r="K33" s="1676" t="str">
        <f>IF((LEN(E33)-LEN(SUBSTITUTE(E33,".","")))/LEN(".")=1,"p","")</f>
        <v>p</v>
      </c>
    </row>
    <row s="3878" customFormat="1" customHeight="1" ht="0.75">
      <c r="A34" s="2210"/>
      <c r="B34" s="2211" t="str">
        <f>E33&amp;".0"</f>
        <v>2.2.0</v>
      </c>
      <c r="C34" s="1175"/>
      <c r="D34" s="566"/>
      <c r="E34" s="567"/>
      <c r="F34" s="568"/>
      <c r="G34" s="569"/>
      <c r="H34" s="503"/>
      <c r="I34" s="503"/>
      <c r="J34" s="570"/>
      <c r="K34" s="1676" t="str">
        <f>IF((LEN(E34)-LEN(SUBSTITUTE(E34,".","")))/LEN(".")=1,"p","")</f>
        <v/>
      </c>
      <c r="L34" s="1676"/>
      <c r="M34" s="1676"/>
      <c r="N34" s="1676"/>
      <c r="O34" s="1676"/>
      <c r="P34" s="1676"/>
      <c r="Q34" s="1676"/>
      <c r="R34" s="1676"/>
      <c r="S34" s="1676"/>
      <c r="T34" s="1676"/>
      <c r="U34" s="571"/>
      <c r="V34" s="1676"/>
      <c r="W34" s="1676"/>
      <c r="X34" s="1676"/>
      <c r="Y34" s="1676"/>
      <c r="Z34" s="1676"/>
      <c r="AA34" s="572"/>
      <c r="AB34" s="572"/>
      <c r="AC34" s="572"/>
      <c r="AD34" s="572"/>
      <c r="AE34" s="572"/>
    </row>
    <row s="3878" customFormat="1" customHeight="1" ht="0.75">
      <c r="A35" s="2210"/>
      <c r="B35" s="2211"/>
      <c r="C35" s="1175"/>
      <c r="D35" s="566"/>
      <c r="E35" s="573"/>
      <c r="F35" s="574"/>
      <c r="G35" s="569"/>
      <c r="H35" s="575"/>
      <c r="I35" s="575"/>
      <c r="J35" s="570"/>
      <c r="K35" s="1676" t="str">
        <f>IF((LEN(E35)-LEN(SUBSTITUTE(E35,".","")))/LEN(".")=1,"p","")</f>
        <v/>
      </c>
      <c r="L35" s="1676"/>
      <c r="M35" s="1676"/>
      <c r="N35" s="1676"/>
      <c r="O35" s="1676"/>
      <c r="P35" s="1676"/>
      <c r="Q35" s="1676"/>
      <c r="R35" s="1676"/>
      <c r="S35" s="1676"/>
      <c r="T35" s="1676"/>
      <c r="U35" s="571"/>
      <c r="V35" s="1676"/>
      <c r="W35" s="1676"/>
      <c r="X35" s="1676"/>
      <c r="Y35" s="1676"/>
      <c r="Z35" s="1676"/>
      <c r="AA35" s="572"/>
      <c r="AB35" s="572"/>
      <c r="AC35" s="572"/>
      <c r="AD35" s="572"/>
      <c r="AE35" s="572"/>
    </row>
    <row s="3878" customFormat="1" customHeight="1" ht="0.75">
      <c r="A36" s="2210"/>
      <c r="B36" s="2211"/>
      <c r="C36" s="1175"/>
      <c r="D36" s="566"/>
      <c r="E36" s="573"/>
      <c r="F36" s="574"/>
      <c r="G36" s="569"/>
      <c r="H36" s="575"/>
      <c r="I36" s="575"/>
      <c r="J36" s="570"/>
      <c r="K36" s="1676" t="str">
        <f>IF((LEN(E36)-LEN(SUBSTITUTE(E36,".","")))/LEN(".")=1,"p","")</f>
        <v/>
      </c>
      <c r="L36" s="1676"/>
      <c r="M36" s="1676"/>
      <c r="N36" s="1676"/>
      <c r="O36" s="1676"/>
      <c r="P36" s="1676"/>
      <c r="Q36" s="1676"/>
      <c r="R36" s="1676"/>
      <c r="S36" s="1676"/>
      <c r="T36" s="1676"/>
      <c r="U36" s="571"/>
      <c r="V36" s="1676"/>
      <c r="W36" s="1676"/>
      <c r="X36" s="1676"/>
      <c r="Y36" s="1676"/>
      <c r="Z36" s="1676"/>
      <c r="AA36" s="572"/>
      <c r="AB36" s="572"/>
      <c r="AC36" s="572"/>
      <c r="AD36" s="572"/>
      <c r="AE36" s="572"/>
    </row>
    <row s="3878" customFormat="1" customHeight="1" ht="0.75">
      <c r="A37" s="2210"/>
      <c r="B37" s="2211"/>
      <c r="C37" s="1175"/>
      <c r="D37" s="566"/>
      <c r="E37" s="573"/>
      <c r="F37" s="574"/>
      <c r="G37" s="569"/>
      <c r="H37" s="575"/>
      <c r="I37" s="575"/>
      <c r="J37" s="570"/>
      <c r="K37" s="1676" t="str">
        <f>IF((LEN(E37)-LEN(SUBSTITUTE(E37,".","")))/LEN(".")=1,"p","")</f>
        <v/>
      </c>
      <c r="L37" s="1676"/>
      <c r="M37" s="1676"/>
      <c r="N37" s="1676"/>
      <c r="O37" s="1676"/>
      <c r="P37" s="1676"/>
      <c r="Q37" s="1676"/>
      <c r="R37" s="1676"/>
      <c r="S37" s="1676"/>
      <c r="T37" s="1676"/>
      <c r="U37" s="571"/>
      <c r="V37" s="1676"/>
      <c r="W37" s="1676"/>
      <c r="X37" s="1676"/>
      <c r="Y37" s="1676"/>
      <c r="Z37" s="1676"/>
      <c r="AA37" s="572"/>
      <c r="AB37" s="572"/>
      <c r="AC37" s="572"/>
      <c r="AD37" s="572"/>
      <c r="AE37" s="572"/>
    </row>
    <row s="3878" customFormat="1" customHeight="1" ht="0.75">
      <c r="A38" s="2210"/>
      <c r="B38" s="2211"/>
      <c r="C38" s="1175"/>
      <c r="D38" s="566"/>
      <c r="E38" s="573"/>
      <c r="F38" s="574"/>
      <c r="G38" s="569"/>
      <c r="H38" s="575"/>
      <c r="I38" s="575"/>
      <c r="J38" s="570"/>
      <c r="K38" s="1676" t="str">
        <f>IF((LEN(E38)-LEN(SUBSTITUTE(E38,".","")))/LEN(".")=1,"p","")</f>
        <v/>
      </c>
      <c r="L38" s="1676"/>
      <c r="M38" s="1676"/>
      <c r="N38" s="1676"/>
      <c r="O38" s="1676"/>
      <c r="P38" s="1676"/>
      <c r="Q38" s="1676"/>
      <c r="R38" s="1676"/>
      <c r="S38" s="1676"/>
      <c r="T38" s="1676"/>
      <c r="U38" s="571"/>
      <c r="V38" s="1676"/>
      <c r="W38" s="1676"/>
      <c r="X38" s="1676"/>
      <c r="Y38" s="1676"/>
      <c r="Z38" s="1676"/>
      <c r="AA38" s="572"/>
      <c r="AB38" s="572"/>
      <c r="AC38" s="572"/>
      <c r="AD38" s="572"/>
      <c r="AE38" s="572"/>
    </row>
    <row s="3878" customFormat="1" customHeight="1" ht="0.75">
      <c r="A39" s="2210"/>
      <c r="B39" s="2211"/>
      <c r="C39" s="1175"/>
      <c r="D39" s="566"/>
      <c r="E39" s="573"/>
      <c r="F39" s="574"/>
      <c r="G39" s="569"/>
      <c r="H39" s="503"/>
      <c r="I39" s="503"/>
      <c r="J39" s="570"/>
      <c r="K39" s="1676" t="str">
        <f>IF((LEN(E39)-LEN(SUBSTITUTE(E39,".","")))/LEN(".")=1,"p","")</f>
        <v/>
      </c>
      <c r="L39" s="1676"/>
      <c r="M39" s="1676"/>
      <c r="N39" s="1676"/>
      <c r="O39" s="1676"/>
      <c r="P39" s="1676"/>
      <c r="Q39" s="1676"/>
      <c r="R39" s="1676"/>
      <c r="S39" s="1676"/>
      <c r="T39" s="1676"/>
      <c r="U39" s="571"/>
      <c r="V39" s="1676"/>
      <c r="W39" s="1676"/>
      <c r="X39" s="1676"/>
      <c r="Y39" s="1676"/>
      <c r="Z39" s="1676"/>
      <c r="AA39" s="572"/>
      <c r="AB39" s="572"/>
      <c r="AC39" s="572"/>
      <c r="AD39" s="572"/>
      <c r="AE39" s="572"/>
    </row>
    <row s="3292" customFormat="1" customHeight="1" ht="15">
      <c r="A40" s="2210"/>
      <c r="C40" s="1676"/>
      <c r="D40" s="1673"/>
      <c r="E40" s="576"/>
      <c r="F40" s="577" t="s">
        <v>557</v>
      </c>
      <c r="G40" s="578"/>
      <c r="H40" s="579"/>
      <c r="I40" s="579"/>
      <c r="J40" s="289"/>
      <c r="K40" s="1676" t="str">
        <f>IF((LEN(E40)-LEN(SUBSTITUTE(E40,".","")))/LEN(".")=1,"p","")</f>
        <v/>
      </c>
      <c r="L40" s="1676"/>
      <c r="M40" s="1676"/>
      <c r="R40" s="1676"/>
      <c r="U40" s="550"/>
      <c r="AA40" s="1672"/>
      <c r="AB40" s="1672"/>
      <c r="AC40" s="1672"/>
      <c r="AD40" s="1672"/>
      <c r="AE40" s="1672"/>
    </row>
    <row customHeight="1" ht="11.25" hidden="1">
      <c r="A41" s="2210" t="s">
        <v>558</v>
      </c>
      <c r="D41" s="1678"/>
      <c r="E41" s="552" t="str">
        <f>FHD_NUM_P_5</f>
        <v/>
      </c>
      <c r="F41" s="1554" t="str">
        <f>FHD_P_5</f>
        <v/>
      </c>
      <c r="G41" s="1921" t="s">
        <v>540</v>
      </c>
      <c r="H41" s="563"/>
      <c r="I41" s="563"/>
      <c r="J41" s="277" t="str">
        <f>FHD_NOTE_P_5</f>
        <v/>
      </c>
      <c r="K41" s="1676" t="str">
        <f>IF((LEN(E41)-LEN(SUBSTITUTE(E41,".","")))/LEN(".")=1,"p","")</f>
        <v/>
      </c>
    </row>
    <row customHeight="1" ht="11.25" hidden="1">
      <c r="A42" s="2210"/>
      <c r="D42" s="1678"/>
      <c r="E42" s="552" t="str">
        <f>FHD_NUM_P_6</f>
        <v/>
      </c>
      <c r="F42" s="1554" t="str">
        <f>FHD_P_6</f>
        <v/>
      </c>
      <c r="G42" s="1921" t="s">
        <v>540</v>
      </c>
      <c r="H42" s="563"/>
      <c r="I42" s="563"/>
      <c r="J42" s="277" t="str">
        <f>FHD_NOTE_P_6</f>
        <v/>
      </c>
      <c r="K42" s="1676" t="str">
        <f>IF((LEN(E42)-LEN(SUBSTITUTE(E42,".","")))/LEN(".")=1,"p","")</f>
        <v/>
      </c>
    </row>
    <row customHeight="1" ht="11.25" hidden="1">
      <c r="A43" s="2210"/>
      <c r="D43" s="1678"/>
      <c r="E43" s="552" t="str">
        <f>FHD_NUM_P_7</f>
        <v/>
      </c>
      <c r="F43" s="1554" t="str">
        <f>FHD_P_7</f>
        <v/>
      </c>
      <c r="G43" s="1921" t="s">
        <v>540</v>
      </c>
      <c r="H43" s="563"/>
      <c r="I43" s="563"/>
      <c r="J43" s="277" t="str">
        <f>FHD_NOTE_P_7</f>
        <v/>
      </c>
      <c r="K43" s="1676" t="str">
        <f>IF((LEN(E43)-LEN(SUBSTITUTE(E43,".","")))/LEN(".")=1,"p","")</f>
        <v/>
      </c>
    </row>
    <row customHeight="1" ht="11.25">
      <c r="D44" s="1678"/>
      <c r="E44" s="552" t="str">
        <f>FHD_NUM_P_8</f>
        <v>2.3</v>
      </c>
      <c r="F44" s="1554" t="str">
        <f>FHD_P_8</f>
        <v>Расходы на приобретаемую электрическую энергию (мощность), используемую в технологическом процессе</v>
      </c>
      <c r="G44" s="1921" t="s">
        <v>540</v>
      </c>
      <c r="H44" s="563"/>
      <c r="I44" s="563"/>
      <c r="J44" s="277" t="str">
        <f>FHD_NOTE_P_8</f>
        <v/>
      </c>
      <c r="K44" s="1676" t="str">
        <f>IF((LEN(E44)-LEN(SUBSTITUTE(E44,".","")))/LEN(".")=1,"p","")</f>
        <v>p</v>
      </c>
    </row>
    <row customHeight="1" ht="11.25">
      <c r="D45" s="1678"/>
      <c r="E45" s="552" t="str">
        <f>FHD_NUM_P_9</f>
        <v>2.3.1</v>
      </c>
      <c r="F45" s="1690" t="str">
        <f>FHD_P_9</f>
        <v>Средневзвешенная стоимость 1 кВт.ч (с учетом мощности)</v>
      </c>
      <c r="G45" s="1921" t="s">
        <v>559</v>
      </c>
      <c r="H45" s="563"/>
      <c r="I45" s="563"/>
      <c r="J45" s="277" t="str">
        <f>FHD_NOTE_P_9</f>
        <v/>
      </c>
      <c r="K45" s="1676" t="str">
        <f>IF((LEN(E45)-LEN(SUBSTITUTE(E45,".","")))/LEN(".")=1,"p","")</f>
        <v/>
      </c>
    </row>
    <row s="3292" customFormat="1" customHeight="1" ht="11.25">
      <c r="A46" s="994"/>
      <c r="C46" s="1676"/>
      <c r="D46" s="580"/>
      <c r="E46" s="552" t="str">
        <f>FHD_NUM_P_10</f>
        <v>2.3.2</v>
      </c>
      <c r="F46" s="1690" t="str">
        <f>FHD_P_10</f>
        <v>Объём приобретения электрической энергии</v>
      </c>
      <c r="G46" s="1921" t="s">
        <v>560</v>
      </c>
      <c r="H46" s="563"/>
      <c r="I46" s="563"/>
      <c r="J46" s="277" t="str">
        <f>FHD_NOTE_P_10</f>
        <v/>
      </c>
      <c r="K46" s="1676" t="str">
        <f>IF((LEN(E46)-LEN(SUBSTITUTE(E46,".","")))/LEN(".")=1,"p","")</f>
        <v/>
      </c>
      <c r="L46" s="1676"/>
      <c r="M46" s="1676"/>
      <c r="R46" s="1676"/>
      <c r="U46" s="550"/>
      <c r="AA46" s="1672"/>
      <c r="AB46" s="1672"/>
      <c r="AC46" s="1672"/>
      <c r="AD46" s="1672"/>
      <c r="AE46" s="1672"/>
    </row>
    <row s="3292" customFormat="1" customHeight="1" ht="11.25">
      <c r="A47" s="996" t="s">
        <v>561</v>
      </c>
      <c r="C47" s="1676"/>
      <c r="D47" s="581"/>
      <c r="E47" s="552" t="str">
        <f>FHD_NUM_P_11</f>
        <v>2.4</v>
      </c>
      <c r="F47" s="1554" t="str">
        <f>FHD_P_11</f>
        <v>Расходы на приобретение холодной воды, используемой в технологическом процессе</v>
      </c>
      <c r="G47" s="1921" t="s">
        <v>540</v>
      </c>
      <c r="H47" s="563"/>
      <c r="I47" s="563"/>
      <c r="J47" s="277" t="str">
        <f>FHD_NOTE_P_11</f>
        <v/>
      </c>
      <c r="K47" s="1676" t="str">
        <f>IF((LEN(E47)-LEN(SUBSTITUTE(E47,".","")))/LEN(".")=1,"p","")</f>
        <v>p</v>
      </c>
      <c r="L47" s="1676"/>
      <c r="M47" s="1676"/>
      <c r="R47" s="1676"/>
      <c r="U47" s="550"/>
      <c r="AA47" s="1672"/>
      <c r="AB47" s="1672"/>
      <c r="AC47" s="1672"/>
      <c r="AD47" s="1672"/>
      <c r="AE47" s="1672"/>
    </row>
    <row s="3292" customFormat="1" customHeight="1" ht="18">
      <c r="A48" s="996" t="s">
        <v>562</v>
      </c>
      <c r="C48" s="1676"/>
      <c r="D48" s="1678"/>
      <c r="E48" s="552" t="str">
        <f>FHD_NUM_P_12</f>
        <v>2.5</v>
      </c>
      <c r="F48" s="1554" t="str">
        <f>FHD_P_12</f>
        <v>Расходы на химические реагенты, используемые в технологическом процессе</v>
      </c>
      <c r="G48" s="1921" t="s">
        <v>540</v>
      </c>
      <c r="H48" s="583"/>
      <c r="I48" s="583"/>
      <c r="J48" s="277" t="str">
        <f>FHD_NOTE_P_12</f>
        <v/>
      </c>
      <c r="K48" s="1676" t="str">
        <f>IF((LEN(E48)-LEN(SUBSTITUTE(E48,".","")))/LEN(".")=1,"p","")</f>
        <v>p</v>
      </c>
      <c r="L48" s="1676"/>
      <c r="M48" s="1676"/>
      <c r="R48" s="1676"/>
      <c r="U48" s="550"/>
      <c r="AA48" s="1672"/>
      <c r="AB48" s="1672"/>
      <c r="AC48" s="1672"/>
      <c r="AD48" s="1672"/>
      <c r="AE48" s="1672"/>
    </row>
    <row s="3297" customFormat="1" customHeight="1" ht="11.25">
      <c r="A49" s="995"/>
      <c r="C49" s="736"/>
      <c r="D49" s="679"/>
      <c r="E49" s="552" t="str">
        <f>FHD_NUM_P_13</f>
        <v>2.6</v>
      </c>
      <c r="F49" s="1554"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21" t="s">
        <v>540</v>
      </c>
      <c r="H49" s="563"/>
      <c r="I49" s="563"/>
      <c r="J49" s="277" t="str">
        <f>FHD_NOTE_P_13</f>
        <v/>
      </c>
      <c r="K49" s="1676" t="str">
        <f>IF((LEN(E49)-LEN(SUBSTITUTE(E49,".","")))/LEN(".")=1,"p","")</f>
        <v>p</v>
      </c>
      <c r="L49" s="736"/>
      <c r="M49" s="736"/>
      <c r="R49" s="736"/>
      <c r="U49" s="737"/>
      <c r="AA49" s="738"/>
      <c r="AB49" s="738"/>
      <c r="AC49" s="738"/>
      <c r="AD49" s="738"/>
      <c r="AE49" s="738"/>
    </row>
    <row s="3297" customFormat="1" customHeight="1" ht="11.25">
      <c r="A50" s="995"/>
      <c r="C50" s="736"/>
      <c r="D50" s="679"/>
      <c r="E50" s="552" t="str">
        <f>FHD_NUM_P_14</f>
        <v>2.6.1</v>
      </c>
      <c r="F50" s="1690" t="str">
        <f>FHD_P_14</f>
        <v>Расходы на оплату труда основного производственного персонала</v>
      </c>
      <c r="G50" s="1921" t="s">
        <v>540</v>
      </c>
      <c r="H50" s="563"/>
      <c r="I50" s="563"/>
      <c r="J50" s="277" t="str">
        <f>FHD_NOTE_P_14</f>
        <v/>
      </c>
      <c r="K50" s="1676" t="str">
        <f>IF((LEN(E50)-LEN(SUBSTITUTE(E50,".","")))/LEN(".")=1,"p","")</f>
        <v/>
      </c>
      <c r="L50" s="736"/>
      <c r="M50" s="736"/>
      <c r="R50" s="736"/>
      <c r="U50" s="737"/>
      <c r="AA50" s="738"/>
      <c r="AB50" s="738"/>
      <c r="AC50" s="738"/>
      <c r="AD50" s="738"/>
      <c r="AE50" s="738"/>
    </row>
    <row s="3297" customFormat="1" customHeight="1" ht="11.25">
      <c r="A51" s="995"/>
      <c r="C51" s="736"/>
      <c r="D51" s="679"/>
      <c r="E51" s="552" t="str">
        <f>FHD_NUM_P_15</f>
        <v>2.6.2</v>
      </c>
      <c r="F51" s="1690" t="str">
        <f>FHD_P_15</f>
        <v>Страховые взносы на обязательное социальное страхование, выплачиваемые из фонда оплаты труда основного производственного персонала</v>
      </c>
      <c r="G51" s="1921" t="s">
        <v>540</v>
      </c>
      <c r="H51" s="563"/>
      <c r="I51" s="563"/>
      <c r="J51" s="277" t="str">
        <f>FHD_NOTE_P_15</f>
        <v/>
      </c>
      <c r="K51" s="1676" t="str">
        <f>IF((LEN(E51)-LEN(SUBSTITUTE(E51,".","")))/LEN(".")=1,"p","")</f>
        <v/>
      </c>
      <c r="L51" s="736"/>
      <c r="M51" s="736"/>
      <c r="R51" s="736"/>
      <c r="U51" s="737"/>
      <c r="AA51" s="738"/>
      <c r="AB51" s="738"/>
      <c r="AC51" s="738"/>
      <c r="AD51" s="738"/>
      <c r="AE51" s="738"/>
    </row>
    <row s="3292" customFormat="1" customHeight="1" ht="11.25">
      <c r="A52" s="994"/>
      <c r="C52" s="1676"/>
      <c r="D52" s="1678"/>
      <c r="E52" s="552" t="str">
        <f>FHD_NUM_P_16</f>
        <v>2.7</v>
      </c>
      <c r="F52" s="1554"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921" t="s">
        <v>540</v>
      </c>
      <c r="H52" s="563"/>
      <c r="I52" s="563"/>
      <c r="J52" s="277" t="str">
        <f>FHD_NOTE_P_16</f>
        <v/>
      </c>
      <c r="K52" s="1676" t="str">
        <f>IF((LEN(E52)-LEN(SUBSTITUTE(E52,".","")))/LEN(".")=1,"p","")</f>
        <v>p</v>
      </c>
      <c r="L52" s="1676"/>
      <c r="M52" s="1682"/>
      <c r="N52" s="543"/>
      <c r="O52" s="543"/>
      <c r="R52" s="1676"/>
      <c r="U52" s="550"/>
      <c r="AA52" s="1672"/>
      <c r="AB52" s="1672"/>
      <c r="AC52" s="1672"/>
      <c r="AD52" s="1672"/>
      <c r="AE52" s="1672"/>
    </row>
    <row s="3292" customFormat="1" customHeight="1" ht="11.25">
      <c r="A53" s="994"/>
      <c r="C53" s="1676"/>
      <c r="D53" s="1678"/>
      <c r="E53" s="552" t="str">
        <f>FHD_NUM_P_17</f>
        <v>2.7.1</v>
      </c>
      <c r="F53" s="1690" t="str">
        <f>FHD_P_17</f>
        <v>Расходы на оплату труда административно-управленческого персонала</v>
      </c>
      <c r="G53" s="1921" t="s">
        <v>540</v>
      </c>
      <c r="H53" s="563"/>
      <c r="I53" s="563"/>
      <c r="J53" s="277" t="str">
        <f>FHD_NOTE_P_17</f>
        <v/>
      </c>
      <c r="K53" s="1676" t="str">
        <f>IF((LEN(E53)-LEN(SUBSTITUTE(E53,".","")))/LEN(".")=1,"p","")</f>
        <v/>
      </c>
      <c r="L53" s="1676"/>
      <c r="M53" s="1682"/>
      <c r="N53" s="543"/>
      <c r="O53" s="543"/>
      <c r="R53" s="1676"/>
      <c r="U53" s="550"/>
      <c r="AA53" s="1672"/>
      <c r="AB53" s="1672"/>
      <c r="AC53" s="1672"/>
      <c r="AD53" s="1672"/>
      <c r="AE53" s="1672"/>
    </row>
    <row s="3292" customFormat="1" customHeight="1" ht="11.25">
      <c r="A54" s="994"/>
      <c r="C54" s="1676"/>
      <c r="D54" s="1678"/>
      <c r="E54" s="552" t="str">
        <f>FHD_NUM_P_18</f>
        <v>2.7.2</v>
      </c>
      <c r="F54" s="1690"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21" t="s">
        <v>540</v>
      </c>
      <c r="H54" s="563"/>
      <c r="I54" s="563"/>
      <c r="J54" s="277" t="str">
        <f>FHD_NOTE_P_18</f>
        <v/>
      </c>
      <c r="K54" s="1676" t="str">
        <f>IF((LEN(E54)-LEN(SUBSTITUTE(E54,".","")))/LEN(".")=1,"p","")</f>
        <v/>
      </c>
      <c r="L54" s="1676"/>
      <c r="M54" s="1682"/>
      <c r="N54" s="543"/>
      <c r="O54" s="543"/>
      <c r="R54" s="1676"/>
      <c r="U54" s="550"/>
      <c r="AA54" s="1672"/>
      <c r="AB54" s="1672"/>
      <c r="AC54" s="1672"/>
      <c r="AD54" s="1672"/>
      <c r="AE54" s="1672"/>
    </row>
    <row s="3292" customFormat="1" customHeight="1" ht="11.25">
      <c r="A55" s="994"/>
      <c r="C55" s="1676"/>
      <c r="D55" s="581"/>
      <c r="E55" s="552" t="str">
        <f>FHD_NUM_P_19</f>
        <v>2.8</v>
      </c>
      <c r="F55" s="1554" t="str">
        <f>FHD_P_19</f>
        <v>Расходы на амортизацию основных средств и нематериальных активов</v>
      </c>
      <c r="G55" s="1921" t="s">
        <v>540</v>
      </c>
      <c r="H55" s="563"/>
      <c r="I55" s="563"/>
      <c r="J55" s="277" t="str">
        <f>FHD_NOTE_P_19</f>
        <v/>
      </c>
      <c r="K55" s="1676" t="str">
        <f>IF((LEN(E55)-LEN(SUBSTITUTE(E55,".","")))/LEN(".")=1,"p","")</f>
        <v>p</v>
      </c>
      <c r="L55" s="1676"/>
      <c r="M55" s="1676"/>
      <c r="R55" s="1676"/>
      <c r="U55" s="550"/>
      <c r="AA55" s="1672"/>
      <c r="AB55" s="1672"/>
      <c r="AC55" s="1672"/>
      <c r="AD55" s="1672"/>
      <c r="AE55" s="1672"/>
    </row>
    <row s="3292" customFormat="1" customHeight="1" ht="11.25">
      <c r="A56" s="994"/>
      <c r="C56" s="1676"/>
      <c r="D56" s="581"/>
      <c r="E56" s="552" t="str">
        <f>FHD_NUM_P_20</f>
        <v>2.8.1</v>
      </c>
      <c r="F56" s="1690" t="str">
        <f>FHD_P_20</f>
        <v>Расходы на амортизацию основных средств</v>
      </c>
      <c r="G56" s="1921" t="s">
        <v>540</v>
      </c>
      <c r="H56" s="563"/>
      <c r="I56" s="563"/>
      <c r="J56" s="277" t="str">
        <f>FHD_NOTE_P_20</f>
        <v/>
      </c>
      <c r="K56" s="1676" t="str">
        <f>IF((LEN(E56)-LEN(SUBSTITUTE(E56,".","")))/LEN(".")=1,"p","")</f>
        <v/>
      </c>
      <c r="L56" s="1676"/>
      <c r="M56" s="1676"/>
      <c r="R56" s="1676"/>
      <c r="U56" s="550"/>
      <c r="AA56" s="1672"/>
      <c r="AB56" s="1672"/>
      <c r="AC56" s="1672"/>
      <c r="AD56" s="1672"/>
      <c r="AE56" s="1672"/>
    </row>
    <row s="3292" customFormat="1" customHeight="1" ht="11.25">
      <c r="A57" s="994"/>
      <c r="C57" s="1676"/>
      <c r="D57" s="581"/>
      <c r="E57" s="552" t="str">
        <f>FHD_NUM_P_21</f>
        <v>2.8.2</v>
      </c>
      <c r="F57" s="1690" t="str">
        <f>FHD_P_21</f>
        <v>Расходы на амортизацию нематериальных активов</v>
      </c>
      <c r="G57" s="1921" t="s">
        <v>540</v>
      </c>
      <c r="H57" s="563"/>
      <c r="I57" s="563"/>
      <c r="J57" s="277" t="str">
        <f>FHD_NOTE_P_21</f>
        <v/>
      </c>
      <c r="K57" s="1676" t="str">
        <f>IF((LEN(E57)-LEN(SUBSTITUTE(E57,".","")))/LEN(".")=1,"p","")</f>
        <v/>
      </c>
      <c r="L57" s="1676"/>
      <c r="M57" s="1676"/>
      <c r="R57" s="1676"/>
      <c r="U57" s="550"/>
      <c r="AA57" s="1672"/>
      <c r="AB57" s="1672"/>
      <c r="AC57" s="1672"/>
      <c r="AD57" s="1672"/>
      <c r="AE57" s="1672"/>
    </row>
    <row s="3292" customFormat="1" customHeight="1" ht="11.25">
      <c r="A58" s="994"/>
      <c r="C58" s="1676"/>
      <c r="D58" s="1678"/>
      <c r="E58" s="552" t="str">
        <f>FHD_NUM_P_22</f>
        <v>2.9</v>
      </c>
      <c r="F58" s="1554" t="str">
        <f>FHD_P_22</f>
        <v>Расходы на аренду имущества, используемого для осуществления регулируемого вида деятельности</v>
      </c>
      <c r="G58" s="1921" t="s">
        <v>540</v>
      </c>
      <c r="H58" s="563"/>
      <c r="I58" s="563"/>
      <c r="J58" s="277" t="str">
        <f>FHD_NOTE_P_22</f>
        <v/>
      </c>
      <c r="K58" s="1676" t="str">
        <f>IF((LEN(E58)-LEN(SUBSTITUTE(E58,".","")))/LEN(".")=1,"p","")</f>
        <v>p</v>
      </c>
      <c r="L58" s="1676"/>
      <c r="M58" s="1676"/>
      <c r="R58" s="1676"/>
      <c r="U58" s="550"/>
      <c r="AA58" s="1672"/>
      <c r="AB58" s="1672"/>
      <c r="AC58" s="1672"/>
      <c r="AD58" s="1672"/>
      <c r="AE58" s="1672"/>
    </row>
    <row s="3292" customFormat="1" customHeight="1" ht="11.25">
      <c r="A59" s="994"/>
      <c r="C59" s="1676"/>
      <c r="D59" s="581"/>
      <c r="E59" s="552" t="str">
        <f>FHD_NUM_P_23</f>
        <v>2.10</v>
      </c>
      <c r="F59" s="1554" t="str">
        <f>FHD_P_23</f>
        <v>Общепроизводственные расходы, в том числе:</v>
      </c>
      <c r="G59" s="1921" t="s">
        <v>540</v>
      </c>
      <c r="H59" s="563"/>
      <c r="I59" s="563"/>
      <c r="J59" s="277" t="str">
        <f>FHD_NOTE_P_23</f>
        <v>Указывается общая сумма общепроизводственных расходов.</v>
      </c>
      <c r="K59" s="1676" t="str">
        <f>IF((LEN(E59)-LEN(SUBSTITUTE(E59,".","")))/LEN(".")=1,"p","")</f>
        <v>p</v>
      </c>
      <c r="L59" s="1676"/>
      <c r="M59" s="1676"/>
      <c r="R59" s="1676"/>
      <c r="U59" s="550"/>
      <c r="AA59" s="1672"/>
      <c r="AB59" s="1672"/>
      <c r="AC59" s="1672"/>
      <c r="AD59" s="1672"/>
      <c r="AE59" s="1672"/>
    </row>
    <row s="3292" customFormat="1" customHeight="1" ht="11.25">
      <c r="A60" s="994"/>
      <c r="C60" s="1676"/>
      <c r="D60" s="581"/>
      <c r="E60" s="552" t="str">
        <f>FHD_NUM_P_24</f>
        <v>2.10.1</v>
      </c>
      <c r="F60" s="1690" t="str">
        <f>FHD_P_24</f>
        <v>Расходы на текущий ремонт</v>
      </c>
      <c r="G60" s="1921" t="s">
        <v>540</v>
      </c>
      <c r="H60" s="563"/>
      <c r="I60" s="563"/>
      <c r="J60" s="277" t="str">
        <f>FHD_NOTE_P_24</f>
        <v>Указываются расходы на текущий ремонт, отнесенные к общепроизводственным расходам.</v>
      </c>
      <c r="K60" s="1676" t="str">
        <f>IF((LEN(E60)-LEN(SUBSTITUTE(E60,".","")))/LEN(".")=1,"p","")</f>
        <v/>
      </c>
      <c r="L60" s="1676"/>
      <c r="M60" s="1676"/>
      <c r="R60" s="1676"/>
      <c r="U60" s="550"/>
      <c r="AA60" s="1672"/>
      <c r="AB60" s="1672"/>
      <c r="AC60" s="1672"/>
      <c r="AD60" s="1672"/>
      <c r="AE60" s="1672"/>
    </row>
    <row s="3292" customFormat="1" customHeight="1" ht="11.25">
      <c r="A61" s="994"/>
      <c r="C61" s="1676"/>
      <c r="D61" s="581"/>
      <c r="E61" s="552" t="str">
        <f>FHD_NUM_P_25</f>
        <v>2.10.2</v>
      </c>
      <c r="F61" s="1690" t="str">
        <f>FHD_P_25</f>
        <v>Расходы на капитальный ремонт</v>
      </c>
      <c r="G61" s="1921" t="s">
        <v>540</v>
      </c>
      <c r="H61" s="563"/>
      <c r="I61" s="563"/>
      <c r="J61" s="277" t="str">
        <f>FHD_NOTE_P_25</f>
        <v>Указываются расходы на капитальный ремонт, отнесенные к общепроизводственным расходам.</v>
      </c>
      <c r="K61" s="1676" t="str">
        <f>IF((LEN(E61)-LEN(SUBSTITUTE(E61,".","")))/LEN(".")=1,"p","")</f>
        <v/>
      </c>
      <c r="L61" s="1676"/>
      <c r="M61" s="1676"/>
      <c r="R61" s="1676"/>
      <c r="U61" s="550"/>
      <c r="AA61" s="1672"/>
      <c r="AB61" s="1672"/>
      <c r="AC61" s="1672"/>
      <c r="AD61" s="1672"/>
      <c r="AE61" s="1672"/>
    </row>
    <row s="3292" customFormat="1" customHeight="1" ht="11.25">
      <c r="A62" s="994"/>
      <c r="C62" s="1676"/>
      <c r="D62" s="1678"/>
      <c r="E62" s="552" t="str">
        <f>FHD_NUM_P_26</f>
        <v>2.11</v>
      </c>
      <c r="F62" s="1554" t="str">
        <f>FHD_P_26</f>
        <v>Общехозяйственные расходы, в том числе:</v>
      </c>
      <c r="G62" s="1921" t="s">
        <v>540</v>
      </c>
      <c r="H62" s="563"/>
      <c r="I62" s="563"/>
      <c r="J62" s="277" t="str">
        <f>FHD_NOTE_P_26</f>
        <v>Указывается общая сумма общехозяйственных расходов.</v>
      </c>
      <c r="K62" s="1676" t="str">
        <f>IF((LEN(E62)-LEN(SUBSTITUTE(E62,".","")))/LEN(".")=1,"p","")</f>
        <v>p</v>
      </c>
      <c r="L62" s="1676"/>
      <c r="M62" s="1676"/>
      <c r="R62" s="1676"/>
      <c r="U62" s="550"/>
      <c r="AA62" s="1672"/>
      <c r="AB62" s="1672"/>
      <c r="AC62" s="1672"/>
      <c r="AD62" s="1672"/>
      <c r="AE62" s="1672"/>
    </row>
    <row s="3292" customFormat="1" customHeight="1" ht="11.25">
      <c r="A63" s="994"/>
      <c r="C63" s="1676"/>
      <c r="D63" s="1678"/>
      <c r="E63" s="552" t="str">
        <f>FHD_NUM_P_27</f>
        <v>2.11.1</v>
      </c>
      <c r="F63" s="1690" t="str">
        <f>FHD_P_27</f>
        <v>Расходы на текущий ремонт</v>
      </c>
      <c r="G63" s="1921" t="s">
        <v>540</v>
      </c>
      <c r="H63" s="563"/>
      <c r="I63" s="563"/>
      <c r="J63" s="277" t="str">
        <f>FHD_NOTE_P_27</f>
        <v>Указываются расходы на текущий ремонт, отнесенные к общехозяйственным расходам.</v>
      </c>
      <c r="K63" s="1676" t="str">
        <f>IF((LEN(E63)-LEN(SUBSTITUTE(E63,".","")))/LEN(".")=1,"p","")</f>
        <v/>
      </c>
      <c r="L63" s="1676"/>
      <c r="M63" s="1676"/>
      <c r="R63" s="1676"/>
      <c r="U63" s="550"/>
      <c r="AA63" s="1672"/>
      <c r="AB63" s="1672"/>
      <c r="AC63" s="1672"/>
      <c r="AD63" s="1672"/>
      <c r="AE63" s="1672"/>
    </row>
    <row s="3292" customFormat="1" customHeight="1" ht="11.25">
      <c r="A64" s="994"/>
      <c r="C64" s="1676"/>
      <c r="D64" s="1678"/>
      <c r="E64" s="552" t="str">
        <f>FHD_NUM_P_28</f>
        <v>2.11.2</v>
      </c>
      <c r="F64" s="1690" t="str">
        <f>FHD_P_28</f>
        <v>Расходы на капитальный ремонт</v>
      </c>
      <c r="G64" s="1921" t="s">
        <v>540</v>
      </c>
      <c r="H64" s="563"/>
      <c r="I64" s="563"/>
      <c r="J64" s="277" t="str">
        <f>FHD_NOTE_P_28</f>
        <v>Указываются расходы на капитальный ремонт, отнесенные к общехозяйственным расходам.</v>
      </c>
      <c r="K64" s="1676" t="str">
        <f>IF((LEN(E64)-LEN(SUBSTITUTE(E64,".","")))/LEN(".")=1,"p","")</f>
        <v/>
      </c>
      <c r="L64" s="1676"/>
      <c r="M64" s="1676"/>
      <c r="R64" s="1676"/>
      <c r="U64" s="550"/>
      <c r="AA64" s="1672"/>
      <c r="AB64" s="1672"/>
      <c r="AC64" s="1672"/>
      <c r="AD64" s="1672"/>
      <c r="AE64" s="1672"/>
    </row>
    <row s="3292" customFormat="1" customHeight="1" ht="11.25">
      <c r="A65" s="994"/>
      <c r="C65" s="1676"/>
      <c r="D65" s="1678"/>
      <c r="E65" s="552" t="str">
        <f>FHD_NUM_P_29</f>
        <v>2.12</v>
      </c>
      <c r="F65" s="1554" t="str">
        <f>FHD_P_29</f>
        <v>Расходы на капитальный и текущий ремонт основных средств</v>
      </c>
      <c r="G65" s="1921" t="s">
        <v>540</v>
      </c>
      <c r="H65" s="563"/>
      <c r="I65" s="563"/>
      <c r="J65" s="277"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76" t="str">
        <f>IF((LEN(E65)-LEN(SUBSTITUTE(E65,".","")))/LEN(".")=1,"p","")</f>
        <v>p</v>
      </c>
      <c r="L65" s="1676"/>
      <c r="M65" s="1676"/>
      <c r="R65" s="1676"/>
      <c r="U65" s="550"/>
      <c r="AA65" s="1672"/>
      <c r="AB65" s="1672"/>
      <c r="AC65" s="1672"/>
      <c r="AD65" s="1672"/>
      <c r="AE65" s="1672"/>
    </row>
    <row s="3292" customFormat="1" customHeight="1" ht="11.25">
      <c r="A66" s="994"/>
      <c r="C66" s="1676"/>
      <c r="D66" s="1678"/>
      <c r="E66" s="552" t="str">
        <f>FHD_NUM_P_30</f>
        <v>2.12.1</v>
      </c>
      <c r="F66" s="1690"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21" t="s">
        <v>299</v>
      </c>
      <c r="H66" s="1689" t="s">
        <v>563</v>
      </c>
      <c r="I66" s="1689" t="s">
        <v>563</v>
      </c>
      <c r="J66" s="277" t="str">
        <f>FHD_NOTE_P_30</f>
        <v/>
      </c>
      <c r="K66" s="1676" t="str">
        <f>IF((LEN(E66)-LEN(SUBSTITUTE(E66,".","")))/LEN(".")=1,"p","")</f>
        <v/>
      </c>
      <c r="L66" s="1676">
        <f>_xlfn.IFERROR(MATCH("есть",B_FHD_FLAG_INDEX_1,0),0)</f>
        <v>0</v>
      </c>
      <c r="M66" s="1676"/>
      <c r="R66" s="1676"/>
      <c r="U66" s="550"/>
      <c r="AA66" s="1672"/>
      <c r="AB66" s="1672"/>
      <c r="AC66" s="1672"/>
      <c r="AD66" s="1672"/>
      <c r="AE66" s="1672"/>
    </row>
    <row s="3292" customFormat="1" customHeight="1" ht="22.5" hidden="1">
      <c r="A67" s="2210" t="s">
        <v>564</v>
      </c>
      <c r="C67" s="1676"/>
      <c r="D67" s="1678"/>
      <c r="E67" s="552" t="str">
        <f>FHD_NUM_P_31</f>
        <v/>
      </c>
      <c r="F67" s="1554" t="str">
        <f>FHD_P_31</f>
        <v/>
      </c>
      <c r="G67" s="1921" t="s">
        <v>540</v>
      </c>
      <c r="H67" s="563"/>
      <c r="I67" s="563"/>
      <c r="J67" s="277" t="str">
        <f>FHD_NOTE_P_31</f>
        <v/>
      </c>
      <c r="K67" s="1676" t="str">
        <f>IF((LEN(E67)-LEN(SUBSTITUTE(E67,".","")))/LEN(".")=1,"p","")</f>
        <v/>
      </c>
      <c r="L67" s="1676"/>
      <c r="M67" s="1676"/>
      <c r="R67" s="1676"/>
      <c r="U67" s="550"/>
      <c r="AA67" s="1672"/>
      <c r="AB67" s="1672"/>
      <c r="AC67" s="1672"/>
      <c r="AD67" s="1672"/>
      <c r="AE67" s="1672"/>
    </row>
    <row s="3292" customFormat="1" customHeight="1" ht="45" hidden="1">
      <c r="A68" s="2210"/>
      <c r="C68" s="1676"/>
      <c r="D68" s="1678"/>
      <c r="E68" s="552" t="str">
        <f>FHD_NUM_P_32</f>
        <v/>
      </c>
      <c r="F68" s="1690" t="str">
        <f>FHD_P_32</f>
        <v/>
      </c>
      <c r="G68" s="1921" t="s">
        <v>299</v>
      </c>
      <c r="H68" s="1689" t="s">
        <v>563</v>
      </c>
      <c r="I68" s="1689" t="s">
        <v>563</v>
      </c>
      <c r="J68" s="277" t="str">
        <f>FHD_NOTE_P_32</f>
        <v/>
      </c>
      <c r="K68" s="1676" t="str">
        <f>IF((LEN(E68)-LEN(SUBSTITUTE(E68,".","")))/LEN(".")=1,"p","")</f>
        <v/>
      </c>
      <c r="L68" s="1676">
        <f>_xlfn.IFERROR(MATCH("есть",B_FHD_FLAG_INDEX_2,0),0)</f>
        <v>0</v>
      </c>
      <c r="M68" s="1676"/>
      <c r="R68" s="1676"/>
      <c r="U68" s="550"/>
      <c r="AA68" s="1672"/>
      <c r="AB68" s="1672"/>
      <c r="AC68" s="1672"/>
      <c r="AD68" s="1672"/>
      <c r="AE68" s="1672"/>
    </row>
    <row s="3292" customFormat="1" customHeight="1" ht="11.25">
      <c r="A69" s="994"/>
      <c r="C69" s="1676"/>
      <c r="D69" s="1678"/>
      <c r="E69" s="552" t="str">
        <f>FHD_NUM_P_33</f>
        <v>2.13</v>
      </c>
      <c r="F69" s="1554" t="str">
        <f>FHD_P_33</f>
        <v>Прочие расходы, которые подлежат отнесению на регулируемые виды деятельности в соответствии с законодательством Российской Федерации</v>
      </c>
      <c r="G69" s="1922" t="s">
        <v>540</v>
      </c>
      <c r="H69" s="585">
        <f>SUM(H70:H71)</f>
        <v>0</v>
      </c>
      <c r="I69" s="585">
        <f>SUM(I70:I71)</f>
        <v>0</v>
      </c>
      <c r="J69" s="277"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676" t="str">
        <f>IF((LEN(E69)-LEN(SUBSTITUTE(E69,".","")))/LEN(".")=1,"p","")</f>
        <v>p</v>
      </c>
      <c r="L69" s="1676"/>
      <c r="M69" s="1676"/>
      <c r="R69" s="1676"/>
      <c r="U69" s="550"/>
      <c r="AA69" s="1672"/>
      <c r="AB69" s="1672"/>
      <c r="AC69" s="1672"/>
      <c r="AD69" s="1672"/>
      <c r="AE69" s="1672"/>
    </row>
    <row s="3842" customFormat="1" customHeight="1" ht="0.75">
      <c r="A70" s="1175"/>
      <c r="D70" s="554"/>
      <c r="E70" s="1020" t="str">
        <f>E69&amp;".0"</f>
        <v>2.13.0</v>
      </c>
      <c r="F70" s="998"/>
      <c r="G70" s="1020"/>
      <c r="H70" s="999"/>
      <c r="I70" s="999"/>
      <c r="J70" s="1000"/>
      <c r="K70" s="1676" t="str">
        <f>IF((LEN(E70)-LEN(SUBSTITUTE(E70,".","")))/LEN(".")=1,"p","")</f>
        <v/>
      </c>
    </row>
    <row s="3292" customFormat="1" customHeight="1" ht="14.25">
      <c r="A71" s="994"/>
      <c r="C71" s="1676"/>
      <c r="D71" s="1673"/>
      <c r="E71" s="576"/>
      <c r="F71" s="577" t="s">
        <v>565</v>
      </c>
      <c r="G71" s="578"/>
      <c r="H71" s="579"/>
      <c r="I71" s="579"/>
      <c r="J71" s="289"/>
      <c r="K71" s="1676"/>
      <c r="L71" s="1676"/>
      <c r="M71" s="1676"/>
      <c r="R71" s="1676"/>
      <c r="U71" s="550"/>
      <c r="AA71" s="1672"/>
      <c r="AB71" s="1672"/>
      <c r="AC71" s="1672"/>
      <c r="AD71" s="1672"/>
      <c r="AE71" s="1672"/>
    </row>
    <row s="3292" customFormat="1" customHeight="1" ht="18.75">
      <c r="A72" s="996" t="s">
        <v>566</v>
      </c>
      <c r="C72" s="1676"/>
      <c r="D72" s="1678"/>
      <c r="E72" s="552" t="str">
        <f>FHD_NUM_P_34</f>
        <v>3</v>
      </c>
      <c r="F72" s="1923" t="str">
        <f>FHD_P_34</f>
        <v>Валовая прибыль (убытки) от реализации товаров и оказания услуг по регулируемому виду деятельности</v>
      </c>
      <c r="G72" s="1921" t="s">
        <v>540</v>
      </c>
      <c r="H72" s="563"/>
      <c r="I72" s="563"/>
      <c r="J72" s="277" t="str">
        <f>FHD_NOTE_P_34</f>
        <v/>
      </c>
      <c r="K72" s="549"/>
      <c r="L72" s="1676"/>
      <c r="M72" s="1676"/>
      <c r="R72" s="1676"/>
      <c r="U72" s="550"/>
      <c r="AA72" s="1672"/>
      <c r="AB72" s="1672"/>
      <c r="AC72" s="1672"/>
      <c r="AD72" s="1672"/>
      <c r="AE72" s="1672"/>
    </row>
    <row s="3292" customFormat="1" customHeight="1" ht="18.75">
      <c r="A73" s="994"/>
      <c r="C73" s="1676"/>
      <c r="D73" s="581"/>
      <c r="E73" s="552" t="str">
        <f>FHD_NUM_P_35</f>
        <v>4</v>
      </c>
      <c r="F73" s="1923" t="str">
        <f>FHD_P_35</f>
        <v>Чистая прибыль, полученная от регулируемого вида деятельности, в том числе:</v>
      </c>
      <c r="G73" s="1921" t="s">
        <v>540</v>
      </c>
      <c r="H73" s="563"/>
      <c r="I73" s="563"/>
      <c r="J73" s="277" t="str">
        <f>FHD_NOTE_P_35</f>
        <v>Указывается общая сумма чистой прибыли, полученной от регулируемого вида деятельности.</v>
      </c>
      <c r="K73" s="549"/>
      <c r="L73" s="1676"/>
      <c r="M73" s="1676"/>
      <c r="R73" s="1676"/>
      <c r="U73" s="550"/>
      <c r="AA73" s="1672"/>
      <c r="AB73" s="1672"/>
      <c r="AC73" s="1672"/>
      <c r="AD73" s="1672"/>
      <c r="AE73" s="1672"/>
    </row>
    <row s="3292" customFormat="1" customHeight="1" ht="18.75">
      <c r="A74" s="994"/>
      <c r="C74" s="1676"/>
      <c r="D74" s="1678"/>
      <c r="E74" s="552" t="str">
        <f>FHD_NUM_P_36</f>
        <v>4.1</v>
      </c>
      <c r="F74" s="1554"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21" t="s">
        <v>540</v>
      </c>
      <c r="H74" s="563"/>
      <c r="I74" s="563"/>
      <c r="J74" s="277" t="str">
        <f>FHD_NOTE_P_36</f>
        <v/>
      </c>
      <c r="K74" s="549"/>
      <c r="L74" s="1676"/>
      <c r="M74" s="1676"/>
      <c r="R74" s="1676"/>
      <c r="U74" s="550"/>
      <c r="AA74" s="1672"/>
      <c r="AB74" s="1672"/>
      <c r="AC74" s="1672"/>
      <c r="AD74" s="1672"/>
      <c r="AE74" s="1672"/>
    </row>
    <row s="3292" customFormat="1" customHeight="1" ht="18.75">
      <c r="A75" s="994"/>
      <c r="C75" s="1676"/>
      <c r="D75" s="1678"/>
      <c r="E75" s="552" t="str">
        <f>FHD_NUM_P_37</f>
        <v>5</v>
      </c>
      <c r="F75" s="1923" t="str">
        <f>FHD_P_37</f>
        <v>Изменение стоимости основных фондов, в том числе:</v>
      </c>
      <c r="G75" s="1921" t="s">
        <v>540</v>
      </c>
      <c r="H75" s="563"/>
      <c r="I75" s="563"/>
      <c r="J75" s="277" t="str">
        <f>FHD_NOTE_P_37</f>
        <v>Указывается общее изменение стоимости основных фондов.</v>
      </c>
      <c r="K75" s="549"/>
      <c r="L75" s="1676"/>
      <c r="M75" s="1676"/>
      <c r="R75" s="1676"/>
      <c r="U75" s="550"/>
      <c r="AA75" s="1672"/>
      <c r="AB75" s="1672"/>
      <c r="AC75" s="1672"/>
      <c r="AD75" s="1672"/>
      <c r="AE75" s="1672"/>
    </row>
    <row s="3292" customFormat="1" customHeight="1" ht="18.75">
      <c r="A76" s="994"/>
      <c r="C76" s="1676"/>
      <c r="D76" s="1678"/>
      <c r="E76" s="552" t="str">
        <f>FHD_NUM_P_38</f>
        <v>5.1</v>
      </c>
      <c r="F76" s="1554" t="str">
        <f>FHD_P_38</f>
        <v>Изменение стоимости основных фондов за счет:</v>
      </c>
      <c r="G76" s="1921" t="s">
        <v>540</v>
      </c>
      <c r="H76" s="563"/>
      <c r="I76" s="563"/>
      <c r="J76" s="277" t="str">
        <f>FHD_NOTE_P_38</f>
        <v>Указываются общее изменение стоимости основных фондов за счет их ввода в эксплуатацию и вывода из эксплуатации.</v>
      </c>
      <c r="K76" s="549"/>
      <c r="L76" s="1676"/>
      <c r="M76" s="1676"/>
      <c r="R76" s="1676"/>
      <c r="U76" s="550"/>
      <c r="AA76" s="1672"/>
      <c r="AB76" s="1672"/>
      <c r="AC76" s="1672"/>
      <c r="AD76" s="1672"/>
      <c r="AE76" s="1672"/>
    </row>
    <row s="3292" customFormat="1" customHeight="1" ht="18.75">
      <c r="A77" s="994"/>
      <c r="C77" s="1676"/>
      <c r="D77" s="1678"/>
      <c r="E77" s="552" t="str">
        <f>FHD_NUM_P_39</f>
        <v>5.1.1</v>
      </c>
      <c r="F77" s="1690" t="str">
        <f>FHD_P_39</f>
        <v>Изменения стоимости основных фондов за счет их ввода в эксплуатацию</v>
      </c>
      <c r="G77" s="1921" t="s">
        <v>540</v>
      </c>
      <c r="H77" s="563"/>
      <c r="I77" s="563"/>
      <c r="J77" s="277" t="str">
        <f>FHD_NOTE_P_39</f>
        <v>Указываются изменение стоимости основных фондов за счет их ввода в эксплуатацию.</v>
      </c>
      <c r="K77" s="549"/>
      <c r="L77" s="1676"/>
      <c r="M77" s="1676"/>
      <c r="R77" s="1676"/>
      <c r="U77" s="550"/>
      <c r="AA77" s="1672"/>
      <c r="AB77" s="1672"/>
      <c r="AC77" s="1672"/>
      <c r="AD77" s="1672"/>
      <c r="AE77" s="1672"/>
    </row>
    <row s="3292" customFormat="1" customHeight="1" ht="18.75">
      <c r="A78" s="994"/>
      <c r="C78" s="1676"/>
      <c r="D78" s="1678"/>
      <c r="E78" s="552" t="str">
        <f>FHD_NUM_P_40</f>
        <v>5.1.2</v>
      </c>
      <c r="F78" s="1690" t="str">
        <f>FHD_P_40</f>
        <v>Изменения стоимости основных фондов за счет их вывода в эксплуатацию</v>
      </c>
      <c r="G78" s="1921" t="s">
        <v>540</v>
      </c>
      <c r="H78" s="563"/>
      <c r="I78" s="563"/>
      <c r="J78" s="277" t="str">
        <f>FHD_NOTE_P_40</f>
        <v>Указываются изменение стоимости основных фондов за счет их вывода из эксплуатации.</v>
      </c>
      <c r="K78" s="549"/>
      <c r="L78" s="1676"/>
      <c r="M78" s="1676"/>
      <c r="R78" s="1676"/>
      <c r="U78" s="550"/>
      <c r="AA78" s="1672"/>
      <c r="AB78" s="1672"/>
      <c r="AC78" s="1672"/>
      <c r="AD78" s="1672"/>
      <c r="AE78" s="1672"/>
    </row>
    <row s="3292" customFormat="1" customHeight="1" ht="18.75">
      <c r="A79" s="994"/>
      <c r="C79" s="1676"/>
      <c r="D79" s="1678"/>
      <c r="E79" s="552" t="str">
        <f>FHD_NUM_P_41</f>
        <v>5.2</v>
      </c>
      <c r="F79" s="1554" t="str">
        <f>FHD_P_41</f>
        <v>Изменение стоимости основных фондов за счет их переоценки</v>
      </c>
      <c r="G79" s="1922" t="s">
        <v>540</v>
      </c>
      <c r="H79" s="563"/>
      <c r="I79" s="563"/>
      <c r="J79" s="277" t="str">
        <f>FHD_NOTE_P_41</f>
        <v/>
      </c>
      <c r="K79" s="549"/>
      <c r="L79" s="1676"/>
      <c r="M79" s="1676"/>
      <c r="R79" s="1676"/>
      <c r="U79" s="550"/>
      <c r="AA79" s="1672"/>
      <c r="AB79" s="1672"/>
      <c r="AC79" s="1672"/>
      <c r="AD79" s="1672"/>
      <c r="AE79" s="1672"/>
    </row>
    <row s="3292" customFormat="1" customHeight="1" ht="18.75" hidden="1">
      <c r="A80" s="996" t="s">
        <v>567</v>
      </c>
      <c r="C80" s="1676"/>
      <c r="D80" s="1678"/>
      <c r="E80" s="552" t="str">
        <f>FHD_NUM_P_42</f>
        <v/>
      </c>
      <c r="F80" s="1923" t="str">
        <f>FHD_P_42</f>
        <v/>
      </c>
      <c r="G80" s="1921" t="s">
        <v>540</v>
      </c>
      <c r="H80" s="983"/>
      <c r="I80" s="563"/>
      <c r="J80" s="277" t="str">
        <f>FHD_NOTE_P_42</f>
        <v/>
      </c>
      <c r="K80" s="549"/>
      <c r="L80" s="1676"/>
      <c r="M80" s="1676"/>
      <c r="R80" s="1676"/>
      <c r="U80" s="550"/>
      <c r="AA80" s="1672"/>
      <c r="AB80" s="1672"/>
      <c r="AC80" s="1672"/>
      <c r="AD80" s="1672"/>
      <c r="AE80" s="1672"/>
    </row>
    <row s="3292" customFormat="1" customHeight="1" ht="18.75">
      <c r="A81" s="994"/>
      <c r="C81" s="1676"/>
      <c r="D81" s="1678"/>
      <c r="E81" s="552" t="str">
        <f>FHD_NUM_P_43</f>
        <v>6</v>
      </c>
      <c r="F81" s="1923" t="str">
        <f>FHD_P_43</f>
        <v>Годовая бухгалтерская (финансовая) отчетность, включая бухгалтерский баланс и приложения к нему</v>
      </c>
      <c r="G81" s="1921" t="s">
        <v>299</v>
      </c>
      <c r="H81" s="1062"/>
      <c r="I81" s="824"/>
      <c r="J81" s="277"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549"/>
      <c r="L81" s="1676"/>
      <c r="M81" s="1676"/>
      <c r="R81" s="1676"/>
      <c r="U81" s="550"/>
      <c r="AA81" s="1672"/>
      <c r="AB81" s="1672"/>
      <c r="AC81" s="1672"/>
      <c r="AD81" s="1672"/>
      <c r="AE81" s="1672"/>
    </row>
    <row s="3913" customFormat="1" customHeight="1" ht="18.75" hidden="1">
      <c r="A82" s="2210" t="s">
        <v>568</v>
      </c>
      <c r="C82" s="741"/>
      <c r="D82" s="739"/>
      <c r="E82" s="552" t="str">
        <f>FHD_NUM_P_44</f>
        <v/>
      </c>
      <c r="F82" s="1923" t="str">
        <f>FHD_P_44</f>
        <v/>
      </c>
      <c r="G82" s="1924" t="s">
        <v>569</v>
      </c>
      <c r="H82" s="984"/>
      <c r="I82" s="583"/>
      <c r="J82" s="277" t="str">
        <f>FHD_NOTE_P_44</f>
        <v/>
      </c>
      <c r="K82" s="740"/>
      <c r="L82" s="741"/>
      <c r="M82" s="741"/>
      <c r="R82" s="741"/>
      <c r="U82" s="742"/>
      <c r="AA82" s="743"/>
      <c r="AB82" s="743"/>
      <c r="AC82" s="743"/>
      <c r="AD82" s="743"/>
      <c r="AE82" s="743"/>
    </row>
    <row s="3913" customFormat="1" customHeight="1" ht="18.75" hidden="1">
      <c r="A83" s="2210"/>
      <c r="C83" s="741"/>
      <c r="D83" s="739"/>
      <c r="E83" s="552" t="str">
        <f>FHD_NUM_P_45</f>
        <v/>
      </c>
      <c r="F83" s="1923" t="str">
        <f>FHD_P_45</f>
        <v/>
      </c>
      <c r="G83" s="1924" t="s">
        <v>569</v>
      </c>
      <c r="H83" s="984"/>
      <c r="I83" s="583"/>
      <c r="J83" s="277" t="str">
        <f>FHD_NOTE_P_45</f>
        <v/>
      </c>
      <c r="K83" s="740"/>
      <c r="L83" s="741"/>
      <c r="M83" s="741"/>
      <c r="R83" s="741"/>
      <c r="U83" s="742"/>
      <c r="AA83" s="743"/>
      <c r="AB83" s="743"/>
      <c r="AC83" s="743"/>
      <c r="AD83" s="743"/>
      <c r="AE83" s="743"/>
    </row>
    <row s="3913" customFormat="1" customHeight="1" ht="18.75" hidden="1">
      <c r="A84" s="2210"/>
      <c r="C84" s="741"/>
      <c r="D84" s="744"/>
      <c r="E84" s="552" t="str">
        <f>FHD_NUM_P_46</f>
        <v/>
      </c>
      <c r="F84" s="1923" t="str">
        <f>FHD_P_46</f>
        <v/>
      </c>
      <c r="G84" s="1924" t="s">
        <v>569</v>
      </c>
      <c r="H84" s="984"/>
      <c r="I84" s="583"/>
      <c r="J84" s="277" t="str">
        <f>FHD_NOTE_P_46</f>
        <v/>
      </c>
      <c r="K84" s="740"/>
      <c r="L84" s="741"/>
      <c r="M84" s="741"/>
      <c r="R84" s="741"/>
      <c r="U84" s="742"/>
      <c r="AA84" s="743"/>
      <c r="AB84" s="743"/>
      <c r="AC84" s="743"/>
      <c r="AD84" s="743"/>
      <c r="AE84" s="743"/>
    </row>
    <row s="3913" customFormat="1" customHeight="1" ht="18.75" hidden="1">
      <c r="A85" s="2210"/>
      <c r="C85" s="741"/>
      <c r="D85" s="739"/>
      <c r="E85" s="552" t="str">
        <f>FHD_NUM_P_47</f>
        <v/>
      </c>
      <c r="F85" s="1923" t="str">
        <f>FHD_P_47</f>
        <v/>
      </c>
      <c r="G85" s="1924" t="s">
        <v>569</v>
      </c>
      <c r="H85" s="984"/>
      <c r="I85" s="583"/>
      <c r="J85" s="277" t="str">
        <f>FHD_NOTE_P_47</f>
        <v/>
      </c>
      <c r="K85" s="740"/>
      <c r="L85" s="741"/>
      <c r="M85" s="741"/>
      <c r="R85" s="741"/>
      <c r="U85" s="742"/>
      <c r="AA85" s="743"/>
      <c r="AB85" s="743"/>
      <c r="AC85" s="743"/>
      <c r="AD85" s="743"/>
      <c r="AE85" s="743"/>
    </row>
    <row s="3922" customFormat="1" customHeight="1" ht="18.75" hidden="1">
      <c r="A86" s="2210"/>
      <c r="B86" s="916"/>
      <c r="C86" s="741"/>
      <c r="D86" s="739"/>
      <c r="E86" s="552" t="str">
        <f>FHD_NUM_P_48</f>
        <v/>
      </c>
      <c r="F86" s="1923" t="str">
        <f>FHD_P_48</f>
        <v/>
      </c>
      <c r="G86" s="1924" t="s">
        <v>569</v>
      </c>
      <c r="H86" s="984"/>
      <c r="I86" s="583"/>
      <c r="J86" s="277" t="str">
        <f>FHD_NOTE_P_48</f>
        <v/>
      </c>
      <c r="K86" s="740"/>
      <c r="L86" s="741"/>
      <c r="M86" s="741"/>
      <c r="N86" s="916"/>
      <c r="O86" s="916"/>
      <c r="P86" s="916"/>
      <c r="Q86" s="916"/>
      <c r="R86" s="741"/>
      <c r="S86" s="916"/>
      <c r="T86" s="916"/>
      <c r="U86" s="742"/>
      <c r="V86" s="916"/>
      <c r="W86" s="916"/>
      <c r="X86" s="916"/>
      <c r="Y86" s="916"/>
      <c r="Z86" s="916"/>
      <c r="AA86" s="743"/>
      <c r="AB86" s="743"/>
      <c r="AC86" s="743"/>
      <c r="AD86" s="743"/>
      <c r="AE86" s="743"/>
    </row>
    <row s="3922" customFormat="1" customHeight="1" ht="18.75" hidden="1">
      <c r="A87" s="2210"/>
      <c r="B87" s="916"/>
      <c r="C87" s="741"/>
      <c r="D87" s="739"/>
      <c r="E87" s="552" t="str">
        <f>FHD_NUM_P_49</f>
        <v/>
      </c>
      <c r="F87" s="1923" t="str">
        <f>FHD_P_49</f>
        <v/>
      </c>
      <c r="G87" s="1924" t="s">
        <v>569</v>
      </c>
      <c r="H87" s="985">
        <f>SUM(H88:H89)</f>
        <v>0</v>
      </c>
      <c r="I87" s="755">
        <f>SUM(I88:I89)</f>
        <v>0</v>
      </c>
      <c r="J87" s="277" t="str">
        <f>FHD_NOTE_P_49</f>
        <v/>
      </c>
      <c r="K87" s="740"/>
      <c r="L87" s="741"/>
      <c r="M87" s="741"/>
      <c r="N87" s="916"/>
      <c r="O87" s="916"/>
      <c r="P87" s="916"/>
      <c r="Q87" s="916"/>
      <c r="R87" s="741"/>
      <c r="S87" s="916"/>
      <c r="T87" s="916"/>
      <c r="U87" s="742"/>
      <c r="V87" s="916"/>
      <c r="W87" s="916"/>
      <c r="X87" s="916"/>
      <c r="Y87" s="916"/>
      <c r="Z87" s="916"/>
      <c r="AA87" s="743"/>
      <c r="AB87" s="743"/>
      <c r="AC87" s="743"/>
      <c r="AD87" s="743"/>
      <c r="AE87" s="743"/>
    </row>
    <row s="3922" customFormat="1" customHeight="1" ht="18.75" hidden="1">
      <c r="A88" s="2210"/>
      <c r="B88" s="916"/>
      <c r="C88" s="741"/>
      <c r="D88" s="739"/>
      <c r="E88" s="552" t="str">
        <f>FHD_NUM_P_50</f>
        <v/>
      </c>
      <c r="F88" s="1923" t="str">
        <f>FHD_P_50</f>
        <v/>
      </c>
      <c r="G88" s="1924" t="s">
        <v>569</v>
      </c>
      <c r="H88" s="984"/>
      <c r="I88" s="583"/>
      <c r="J88" s="277" t="str">
        <f>FHD_NOTE_P_50</f>
        <v/>
      </c>
      <c r="K88" s="740"/>
      <c r="L88" s="741"/>
      <c r="M88" s="741"/>
      <c r="N88" s="916"/>
      <c r="O88" s="916"/>
      <c r="P88" s="916"/>
      <c r="Q88" s="916"/>
      <c r="R88" s="741"/>
      <c r="S88" s="916"/>
      <c r="T88" s="916"/>
      <c r="U88" s="742"/>
      <c r="V88" s="916"/>
      <c r="W88" s="916"/>
      <c r="X88" s="916"/>
      <c r="Y88" s="916"/>
      <c r="Z88" s="916"/>
      <c r="AA88" s="743"/>
      <c r="AB88" s="743"/>
      <c r="AC88" s="743"/>
      <c r="AD88" s="743"/>
      <c r="AE88" s="743"/>
    </row>
    <row s="3922" customFormat="1" customHeight="1" ht="18.75" hidden="1">
      <c r="A89" s="2210"/>
      <c r="B89" s="916"/>
      <c r="C89" s="741"/>
      <c r="D89" s="739"/>
      <c r="E89" s="552" t="str">
        <f>FHD_NUM_P_51</f>
        <v/>
      </c>
      <c r="F89" s="1923" t="str">
        <f>FHD_P_51</f>
        <v/>
      </c>
      <c r="G89" s="1924" t="s">
        <v>569</v>
      </c>
      <c r="H89" s="984"/>
      <c r="I89" s="583"/>
      <c r="J89" s="277" t="str">
        <f>FHD_NOTE_P_51</f>
        <v/>
      </c>
      <c r="K89" s="740"/>
      <c r="L89" s="741"/>
      <c r="M89" s="741"/>
      <c r="N89" s="916"/>
      <c r="O89" s="916"/>
      <c r="P89" s="916"/>
      <c r="Q89" s="916"/>
      <c r="R89" s="741"/>
      <c r="S89" s="916"/>
      <c r="T89" s="916"/>
      <c r="U89" s="742"/>
      <c r="V89" s="916"/>
      <c r="W89" s="916"/>
      <c r="X89" s="916"/>
      <c r="Y89" s="916"/>
      <c r="Z89" s="916"/>
      <c r="AA89" s="743"/>
      <c r="AB89" s="743"/>
      <c r="AC89" s="743"/>
      <c r="AD89" s="743"/>
      <c r="AE89" s="743"/>
    </row>
    <row s="3922" customFormat="1" customHeight="1" ht="18.75" hidden="1">
      <c r="A90" s="2210"/>
      <c r="B90" s="916"/>
      <c r="C90" s="741"/>
      <c r="D90" s="739"/>
      <c r="E90" s="552" t="str">
        <f>FHD_NUM_P_52</f>
        <v/>
      </c>
      <c r="F90" s="1923" t="str">
        <f>FHD_P_52</f>
        <v/>
      </c>
      <c r="G90" s="1924" t="s">
        <v>546</v>
      </c>
      <c r="H90" s="983"/>
      <c r="I90" s="563"/>
      <c r="J90" s="277" t="str">
        <f>FHD_NOTE_P_52</f>
        <v/>
      </c>
      <c r="K90" s="740"/>
      <c r="L90" s="741"/>
      <c r="M90" s="741"/>
      <c r="N90" s="916"/>
      <c r="O90" s="916"/>
      <c r="P90" s="916"/>
      <c r="Q90" s="916"/>
      <c r="R90" s="741"/>
      <c r="S90" s="916"/>
      <c r="T90" s="916"/>
      <c r="U90" s="742"/>
      <c r="V90" s="916"/>
      <c r="W90" s="916"/>
      <c r="X90" s="916"/>
      <c r="Y90" s="916"/>
      <c r="Z90" s="916"/>
      <c r="AA90" s="743"/>
      <c r="AB90" s="743"/>
      <c r="AC90" s="743"/>
      <c r="AD90" s="743"/>
      <c r="AE90" s="743"/>
    </row>
    <row s="3913" customFormat="1" customHeight="1" ht="18.75" hidden="1">
      <c r="A91" s="2212" t="s">
        <v>570</v>
      </c>
      <c r="C91" s="741"/>
      <c r="D91" s="739"/>
      <c r="E91" s="552" t="str">
        <f>FHD_NUM_P_53</f>
        <v/>
      </c>
      <c r="F91" s="1923" t="str">
        <f>FHD_P_53</f>
        <v/>
      </c>
      <c r="G91" s="1924" t="s">
        <v>569</v>
      </c>
      <c r="H91" s="984"/>
      <c r="I91" s="583"/>
      <c r="J91" s="277" t="str">
        <f>FHD_NOTE_P_53</f>
        <v/>
      </c>
      <c r="K91" s="740"/>
      <c r="L91" s="741"/>
      <c r="M91" s="741"/>
      <c r="R91" s="741"/>
      <c r="U91" s="742"/>
      <c r="AA91" s="743"/>
      <c r="AB91" s="743"/>
      <c r="AC91" s="743"/>
      <c r="AD91" s="743"/>
      <c r="AE91" s="743"/>
    </row>
    <row s="3913" customFormat="1" customHeight="1" ht="18.75" hidden="1">
      <c r="A92" s="2212"/>
      <c r="C92" s="741"/>
      <c r="D92" s="739"/>
      <c r="E92" s="552" t="str">
        <f>FHD_NUM_P_54</f>
        <v/>
      </c>
      <c r="F92" s="1923" t="str">
        <f>FHD_P_54</f>
        <v/>
      </c>
      <c r="G92" s="1924" t="s">
        <v>569</v>
      </c>
      <c r="H92" s="984"/>
      <c r="I92" s="583"/>
      <c r="J92" s="277" t="str">
        <f>FHD_NOTE_P_54</f>
        <v/>
      </c>
      <c r="K92" s="740"/>
      <c r="L92" s="741"/>
      <c r="M92" s="741"/>
      <c r="R92" s="741"/>
      <c r="U92" s="742"/>
      <c r="AA92" s="743"/>
      <c r="AB92" s="743"/>
      <c r="AC92" s="743"/>
      <c r="AD92" s="743"/>
      <c r="AE92" s="743"/>
    </row>
    <row s="3913" customFormat="1" customHeight="1" ht="18.75" hidden="1">
      <c r="A93" s="2212"/>
      <c r="C93" s="741"/>
      <c r="D93" s="744"/>
      <c r="E93" s="552" t="str">
        <f>FHD_NUM_P_55</f>
        <v/>
      </c>
      <c r="F93" s="1923" t="str">
        <f>FHD_P_55</f>
        <v/>
      </c>
      <c r="G93" s="1927"/>
      <c r="H93" s="984"/>
      <c r="I93" s="583"/>
      <c r="J93" s="277" t="str">
        <f>FHD_NOTE_P_55</f>
        <v/>
      </c>
      <c r="K93" s="740"/>
      <c r="L93" s="741"/>
      <c r="M93" s="741"/>
      <c r="R93" s="741"/>
      <c r="U93" s="742"/>
      <c r="AA93" s="743"/>
      <c r="AB93" s="743"/>
      <c r="AC93" s="743"/>
      <c r="AD93" s="743"/>
      <c r="AE93" s="743"/>
    </row>
    <row s="3913" customFormat="1" customHeight="1" ht="18.75" hidden="1">
      <c r="A94" s="2212"/>
      <c r="C94" s="741"/>
      <c r="D94" s="739"/>
      <c r="E94" s="552" t="str">
        <f>FHD_NUM_P_56</f>
        <v/>
      </c>
      <c r="F94" s="1923" t="str">
        <f>FHD_P_56</f>
        <v/>
      </c>
      <c r="G94" s="1924" t="s">
        <v>571</v>
      </c>
      <c r="H94" s="984"/>
      <c r="I94" s="583"/>
      <c r="J94" s="277" t="str">
        <f>FHD_NOTE_P_56</f>
        <v/>
      </c>
      <c r="K94" s="740"/>
      <c r="L94" s="741"/>
      <c r="M94" s="741"/>
      <c r="R94" s="741"/>
      <c r="U94" s="742"/>
      <c r="AA94" s="743"/>
      <c r="AB94" s="743"/>
      <c r="AC94" s="743"/>
      <c r="AD94" s="743"/>
      <c r="AE94" s="743"/>
    </row>
    <row s="3922" customFormat="1" customHeight="1" ht="18.75" hidden="1">
      <c r="A95" s="2212"/>
      <c r="B95" s="916"/>
      <c r="C95" s="741"/>
      <c r="D95" s="739"/>
      <c r="E95" s="552" t="str">
        <f>FHD_NUM_P_57</f>
        <v/>
      </c>
      <c r="F95" s="1923" t="str">
        <f>FHD_P_57</f>
        <v/>
      </c>
      <c r="G95" s="1924" t="s">
        <v>546</v>
      </c>
      <c r="H95" s="983"/>
      <c r="I95" s="563"/>
      <c r="J95" s="277" t="str">
        <f>FHD_NOTE_P_57</f>
        <v/>
      </c>
      <c r="K95" s="740"/>
      <c r="L95" s="741"/>
      <c r="M95" s="741"/>
      <c r="N95" s="916"/>
      <c r="O95" s="916"/>
      <c r="P95" s="916"/>
      <c r="Q95" s="916"/>
      <c r="R95" s="741"/>
      <c r="S95" s="916"/>
      <c r="T95" s="916"/>
      <c r="U95" s="742"/>
      <c r="V95" s="916"/>
      <c r="W95" s="916"/>
      <c r="X95" s="916"/>
      <c r="Y95" s="916"/>
      <c r="Z95" s="916"/>
      <c r="AA95" s="743"/>
      <c r="AB95" s="743"/>
      <c r="AC95" s="743"/>
      <c r="AD95" s="743"/>
      <c r="AE95" s="743"/>
    </row>
    <row customHeight="1" ht="18.75" hidden="1">
      <c r="A96" s="2210" t="s">
        <v>572</v>
      </c>
      <c r="D96" s="1678"/>
      <c r="E96" s="552" t="str">
        <f>FHD_NUM_P_58</f>
        <v/>
      </c>
      <c r="F96" s="1923" t="str">
        <f>FHD_P_58</f>
        <v/>
      </c>
      <c r="G96" s="1924" t="s">
        <v>569</v>
      </c>
      <c r="H96" s="984"/>
      <c r="I96" s="583"/>
      <c r="J96" s="277" t="str">
        <f>FHD_NOTE_P_58</f>
        <v/>
      </c>
      <c r="K96" s="549"/>
    </row>
    <row customHeight="1" ht="18.75" hidden="1">
      <c r="A97" s="2210"/>
      <c r="D97" s="1678"/>
      <c r="E97" s="552" t="str">
        <f>FHD_NUM_P_59</f>
        <v/>
      </c>
      <c r="F97" s="1923" t="str">
        <f>FHD_P_59</f>
        <v/>
      </c>
      <c r="G97" s="1924" t="s">
        <v>569</v>
      </c>
      <c r="H97" s="984"/>
      <c r="I97" s="583"/>
      <c r="J97" s="277" t="str">
        <f>FHD_NOTE_P_59</f>
        <v/>
      </c>
      <c r="K97" s="549"/>
    </row>
    <row customHeight="1" ht="18.75" hidden="1">
      <c r="A98" s="2210"/>
      <c r="D98" s="1678"/>
      <c r="E98" s="552" t="str">
        <f>FHD_NUM_P_60</f>
        <v/>
      </c>
      <c r="F98" s="1923" t="str">
        <f>FHD_P_60</f>
        <v/>
      </c>
      <c r="G98" s="1924" t="s">
        <v>569</v>
      </c>
      <c r="H98" s="984"/>
      <c r="I98" s="583"/>
      <c r="J98" s="277" t="str">
        <f>FHD_NOTE_P_60</f>
        <v/>
      </c>
      <c r="K98" s="549"/>
    </row>
    <row s="3292" customFormat="1" customHeight="1" ht="18.75">
      <c r="A99" s="2210" t="s">
        <v>573</v>
      </c>
      <c r="C99" s="1676"/>
      <c r="D99" s="1678"/>
      <c r="E99" s="552" t="str">
        <f>FHD_NUM_P_61</f>
        <v>7</v>
      </c>
      <c r="F99" s="1923"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921" t="s">
        <v>544</v>
      </c>
      <c r="H99" s="986"/>
      <c r="I99" s="748"/>
      <c r="J99" s="277"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549"/>
      <c r="L99" s="1676"/>
      <c r="M99" s="1676"/>
      <c r="R99" s="1676"/>
      <c r="U99" s="550"/>
      <c r="AA99" s="1672"/>
      <c r="AB99" s="1672"/>
      <c r="AC99" s="1672"/>
      <c r="AD99" s="1672"/>
      <c r="AE99" s="1672"/>
    </row>
    <row s="3842" customFormat="1" customHeight="1" ht="0.75">
      <c r="A100" s="2210"/>
      <c r="D100" s="554"/>
      <c r="E100" s="1020" t="str">
        <f>E99&amp;".0"</f>
        <v>7.0</v>
      </c>
      <c r="F100" s="1001"/>
      <c r="G100" s="1002"/>
      <c r="H100" s="999"/>
      <c r="I100" s="999"/>
      <c r="J100" s="1003"/>
    </row>
    <row customHeight="1" ht="15">
      <c r="A101" s="2210"/>
      <c r="D101" s="1673"/>
      <c r="E101" s="978"/>
      <c r="F101" s="979" t="s">
        <v>574</v>
      </c>
      <c r="G101" s="578"/>
      <c r="H101" s="579"/>
      <c r="I101" s="579"/>
      <c r="J101" s="1011" t="s">
        <v>575</v>
      </c>
      <c r="K101" s="549"/>
    </row>
    <row s="3292" customFormat="1" customHeight="1" ht="18.75">
      <c r="A102" s="2210"/>
      <c r="C102" s="1676"/>
      <c r="D102" s="1678"/>
      <c r="E102" s="552" t="str">
        <f>FHD_NUM_P_62</f>
        <v>8</v>
      </c>
      <c r="F102" s="1923" t="str">
        <f>FHD_P_62</f>
        <v>Тепловая нагрузка по договорам, заключенным в рамках осуществления регулируемых видов деятельности</v>
      </c>
      <c r="G102" s="1920" t="s">
        <v>544</v>
      </c>
      <c r="H102" s="563"/>
      <c r="I102" s="563"/>
      <c r="J102" s="277"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549"/>
      <c r="L102" s="1676"/>
      <c r="M102" s="1676"/>
      <c r="R102" s="1676"/>
      <c r="U102" s="550"/>
      <c r="AA102" s="1672"/>
      <c r="AB102" s="1672"/>
      <c r="AC102" s="1672"/>
      <c r="AD102" s="1672"/>
      <c r="AE102" s="1672"/>
    </row>
    <row s="3292" customFormat="1" customHeight="1" ht="18.75">
      <c r="A103" s="2210"/>
      <c r="C103" s="1676"/>
      <c r="D103" s="1678"/>
      <c r="E103" s="552" t="str">
        <f>FHD_NUM_P_63</f>
        <v>9</v>
      </c>
      <c r="F103" s="1923" t="str">
        <f>FHD_P_63</f>
        <v>Объем вырабатываемой регулируемой организацией тепловой энергии в рамках осуществления регулируемых видов деятельности</v>
      </c>
      <c r="G103" s="1920" t="s">
        <v>571</v>
      </c>
      <c r="H103" s="583"/>
      <c r="I103" s="583"/>
      <c r="J103" s="277"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549"/>
      <c r="L103" s="1676"/>
      <c r="M103" s="1676"/>
      <c r="R103" s="1676"/>
      <c r="U103" s="550"/>
      <c r="AA103" s="1672"/>
      <c r="AB103" s="1672"/>
      <c r="AC103" s="1672"/>
      <c r="AD103" s="1672"/>
      <c r="AE103" s="1672"/>
    </row>
    <row s="3292" customFormat="1" customHeight="1" ht="18.75">
      <c r="A104" s="2210"/>
      <c r="C104" s="1676" t="s">
        <v>576</v>
      </c>
      <c r="D104" s="1678"/>
      <c r="E104" s="552" t="str">
        <f>FHD_NUM_P_64</f>
        <v>9.1</v>
      </c>
      <c r="F104" s="1923" t="str">
        <f>FHD_P_64</f>
        <v>Объем приобретаемой регулируемой организацией тепловой энергии в рамках осуществления регулируемых видов деятельности</v>
      </c>
      <c r="G104" s="1920" t="s">
        <v>571</v>
      </c>
      <c r="H104" s="551"/>
      <c r="I104" s="551"/>
      <c r="J104" s="277" t="str">
        <f>FHD_NOTE_P_64</f>
        <v>Информация указывается только едиными теплоснабжающими организациями.</v>
      </c>
      <c r="K104" s="549"/>
      <c r="L104" s="1676"/>
      <c r="M104" s="1676"/>
      <c r="R104" s="1676"/>
      <c r="U104" s="550"/>
      <c r="AA104" s="1672"/>
      <c r="AB104" s="1672"/>
      <c r="AC104" s="1672"/>
      <c r="AD104" s="1672"/>
      <c r="AE104" s="1672"/>
    </row>
    <row s="3292" customFormat="1" customHeight="1" ht="18.75">
      <c r="A105" s="2210"/>
      <c r="C105" s="1676"/>
      <c r="D105" s="1678"/>
      <c r="E105" s="552" t="str">
        <f>FHD_NUM_P_65</f>
        <v>10</v>
      </c>
      <c r="F105" s="1923"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920" t="s">
        <v>571</v>
      </c>
      <c r="H105" s="583"/>
      <c r="I105" s="583"/>
      <c r="J105" s="277"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549"/>
      <c r="L105" s="1676"/>
      <c r="M105" s="1676"/>
      <c r="R105" s="1676"/>
      <c r="U105" s="550"/>
      <c r="AA105" s="1672"/>
      <c r="AB105" s="1672"/>
      <c r="AC105" s="1672"/>
      <c r="AD105" s="1672"/>
      <c r="AE105" s="1672"/>
    </row>
    <row s="3292" customFormat="1" customHeight="1" ht="18.75">
      <c r="A106" s="2210"/>
      <c r="C106" s="1676"/>
      <c r="D106" s="1678"/>
      <c r="E106" s="552" t="str">
        <f>FHD_NUM_P_66</f>
        <v>10.1</v>
      </c>
      <c r="F106" s="1554" t="str">
        <f>FHD_P_66</f>
        <v>По приборам учёта </v>
      </c>
      <c r="G106" s="1920" t="s">
        <v>571</v>
      </c>
      <c r="H106" s="583"/>
      <c r="I106" s="583"/>
      <c r="J106" s="277" t="str">
        <f>FHD_NOTE_P_66</f>
        <v/>
      </c>
      <c r="K106" s="549"/>
      <c r="L106" s="1676"/>
      <c r="M106" s="1676"/>
      <c r="R106" s="1676"/>
      <c r="U106" s="550"/>
      <c r="AA106" s="1672"/>
      <c r="AB106" s="1672"/>
      <c r="AC106" s="1672"/>
      <c r="AD106" s="1672"/>
      <c r="AE106" s="1672"/>
    </row>
    <row s="3292" customFormat="1" customHeight="1" ht="18.75">
      <c r="A107" s="2210"/>
      <c r="C107" s="1676"/>
      <c r="D107" s="1678"/>
      <c r="E107" s="552" t="str">
        <f>FHD_NUM_P_67</f>
        <v>10.1.1</v>
      </c>
      <c r="F107" s="1690"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920" t="s">
        <v>571</v>
      </c>
      <c r="H107" s="583"/>
      <c r="I107" s="583"/>
      <c r="J107" s="277" t="str">
        <f>FHD_NOTE_P_67</f>
        <v/>
      </c>
      <c r="K107" s="549"/>
      <c r="L107" s="1676"/>
      <c r="M107" s="1676"/>
      <c r="R107" s="1676"/>
      <c r="U107" s="550"/>
      <c r="AA107" s="1672"/>
      <c r="AB107" s="1672"/>
      <c r="AC107" s="1672"/>
      <c r="AD107" s="1672"/>
      <c r="AE107" s="1672"/>
    </row>
    <row s="3292" customFormat="1" customHeight="1" ht="18.75">
      <c r="A108" s="2210"/>
      <c r="C108" s="1676"/>
      <c r="D108" s="1678"/>
      <c r="E108" s="552" t="str">
        <f>FHD_NUM_P_68</f>
        <v>10.2</v>
      </c>
      <c r="F108" s="1554" t="str">
        <f>FHD_P_68</f>
        <v>Расчётным путём</v>
      </c>
      <c r="G108" s="1920" t="s">
        <v>571</v>
      </c>
      <c r="H108" s="583"/>
      <c r="I108" s="583"/>
      <c r="J108" s="277" t="str">
        <f>FHD_NOTE_P_68</f>
        <v/>
      </c>
      <c r="K108" s="549"/>
      <c r="L108" s="1676"/>
      <c r="M108" s="1676"/>
      <c r="R108" s="1676"/>
      <c r="U108" s="550"/>
      <c r="AA108" s="1672"/>
      <c r="AB108" s="1672"/>
      <c r="AC108" s="1672"/>
      <c r="AD108" s="1672"/>
      <c r="AE108" s="1672"/>
    </row>
    <row s="3292" customFormat="1" customHeight="1" ht="18.75">
      <c r="A109" s="2210"/>
      <c r="C109" s="1676"/>
      <c r="D109" s="1678"/>
      <c r="E109" s="552" t="str">
        <f>FHD_NUM_P_69</f>
        <v>10.3</v>
      </c>
      <c r="F109" s="1554" t="str">
        <f>FHD_P_69</f>
        <v>По нормативам потребления коммунальных услуг и нормативам потребления коммунальных ресурсов</v>
      </c>
      <c r="G109" s="1920" t="s">
        <v>571</v>
      </c>
      <c r="H109" s="583"/>
      <c r="I109" s="583"/>
      <c r="J109" s="277" t="str">
        <f>FHD_NOTE_P_69</f>
        <v/>
      </c>
      <c r="K109" s="549"/>
      <c r="L109" s="1676"/>
      <c r="M109" s="1676"/>
      <c r="R109" s="1676"/>
      <c r="U109" s="550"/>
      <c r="AA109" s="1672"/>
      <c r="AB109" s="1672"/>
      <c r="AC109" s="1672"/>
      <c r="AD109" s="1672"/>
      <c r="AE109" s="1672"/>
    </row>
    <row s="3292" customFormat="1" customHeight="1" ht="22.5">
      <c r="A110" s="2210"/>
      <c r="C110" s="1676"/>
      <c r="D110" s="1678"/>
      <c r="E110" s="552" t="str">
        <f>FHD_NUM_P_70</f>
        <v>11</v>
      </c>
      <c r="F110" s="1923" t="str">
        <f>FHD_P_70</f>
        <v>Нормативы технологических потерь при передаче тепловой энергии, теплоносителя по тепловым сетям, утвержденные уполномоченным органом</v>
      </c>
      <c r="G110" s="1920" t="s">
        <v>577</v>
      </c>
      <c r="H110" s="563"/>
      <c r="I110" s="563"/>
      <c r="J110" s="277" t="str">
        <f>FHD_NOTE_P_70</f>
        <v/>
      </c>
      <c r="K110" s="549"/>
      <c r="L110" s="1676"/>
      <c r="M110" s="1676"/>
      <c r="R110" s="1676"/>
      <c r="U110" s="550"/>
      <c r="AA110" s="1672"/>
      <c r="AB110" s="1672"/>
      <c r="AC110" s="1672"/>
      <c r="AD110" s="1672"/>
      <c r="AE110" s="1672"/>
    </row>
    <row s="3292" customFormat="1" customHeight="1" ht="22.5">
      <c r="A111" s="2210"/>
      <c r="C111" s="1676"/>
      <c r="D111" s="1678"/>
      <c r="E111" s="552" t="str">
        <f>FHD_NUM_P_71</f>
        <v>12</v>
      </c>
      <c r="F111" s="1923" t="str">
        <f>FHD_P_71</f>
        <v>Фактический объем потерь при передаче тепловой энергии</v>
      </c>
      <c r="G111" s="1920" t="s">
        <v>577</v>
      </c>
      <c r="H111" s="563"/>
      <c r="I111" s="563"/>
      <c r="J111" s="277" t="str">
        <f>FHD_NOTE_P_71</f>
        <v/>
      </c>
      <c r="K111" s="549"/>
      <c r="L111" s="1676"/>
      <c r="M111" s="1676"/>
      <c r="R111" s="1676"/>
      <c r="U111" s="550"/>
      <c r="AA111" s="1672"/>
      <c r="AB111" s="1672"/>
      <c r="AC111" s="1672"/>
      <c r="AD111" s="1672"/>
      <c r="AE111" s="1672"/>
    </row>
    <row customHeight="1" ht="18.75">
      <c r="D112" s="1678"/>
      <c r="E112" s="552" t="str">
        <f>FHD_NUM_P_72</f>
        <v>13</v>
      </c>
      <c r="F112" s="1923" t="str">
        <f>FHD_P_72</f>
        <v>Среднесписочная численность основного производственного персонала</v>
      </c>
      <c r="G112" s="1919" t="s">
        <v>578</v>
      </c>
      <c r="H112" s="583"/>
      <c r="I112" s="583"/>
      <c r="J112" s="277" t="str">
        <f>FHD_NOTE_P_72</f>
        <v/>
      </c>
      <c r="K112" s="549"/>
    </row>
    <row customHeight="1" ht="18.75">
      <c r="A113" s="996" t="s">
        <v>579</v>
      </c>
      <c r="D113" s="1678"/>
      <c r="E113" s="552" t="str">
        <f>FHD_NUM_P_73</f>
        <v>14</v>
      </c>
      <c r="F113" s="1923" t="str">
        <f>FHD_P_73</f>
        <v>Среднесписочная численность административно-управленческого персонала</v>
      </c>
      <c r="G113" s="977" t="s">
        <v>578</v>
      </c>
      <c r="H113" s="975"/>
      <c r="I113" s="975"/>
      <c r="J113" s="277" t="str">
        <f>FHD_NOTE_P_73</f>
        <v/>
      </c>
      <c r="K113" s="549"/>
    </row>
    <row customHeight="1" ht="33.75" hidden="1">
      <c r="A114" s="996" t="s">
        <v>580</v>
      </c>
      <c r="D114" s="1678"/>
      <c r="E114" s="552" t="str">
        <f>FHD_NUM_P_74</f>
        <v/>
      </c>
      <c r="F114" s="1923" t="str">
        <f>FHD_P_74</f>
        <v/>
      </c>
      <c r="G114" s="1919" t="s">
        <v>581</v>
      </c>
      <c r="H114" s="583"/>
      <c r="I114" s="583"/>
      <c r="J114" s="277" t="str">
        <f>FHD_NOTE_P_74</f>
        <v/>
      </c>
      <c r="K114" s="549"/>
    </row>
    <row s="3922" customFormat="1" customHeight="1" ht="18.75" hidden="1">
      <c r="A115" s="2212" t="s">
        <v>582</v>
      </c>
      <c r="B115" s="916"/>
      <c r="C115" s="741"/>
      <c r="D115" s="739"/>
      <c r="E115" s="552" t="str">
        <f>FHD_NUM_P_75</f>
        <v/>
      </c>
      <c r="F115" s="1923" t="str">
        <f>FHD_P_75</f>
        <v/>
      </c>
      <c r="G115" s="1919" t="s">
        <v>546</v>
      </c>
      <c r="H115" s="563"/>
      <c r="I115" s="563"/>
      <c r="J115" s="277" t="str">
        <f>FHD_NOTE_P_75</f>
        <v/>
      </c>
      <c r="K115" s="740"/>
      <c r="L115" s="741"/>
      <c r="M115" s="741"/>
      <c r="N115" s="916"/>
      <c r="O115" s="916"/>
      <c r="P115" s="916"/>
      <c r="Q115" s="916"/>
      <c r="R115" s="741"/>
      <c r="S115" s="916"/>
      <c r="T115" s="916"/>
      <c r="U115" s="742"/>
      <c r="V115" s="916"/>
      <c r="W115" s="916"/>
      <c r="X115" s="916"/>
      <c r="Y115" s="916"/>
      <c r="Z115" s="916"/>
      <c r="AA115" s="743"/>
      <c r="AB115" s="743"/>
      <c r="AC115" s="743"/>
      <c r="AD115" s="743"/>
      <c r="AE115" s="743"/>
    </row>
    <row s="3922" customFormat="1" customHeight="1" ht="18.75" hidden="1">
      <c r="A116" s="2212"/>
      <c r="B116" s="916"/>
      <c r="C116" s="741"/>
      <c r="D116" s="739"/>
      <c r="E116" s="552" t="str">
        <f>FHD_NUM_P_76</f>
        <v/>
      </c>
      <c r="F116" s="1923" t="str">
        <f>FHD_P_76</f>
        <v/>
      </c>
      <c r="G116" s="1919" t="s">
        <v>546</v>
      </c>
      <c r="H116" s="563"/>
      <c r="I116" s="563"/>
      <c r="J116" s="277" t="str">
        <f>FHD_NOTE_P_76</f>
        <v/>
      </c>
      <c r="K116" s="740"/>
      <c r="L116" s="741"/>
      <c r="M116" s="741"/>
      <c r="N116" s="916"/>
      <c r="O116" s="916"/>
      <c r="P116" s="916"/>
      <c r="Q116" s="916"/>
      <c r="R116" s="741"/>
      <c r="S116" s="916"/>
      <c r="T116" s="916"/>
      <c r="U116" s="742"/>
      <c r="V116" s="916"/>
      <c r="W116" s="916"/>
      <c r="X116" s="916"/>
      <c r="Y116" s="916"/>
      <c r="Z116" s="916"/>
      <c r="AA116" s="743"/>
      <c r="AB116" s="743"/>
      <c r="AC116" s="743"/>
      <c r="AD116" s="743"/>
      <c r="AE116" s="743"/>
    </row>
    <row s="3922" customFormat="1" customHeight="1" ht="18.75" hidden="1">
      <c r="A117" s="2212"/>
      <c r="B117" s="916"/>
      <c r="C117" s="741"/>
      <c r="D117" s="739"/>
      <c r="E117" s="552" t="str">
        <f>FHD_NUM_P_77</f>
        <v/>
      </c>
      <c r="F117" s="1923" t="str">
        <f>FHD_P_77</f>
        <v/>
      </c>
      <c r="G117" s="1919" t="s">
        <v>546</v>
      </c>
      <c r="H117" s="563"/>
      <c r="I117" s="563"/>
      <c r="J117" s="277" t="str">
        <f>FHD_NOTE_P_77</f>
        <v/>
      </c>
      <c r="K117" s="740"/>
      <c r="L117" s="741"/>
      <c r="M117" s="741"/>
      <c r="N117" s="916"/>
      <c r="O117" s="916"/>
      <c r="P117" s="916"/>
      <c r="Q117" s="916"/>
      <c r="R117" s="741"/>
      <c r="S117" s="916"/>
      <c r="T117" s="916"/>
      <c r="U117" s="742"/>
      <c r="V117" s="916"/>
      <c r="W117" s="916"/>
      <c r="X117" s="916"/>
      <c r="Y117" s="916"/>
      <c r="Z117" s="916"/>
      <c r="AA117" s="743"/>
      <c r="AB117" s="743"/>
      <c r="AC117" s="743"/>
      <c r="AD117" s="743"/>
      <c r="AE117" s="743"/>
    </row>
    <row s="3842" customFormat="1" customHeight="1" ht="0.75" hidden="1">
      <c r="A118" s="2212"/>
      <c r="D118" s="554"/>
      <c r="E118" s="1020" t="str">
        <f>E117&amp;".0"</f>
        <v>.0</v>
      </c>
      <c r="F118" s="1004"/>
      <c r="G118" s="1691"/>
      <c r="H118" s="999"/>
      <c r="I118" s="999"/>
      <c r="J118" s="1003"/>
    </row>
    <row s="3922" customFormat="1" customHeight="1" ht="15" hidden="1">
      <c r="A119" s="2212"/>
      <c r="B119" s="916"/>
      <c r="C119" s="741"/>
      <c r="D119" s="752"/>
      <c r="E119" s="980"/>
      <c r="F119" s="981" t="s">
        <v>583</v>
      </c>
      <c r="G119" s="753"/>
      <c r="H119" s="754"/>
      <c r="I119" s="754"/>
      <c r="J119" s="1010" t="s">
        <v>584</v>
      </c>
      <c r="K119" s="740"/>
      <c r="L119" s="741"/>
      <c r="M119" s="741"/>
      <c r="N119" s="916"/>
      <c r="O119" s="916"/>
      <c r="P119" s="916"/>
      <c r="Q119" s="916"/>
      <c r="R119" s="741"/>
      <c r="S119" s="916"/>
      <c r="T119" s="916"/>
      <c r="U119" s="742"/>
      <c r="V119" s="916"/>
      <c r="W119" s="916"/>
      <c r="X119" s="916"/>
      <c r="Y119" s="916"/>
      <c r="Z119" s="916"/>
      <c r="AA119" s="743"/>
      <c r="AB119" s="743"/>
      <c r="AC119" s="743"/>
      <c r="AD119" s="743"/>
      <c r="AE119" s="743"/>
    </row>
    <row customHeight="1" ht="22.5">
      <c r="A120" s="2210" t="s">
        <v>585</v>
      </c>
      <c r="D120" s="1678"/>
      <c r="E120" s="552" t="str">
        <f>FHD_NUM_P_78</f>
        <v>15</v>
      </c>
      <c r="F120" s="1923"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920" t="s">
        <v>548</v>
      </c>
      <c r="H120" s="583"/>
      <c r="I120" s="583"/>
      <c r="J120" s="277" t="str">
        <f>FHD_NOTE_P_78</f>
        <v/>
      </c>
      <c r="K120" s="549"/>
    </row>
    <row s="3842" customFormat="1" customHeight="1" ht="0.75">
      <c r="A121" s="2210"/>
      <c r="D121" s="554"/>
      <c r="E121" s="1020" t="str">
        <f>E120&amp;".0"</f>
        <v>15.0</v>
      </c>
      <c r="F121" s="1004"/>
      <c r="G121" s="1691"/>
      <c r="H121" s="999"/>
      <c r="I121" s="999"/>
      <c r="J121" s="1003"/>
    </row>
    <row customHeight="1" ht="15">
      <c r="A122" s="2210"/>
      <c r="D122" s="1673"/>
      <c r="E122" s="576"/>
      <c r="F122" s="1176" t="s">
        <v>574</v>
      </c>
      <c r="G122" s="578"/>
      <c r="H122" s="579"/>
      <c r="I122" s="579"/>
      <c r="J122" s="1011" t="s">
        <v>586</v>
      </c>
      <c r="K122" s="549"/>
    </row>
    <row customHeight="1" ht="22.5">
      <c r="A123" s="2210"/>
      <c r="D123" s="1678"/>
      <c r="E123" s="552" t="str">
        <f>FHD_NUM_P_79</f>
        <v>16</v>
      </c>
      <c r="F123" s="1923"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921" t="s">
        <v>550</v>
      </c>
      <c r="H123" s="583"/>
      <c r="I123" s="583"/>
      <c r="J123" s="277"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549"/>
    </row>
    <row s="3842" customFormat="1" customHeight="1" ht="0.75">
      <c r="A124" s="2210"/>
      <c r="D124" s="554"/>
      <c r="E124" s="1020" t="str">
        <f>E123&amp;".0"</f>
        <v>16.0</v>
      </c>
      <c r="F124" s="1005"/>
      <c r="G124" s="1691"/>
      <c r="H124" s="999"/>
      <c r="I124" s="999"/>
      <c r="J124" s="1003"/>
    </row>
    <row customHeight="1" ht="15">
      <c r="A125" s="2210"/>
      <c r="D125" s="1673"/>
      <c r="E125" s="576"/>
      <c r="F125" s="1176" t="s">
        <v>574</v>
      </c>
      <c r="G125" s="578"/>
      <c r="H125" s="579"/>
      <c r="I125" s="579"/>
      <c r="J125" s="1011" t="s">
        <v>587</v>
      </c>
      <c r="K125" s="549"/>
    </row>
    <row customHeight="1" ht="22.5">
      <c r="A126" s="2210"/>
      <c r="D126" s="1678"/>
      <c r="E126" s="552" t="str">
        <f>FHD_NUM_P_80</f>
        <v>17</v>
      </c>
      <c r="F126" s="1923"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921" t="s">
        <v>588</v>
      </c>
      <c r="H126" s="563"/>
      <c r="I126" s="563"/>
      <c r="J126" s="277" t="str">
        <f>FHD_NOTE_P_80</f>
        <v>Регулируемыми организациями указывается информация с по договорам, заключенным в рамках осуществления регулируемой деятельности.</v>
      </c>
      <c r="K126" s="549"/>
    </row>
    <row customHeight="1" ht="18.75">
      <c r="A127" s="2210"/>
      <c r="D127" s="1678"/>
      <c r="E127" s="552" t="str">
        <f>FHD_NUM_P_81</f>
        <v>18</v>
      </c>
      <c r="F127" s="1923"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921" t="s">
        <v>589</v>
      </c>
      <c r="H127" s="563"/>
      <c r="I127" s="563"/>
      <c r="J127" s="277" t="str">
        <f>FHD_NOTE_P_81</f>
        <v>Регулируемыми организациями указывается информация с по договорам, заключенным в рамках осуществления регулируемой деятельности.</v>
      </c>
      <c r="K127" s="549"/>
    </row>
    <row customHeight="1" ht="18.75">
      <c r="A128" s="2210"/>
      <c r="C128" s="1676" t="s">
        <v>576</v>
      </c>
      <c r="D128" s="1678"/>
      <c r="E128" s="552" t="str">
        <f>FHD_NUM_P_82</f>
        <v>19</v>
      </c>
      <c r="F128" s="1923"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921" t="s">
        <v>299</v>
      </c>
      <c r="H128" s="407"/>
      <c r="I128" s="407"/>
      <c r="J128" s="277" t="str">
        <f>FHD_NOTE_P_82</f>
        <v>Указывается ссылка на документ, предварительно загруженный в хранилище файлов ФГИС ЕИАС.</v>
      </c>
      <c r="K128" s="549"/>
    </row>
    <row customHeight="1" ht="18.75">
      <c r="A129" s="2210"/>
      <c r="C129" s="1676" t="s">
        <v>576</v>
      </c>
      <c r="D129" s="1678"/>
      <c r="E129" s="552" t="str">
        <f>FHD_NUM_P_83</f>
        <v>19.1</v>
      </c>
      <c r="F129" s="1554" t="str">
        <f>FHD_P_83</f>
        <v>Информация о показателях физического износа объектов теплоснабжения</v>
      </c>
      <c r="G129" s="1921" t="s">
        <v>299</v>
      </c>
      <c r="H129" s="407"/>
      <c r="I129" s="407"/>
      <c r="J129" s="277" t="str">
        <f>FHD_NOTE_P_83</f>
        <v>Указывается ссылка на документ, предварительно загруженный в хранилище файлов ФГИС ЕИАС.</v>
      </c>
      <c r="K129" s="549"/>
    </row>
    <row customHeight="1" ht="18.75">
      <c r="A130" s="2210"/>
      <c r="C130" s="1676" t="s">
        <v>576</v>
      </c>
      <c r="D130" s="1678"/>
      <c r="E130" s="552" t="str">
        <f>FHD_NUM_P_84</f>
        <v>19.2</v>
      </c>
      <c r="F130" s="1554" t="str">
        <f>FHD_P_84</f>
        <v>Информация о показателях энергетической эффективности объектов теплоснабжения</v>
      </c>
      <c r="G130" s="1921" t="s">
        <v>299</v>
      </c>
      <c r="H130" s="407"/>
      <c r="I130" s="407"/>
      <c r="J130" s="277" t="str">
        <f>FHD_NOTE_P_84</f>
        <v>Указывается ссылка на документ, предварительно загруженный в хранилище файлов ФГИС ЕИАС.</v>
      </c>
      <c r="K130" s="549"/>
    </row>
    <row customHeight="1" ht="11.25">
      <c r="D131" s="1678"/>
    </row>
    <row customHeight="1" ht="12.75">
      <c r="D132" s="1678"/>
      <c r="E132" s="332"/>
      <c r="F132" s="369"/>
      <c r="G132" s="369"/>
      <c r="H132" s="369"/>
      <c r="I132" s="1687"/>
      <c r="J132" s="587"/>
    </row>
    <row s="3878" customFormat="1" customHeight="1" ht="11.25">
      <c r="A133" s="994"/>
      <c r="B133" s="1676"/>
      <c r="C133" s="1676"/>
      <c r="D133" s="347"/>
      <c r="F133" s="1680"/>
      <c r="G133" s="1671"/>
      <c r="H133" s="1671"/>
      <c r="I133" s="1671"/>
      <c r="K133" s="1168"/>
      <c r="L133" s="1676"/>
      <c r="M133" s="1676"/>
      <c r="N133" s="1168"/>
      <c r="O133" s="1168"/>
      <c r="P133" s="1168"/>
      <c r="Q133" s="1168"/>
      <c r="R133" s="1676"/>
      <c r="S133" s="1168"/>
      <c r="T133" s="1168"/>
      <c r="U133" s="550"/>
      <c r="V133" s="1168"/>
      <c r="W133" s="1168"/>
      <c r="X133" s="1168"/>
      <c r="Y133" s="1168"/>
      <c r="Z133" s="1168"/>
      <c r="AA133" s="1672"/>
      <c r="AB133" s="572"/>
      <c r="AC133" s="572"/>
      <c r="AD133" s="572"/>
      <c r="AE133" s="572"/>
    </row>
    <row s="3878" customFormat="1" customHeight="1" ht="11.25">
      <c r="A134" s="994"/>
      <c r="B134" s="1676"/>
      <c r="C134" s="1676"/>
      <c r="D134" s="347"/>
      <c r="K134" s="1168"/>
      <c r="L134" s="1676"/>
      <c r="M134" s="1676"/>
      <c r="N134" s="1168"/>
      <c r="O134" s="1168"/>
      <c r="P134" s="1168"/>
      <c r="Q134" s="1168"/>
      <c r="R134" s="1676"/>
      <c r="S134" s="1168"/>
      <c r="T134" s="1168"/>
      <c r="U134" s="550"/>
      <c r="V134" s="1168"/>
      <c r="W134" s="1168"/>
      <c r="X134" s="1168"/>
      <c r="Y134" s="1168"/>
      <c r="Z134" s="1168"/>
      <c r="AA134" s="1672"/>
      <c r="AB134" s="572"/>
      <c r="AC134" s="572"/>
      <c r="AD134" s="572"/>
      <c r="AE134" s="572"/>
    </row>
    <row s="3878" customFormat="1" customHeight="1" ht="11.25">
      <c r="A135" s="994"/>
      <c r="B135" s="1676"/>
      <c r="C135" s="1676"/>
      <c r="D135" s="347"/>
      <c r="K135" s="1168"/>
      <c r="L135" s="1676"/>
      <c r="M135" s="1676"/>
      <c r="N135" s="1168"/>
      <c r="O135" s="1168"/>
      <c r="P135" s="1168"/>
      <c r="Q135" s="1168"/>
      <c r="R135" s="1676"/>
      <c r="S135" s="1168"/>
      <c r="T135" s="1168"/>
      <c r="U135" s="550"/>
      <c r="V135" s="1168"/>
      <c r="W135" s="1168"/>
      <c r="X135" s="1168"/>
      <c r="Y135" s="1168"/>
      <c r="Z135" s="1168"/>
      <c r="AA135" s="1672"/>
      <c r="AB135" s="572"/>
      <c r="AC135" s="572"/>
      <c r="AD135" s="572"/>
      <c r="AE135" s="572"/>
    </row>
    <row s="3878" customFormat="1" customHeight="1" ht="11.25">
      <c r="A136" s="994"/>
      <c r="B136" s="1676"/>
      <c r="C136" s="1676"/>
      <c r="D136" s="347"/>
      <c r="H136" s="572" t="str">
        <f>IF(H30-H31&lt;&gt;H72,"WARNING","")</f>
        <v/>
      </c>
      <c r="I136" s="572" t="str">
        <f>IF(I30-I31&lt;&gt;I72,"WARNING","")</f>
        <v/>
      </c>
      <c r="K136" s="1168"/>
      <c r="L136" s="1676"/>
      <c r="M136" s="1676"/>
      <c r="N136" s="1168"/>
      <c r="O136" s="1168"/>
      <c r="P136" s="1168"/>
      <c r="Q136" s="1168"/>
      <c r="R136" s="1676"/>
      <c r="S136" s="1168"/>
      <c r="T136" s="1168"/>
      <c r="U136" s="550"/>
      <c r="V136" s="1168"/>
      <c r="W136" s="1168"/>
      <c r="X136" s="1168"/>
      <c r="Y136" s="1168"/>
      <c r="Z136" s="1168"/>
      <c r="AA136" s="1672"/>
      <c r="AB136" s="572"/>
      <c r="AC136" s="572"/>
      <c r="AD136" s="572"/>
      <c r="AE136" s="572"/>
    </row>
    <row s="3878" customFormat="1" customHeight="1" ht="11.25">
      <c r="A137" s="994"/>
      <c r="B137" s="1676"/>
      <c r="C137" s="1676"/>
      <c r="D137" s="347"/>
      <c r="K137" s="1168"/>
      <c r="L137" s="1676"/>
      <c r="M137" s="1676"/>
      <c r="N137" s="1168"/>
      <c r="O137" s="1168"/>
      <c r="P137" s="1168"/>
      <c r="Q137" s="1168"/>
      <c r="R137" s="1676"/>
      <c r="S137" s="1168"/>
      <c r="T137" s="1168"/>
      <c r="U137" s="550"/>
      <c r="V137" s="1168"/>
      <c r="W137" s="1168"/>
      <c r="X137" s="1168"/>
      <c r="Y137" s="1168"/>
      <c r="Z137" s="1168"/>
      <c r="AA137" s="1672"/>
      <c r="AB137" s="572"/>
      <c r="AC137" s="572"/>
      <c r="AD137" s="572"/>
      <c r="AE137" s="572"/>
    </row>
    <row s="3878" customFormat="1" customHeight="1" ht="11.25">
      <c r="A138" s="994"/>
      <c r="B138" s="1676"/>
      <c r="C138" s="1676"/>
      <c r="D138" s="347"/>
      <c r="K138" s="1168"/>
      <c r="L138" s="1676"/>
      <c r="M138" s="1676"/>
      <c r="N138" s="1168"/>
      <c r="O138" s="1168"/>
      <c r="P138" s="1168"/>
      <c r="Q138" s="1168"/>
      <c r="R138" s="1676"/>
      <c r="S138" s="1168"/>
      <c r="T138" s="1168"/>
      <c r="U138" s="550"/>
      <c r="V138" s="1168"/>
      <c r="W138" s="1168"/>
      <c r="X138" s="1168"/>
      <c r="Y138" s="1168"/>
      <c r="Z138" s="1168"/>
      <c r="AA138" s="1672"/>
      <c r="AB138" s="572"/>
      <c r="AC138" s="572"/>
      <c r="AD138" s="572"/>
      <c r="AE138" s="572"/>
    </row>
    <row s="3878" customFormat="1" customHeight="1" ht="11.25">
      <c r="A139" s="994"/>
      <c r="B139" s="1676"/>
      <c r="C139" s="1676"/>
      <c r="D139" s="347"/>
      <c r="K139" s="1168"/>
      <c r="L139" s="1676"/>
      <c r="M139" s="1676"/>
      <c r="N139" s="1168"/>
      <c r="O139" s="1168"/>
      <c r="P139" s="1168"/>
      <c r="Q139" s="1168"/>
      <c r="R139" s="1676"/>
      <c r="S139" s="1168"/>
      <c r="T139" s="1168"/>
      <c r="U139" s="550"/>
      <c r="V139" s="1168"/>
      <c r="W139" s="1168"/>
      <c r="X139" s="1168"/>
      <c r="Y139" s="1168"/>
      <c r="Z139" s="1168"/>
      <c r="AA139" s="1672"/>
      <c r="AB139" s="572"/>
      <c r="AC139" s="572"/>
      <c r="AD139" s="572"/>
      <c r="AE139" s="572"/>
    </row>
    <row s="3878" customFormat="1" customHeight="1" ht="11.25">
      <c r="A140" s="994"/>
      <c r="B140" s="1676"/>
      <c r="C140" s="1676"/>
      <c r="D140" s="347"/>
      <c r="K140" s="1168"/>
      <c r="L140" s="1676"/>
      <c r="M140" s="1676"/>
      <c r="N140" s="1168"/>
      <c r="O140" s="1168"/>
      <c r="P140" s="1168"/>
      <c r="Q140" s="1168"/>
      <c r="R140" s="1676"/>
      <c r="S140" s="1168"/>
      <c r="T140" s="1168"/>
      <c r="U140" s="550"/>
      <c r="V140" s="1168"/>
      <c r="W140" s="1168"/>
      <c r="X140" s="1168"/>
      <c r="Y140" s="1168"/>
      <c r="Z140" s="1168"/>
      <c r="AA140" s="1672"/>
      <c r="AB140" s="572"/>
      <c r="AC140" s="572"/>
      <c r="AD140" s="572"/>
      <c r="AE140" s="572"/>
    </row>
    <row s="3878" customFormat="1" customHeight="1" ht="11.25">
      <c r="A141" s="994"/>
      <c r="B141" s="1676"/>
      <c r="C141" s="1676"/>
      <c r="D141" s="347"/>
      <c r="K141" s="1168"/>
      <c r="L141" s="1676"/>
      <c r="M141" s="1676"/>
      <c r="N141" s="1168"/>
      <c r="O141" s="1168"/>
      <c r="P141" s="1168"/>
      <c r="Q141" s="1168"/>
      <c r="R141" s="1676"/>
      <c r="S141" s="1168"/>
      <c r="T141" s="1168"/>
      <c r="U141" s="550"/>
      <c r="V141" s="1168"/>
      <c r="W141" s="1168"/>
      <c r="X141" s="1168"/>
      <c r="Y141" s="1168"/>
      <c r="Z141" s="1168"/>
      <c r="AA141" s="1672"/>
      <c r="AB141" s="572"/>
      <c r="AC141" s="572"/>
      <c r="AD141" s="572"/>
      <c r="AE141" s="572"/>
    </row>
    <row s="3878" customFormat="1" customHeight="1" ht="11.25">
      <c r="A142" s="994"/>
      <c r="B142" s="1676"/>
      <c r="C142" s="1676"/>
      <c r="D142" s="347"/>
      <c r="K142" s="1168"/>
      <c r="L142" s="1676"/>
      <c r="M142" s="1676"/>
      <c r="N142" s="1168"/>
      <c r="O142" s="1168"/>
      <c r="P142" s="1168"/>
      <c r="Q142" s="1168"/>
      <c r="R142" s="1676"/>
      <c r="S142" s="1168"/>
      <c r="T142" s="1168"/>
      <c r="U142" s="550"/>
      <c r="V142" s="1168"/>
      <c r="W142" s="1168"/>
      <c r="X142" s="1168"/>
      <c r="Y142" s="1168"/>
      <c r="Z142" s="1168"/>
      <c r="AA142" s="1672"/>
      <c r="AB142" s="572"/>
      <c r="AC142" s="572"/>
      <c r="AD142" s="572"/>
      <c r="AE142" s="572"/>
    </row>
    <row s="3878" customFormat="1" customHeight="1" ht="11.25">
      <c r="A143" s="994"/>
      <c r="B143" s="1676"/>
      <c r="C143" s="1676"/>
      <c r="D143" s="347"/>
      <c r="K143" s="1168"/>
      <c r="L143" s="1676"/>
      <c r="M143" s="1676"/>
      <c r="N143" s="1168"/>
      <c r="O143" s="1168"/>
      <c r="P143" s="1168"/>
      <c r="Q143" s="1168"/>
      <c r="R143" s="1676"/>
      <c r="S143" s="1168"/>
      <c r="T143" s="1168"/>
      <c r="U143" s="550"/>
      <c r="V143" s="1168"/>
      <c r="W143" s="1168"/>
      <c r="X143" s="1168"/>
      <c r="Y143" s="1168"/>
      <c r="Z143" s="1168"/>
      <c r="AA143" s="1672"/>
      <c r="AB143" s="572"/>
      <c r="AC143" s="572"/>
      <c r="AD143" s="572"/>
      <c r="AE143" s="572"/>
    </row>
    <row s="3878" customFormat="1" customHeight="1" ht="11.25">
      <c r="A144" s="994"/>
      <c r="B144" s="1676"/>
      <c r="C144" s="1676"/>
      <c r="D144" s="347"/>
      <c r="K144" s="1168"/>
      <c r="L144" s="1676"/>
      <c r="M144" s="1676"/>
      <c r="N144" s="1168"/>
      <c r="O144" s="1168"/>
      <c r="P144" s="1168"/>
      <c r="Q144" s="1168"/>
      <c r="R144" s="1676"/>
      <c r="S144" s="1168"/>
      <c r="T144" s="1168"/>
      <c r="U144" s="550"/>
      <c r="V144" s="1168"/>
      <c r="W144" s="1168"/>
      <c r="X144" s="1168"/>
      <c r="Y144" s="1168"/>
      <c r="Z144" s="1168"/>
      <c r="AA144" s="1672"/>
      <c r="AB144" s="572"/>
      <c r="AC144" s="572"/>
      <c r="AD144" s="572"/>
      <c r="AE144" s="572"/>
    </row>
    <row s="3878" customFormat="1" customHeight="1" ht="11.25">
      <c r="A145" s="994"/>
      <c r="B145" s="1676"/>
      <c r="C145" s="1676"/>
      <c r="D145" s="347"/>
      <c r="K145" s="1168"/>
      <c r="L145" s="1676"/>
      <c r="M145" s="1676"/>
      <c r="N145" s="1168"/>
      <c r="O145" s="1168"/>
      <c r="P145" s="1168"/>
      <c r="Q145" s="1168"/>
      <c r="R145" s="1676"/>
      <c r="S145" s="1168"/>
      <c r="T145" s="1168"/>
      <c r="U145" s="550"/>
      <c r="V145" s="1168"/>
      <c r="W145" s="1168"/>
      <c r="X145" s="1168"/>
      <c r="Y145" s="1168"/>
      <c r="Z145" s="1168"/>
      <c r="AA145" s="1672"/>
      <c r="AB145" s="572"/>
      <c r="AC145" s="572"/>
      <c r="AD145" s="572"/>
      <c r="AE145" s="572"/>
    </row>
    <row s="3878" customFormat="1" customHeight="1" ht="11.25">
      <c r="A146" s="994"/>
      <c r="B146" s="1676"/>
      <c r="C146" s="1676"/>
      <c r="D146" s="347"/>
      <c r="K146" s="1168"/>
      <c r="L146" s="1676"/>
      <c r="M146" s="1676"/>
      <c r="N146" s="1168"/>
      <c r="O146" s="1168"/>
      <c r="P146" s="1168"/>
      <c r="Q146" s="1168"/>
      <c r="R146" s="1676"/>
      <c r="S146" s="1168"/>
      <c r="T146" s="1168"/>
      <c r="U146" s="550"/>
      <c r="V146" s="1168"/>
      <c r="W146" s="1168"/>
      <c r="X146" s="1168"/>
      <c r="Y146" s="1168"/>
      <c r="Z146" s="1168"/>
      <c r="AA146" s="1672"/>
      <c r="AB146" s="572"/>
      <c r="AC146" s="572"/>
      <c r="AD146" s="572"/>
      <c r="AE146" s="572"/>
    </row>
    <row s="3878" customFormat="1" customHeight="1" ht="11.25">
      <c r="A147" s="994"/>
      <c r="B147" s="1676"/>
      <c r="C147" s="1676"/>
      <c r="D147" s="347"/>
      <c r="K147" s="1168"/>
      <c r="L147" s="1676"/>
      <c r="M147" s="1676"/>
      <c r="N147" s="1168"/>
      <c r="O147" s="1168"/>
      <c r="P147" s="1168"/>
      <c r="Q147" s="1168"/>
      <c r="R147" s="1676"/>
      <c r="S147" s="1168"/>
      <c r="T147" s="1168"/>
      <c r="U147" s="550"/>
      <c r="V147" s="1168"/>
      <c r="W147" s="1168"/>
      <c r="X147" s="1168"/>
      <c r="Y147" s="1168"/>
      <c r="Z147" s="1168"/>
      <c r="AA147" s="1672"/>
      <c r="AB147" s="572"/>
      <c r="AC147" s="572"/>
      <c r="AD147" s="572"/>
      <c r="AE147" s="572"/>
    </row>
    <row s="3878" customFormat="1" customHeight="1" ht="11.25">
      <c r="A148" s="994"/>
      <c r="B148" s="1676"/>
      <c r="C148" s="1676"/>
      <c r="D148" s="347"/>
      <c r="K148" s="1168"/>
      <c r="L148" s="1676"/>
      <c r="M148" s="1676"/>
      <c r="N148" s="1168"/>
      <c r="O148" s="1168"/>
      <c r="P148" s="1168"/>
      <c r="Q148" s="1168"/>
      <c r="R148" s="1676"/>
      <c r="S148" s="1168"/>
      <c r="T148" s="1168"/>
      <c r="U148" s="550"/>
      <c r="V148" s="1168"/>
      <c r="W148" s="1168"/>
      <c r="X148" s="1168"/>
      <c r="Y148" s="1168"/>
      <c r="Z148" s="1168"/>
      <c r="AA148" s="1672"/>
      <c r="AB148" s="572"/>
      <c r="AC148" s="572"/>
      <c r="AD148" s="572"/>
      <c r="AE148" s="572"/>
    </row>
    <row s="3878" customFormat="1" customHeight="1" ht="11.25">
      <c r="A149" s="994"/>
      <c r="B149" s="1676"/>
      <c r="C149" s="1676"/>
      <c r="D149" s="347"/>
      <c r="K149" s="1168"/>
      <c r="L149" s="1676"/>
      <c r="M149" s="1676"/>
      <c r="N149" s="1168"/>
      <c r="O149" s="1168"/>
      <c r="P149" s="1168"/>
      <c r="Q149" s="1168"/>
      <c r="R149" s="1676"/>
      <c r="S149" s="1168"/>
      <c r="T149" s="1168"/>
      <c r="U149" s="550"/>
      <c r="V149" s="1168"/>
      <c r="W149" s="1168"/>
      <c r="X149" s="1168"/>
      <c r="Y149" s="1168"/>
      <c r="Z149" s="1168"/>
      <c r="AA149" s="1672"/>
      <c r="AB149" s="572"/>
      <c r="AC149" s="572"/>
      <c r="AD149" s="572"/>
      <c r="AE149" s="572"/>
    </row>
    <row s="3878" customFormat="1" customHeight="1" ht="11.25">
      <c r="A150" s="994"/>
      <c r="B150" s="1676"/>
      <c r="C150" s="1676"/>
      <c r="D150" s="347"/>
      <c r="K150" s="1168"/>
      <c r="L150" s="1676"/>
      <c r="M150" s="1676"/>
      <c r="N150" s="1168"/>
      <c r="O150" s="1168"/>
      <c r="P150" s="1168"/>
      <c r="Q150" s="1168"/>
      <c r="R150" s="1676"/>
      <c r="S150" s="1168"/>
      <c r="T150" s="1168"/>
      <c r="U150" s="550"/>
      <c r="V150" s="1168"/>
      <c r="W150" s="1168"/>
      <c r="X150" s="1168"/>
      <c r="Y150" s="1168"/>
      <c r="Z150" s="1168"/>
      <c r="AA150" s="1672"/>
      <c r="AB150" s="572"/>
      <c r="AC150" s="572"/>
      <c r="AD150" s="572"/>
      <c r="AE150" s="572"/>
    </row>
    <row s="3878" customFormat="1" customHeight="1" ht="11.25">
      <c r="A151" s="994"/>
      <c r="B151" s="1676"/>
      <c r="C151" s="1676"/>
      <c r="D151" s="347"/>
      <c r="K151" s="1168"/>
      <c r="L151" s="1676"/>
      <c r="M151" s="1676"/>
      <c r="N151" s="1168"/>
      <c r="O151" s="1168"/>
      <c r="P151" s="1168"/>
      <c r="Q151" s="1168"/>
      <c r="R151" s="1676"/>
      <c r="S151" s="1168"/>
      <c r="T151" s="1168"/>
      <c r="U151" s="550"/>
      <c r="V151" s="1168"/>
      <c r="W151" s="1168"/>
      <c r="X151" s="1168"/>
      <c r="Y151" s="1168"/>
      <c r="Z151" s="1168"/>
      <c r="AA151" s="1672"/>
      <c r="AB151" s="572"/>
      <c r="AC151" s="572"/>
      <c r="AD151" s="572"/>
      <c r="AE151" s="572"/>
    </row>
    <row s="3878" customFormat="1" customHeight="1" ht="11.25">
      <c r="A152" s="994"/>
      <c r="B152" s="1676"/>
      <c r="C152" s="1676"/>
      <c r="D152" s="347"/>
      <c r="K152" s="1168"/>
      <c r="L152" s="1676"/>
      <c r="M152" s="1676"/>
      <c r="N152" s="1168"/>
      <c r="O152" s="1168"/>
      <c r="P152" s="1168"/>
      <c r="Q152" s="1168"/>
      <c r="R152" s="1676"/>
      <c r="S152" s="1168"/>
      <c r="T152" s="1168"/>
      <c r="U152" s="550"/>
      <c r="V152" s="1168"/>
      <c r="W152" s="1168"/>
      <c r="X152" s="1168"/>
      <c r="Y152" s="1168"/>
      <c r="Z152" s="1168"/>
      <c r="AA152" s="1672"/>
      <c r="AB152" s="572"/>
      <c r="AC152" s="572"/>
      <c r="AD152" s="572"/>
      <c r="AE152" s="572"/>
    </row>
    <row s="3878" customFormat="1" customHeight="1" ht="11.25">
      <c r="A153" s="994"/>
      <c r="B153" s="1676"/>
      <c r="C153" s="1676"/>
      <c r="D153" s="347"/>
      <c r="K153" s="1168"/>
      <c r="L153" s="1676"/>
      <c r="M153" s="1676"/>
      <c r="N153" s="1168"/>
      <c r="O153" s="1168"/>
      <c r="P153" s="1168"/>
      <c r="Q153" s="1168"/>
      <c r="R153" s="1676"/>
      <c r="S153" s="1168"/>
      <c r="T153" s="1168"/>
      <c r="U153" s="550"/>
      <c r="V153" s="1168"/>
      <c r="W153" s="1168"/>
      <c r="X153" s="1168"/>
      <c r="Y153" s="1168"/>
      <c r="Z153" s="1168"/>
      <c r="AA153" s="1672"/>
      <c r="AB153" s="572"/>
      <c r="AC153" s="572"/>
      <c r="AD153" s="572"/>
      <c r="AE153" s="572"/>
    </row>
    <row s="3878" customFormat="1" customHeight="1" ht="11.25">
      <c r="A154" s="994"/>
      <c r="B154" s="1676"/>
      <c r="C154" s="1676"/>
      <c r="D154" s="347"/>
      <c r="K154" s="1168"/>
      <c r="L154" s="1676"/>
      <c r="M154" s="1676"/>
      <c r="N154" s="1168"/>
      <c r="O154" s="1168"/>
      <c r="P154" s="1168"/>
      <c r="Q154" s="1168"/>
      <c r="R154" s="1676"/>
      <c r="S154" s="1168"/>
      <c r="T154" s="1168"/>
      <c r="U154" s="550"/>
      <c r="V154" s="1168"/>
      <c r="W154" s="1168"/>
      <c r="X154" s="1168"/>
      <c r="Y154" s="1168"/>
      <c r="Z154" s="1168"/>
      <c r="AA154" s="1672"/>
      <c r="AB154" s="572"/>
      <c r="AC154" s="572"/>
      <c r="AD154" s="572"/>
      <c r="AE154" s="572"/>
    </row>
    <row s="3878" customFormat="1" customHeight="1" ht="11.25">
      <c r="A155" s="994"/>
      <c r="B155" s="1676"/>
      <c r="C155" s="1676"/>
      <c r="D155" s="347"/>
      <c r="K155" s="1168"/>
      <c r="L155" s="1676"/>
      <c r="M155" s="1676"/>
      <c r="N155" s="1168"/>
      <c r="O155" s="1168"/>
      <c r="P155" s="1168"/>
      <c r="Q155" s="1168"/>
      <c r="R155" s="1676"/>
      <c r="S155" s="1168"/>
      <c r="T155" s="1168"/>
      <c r="U155" s="550"/>
      <c r="V155" s="1168"/>
      <c r="W155" s="1168"/>
      <c r="X155" s="1168"/>
      <c r="Y155" s="1168"/>
      <c r="Z155" s="1168"/>
      <c r="AA155" s="1672"/>
      <c r="AB155" s="572"/>
      <c r="AC155" s="572"/>
      <c r="AD155" s="572"/>
      <c r="AE155" s="572"/>
    </row>
    <row s="3878" customFormat="1" customHeight="1" ht="11.25">
      <c r="A156" s="994"/>
      <c r="B156" s="1676"/>
      <c r="C156" s="1676"/>
      <c r="D156" s="347"/>
      <c r="K156" s="1168"/>
      <c r="L156" s="1676"/>
      <c r="M156" s="1676"/>
      <c r="N156" s="1168"/>
      <c r="O156" s="1168"/>
      <c r="P156" s="1168"/>
      <c r="Q156" s="1168"/>
      <c r="R156" s="1676"/>
      <c r="S156" s="1168"/>
      <c r="T156" s="1168"/>
      <c r="U156" s="550"/>
      <c r="V156" s="1168"/>
      <c r="W156" s="1168"/>
      <c r="X156" s="1168"/>
      <c r="Y156" s="1168"/>
      <c r="Z156" s="1168"/>
      <c r="AA156" s="1672"/>
      <c r="AB156" s="572"/>
      <c r="AC156" s="572"/>
      <c r="AD156" s="572"/>
      <c r="AE156" s="572"/>
    </row>
    <row s="3878" customFormat="1" customHeight="1" ht="11.25">
      <c r="A157" s="994"/>
      <c r="B157" s="1676"/>
      <c r="C157" s="1676"/>
      <c r="D157" s="347"/>
      <c r="K157" s="1168"/>
      <c r="L157" s="1676"/>
      <c r="M157" s="1676"/>
      <c r="N157" s="1168"/>
      <c r="O157" s="1168"/>
      <c r="P157" s="1168"/>
      <c r="Q157" s="1168"/>
      <c r="R157" s="1676"/>
      <c r="S157" s="1168"/>
      <c r="T157" s="1168"/>
      <c r="U157" s="550"/>
      <c r="V157" s="1168"/>
      <c r="W157" s="1168"/>
      <c r="X157" s="1168"/>
      <c r="Y157" s="1168"/>
      <c r="Z157" s="1168"/>
      <c r="AA157" s="1672"/>
      <c r="AB157" s="572"/>
      <c r="AC157" s="572"/>
      <c r="AD157" s="572"/>
      <c r="AE157" s="572"/>
    </row>
    <row s="3878" customFormat="1" customHeight="1" ht="11.25">
      <c r="A158" s="994"/>
      <c r="B158" s="1676"/>
      <c r="C158" s="1676"/>
      <c r="D158" s="347"/>
      <c r="K158" s="1168"/>
      <c r="L158" s="1676"/>
      <c r="M158" s="1676"/>
      <c r="N158" s="1168"/>
      <c r="O158" s="1168"/>
      <c r="P158" s="1168"/>
      <c r="Q158" s="1168"/>
      <c r="R158" s="1676"/>
      <c r="S158" s="1168"/>
      <c r="T158" s="1168"/>
      <c r="U158" s="550"/>
      <c r="V158" s="1168"/>
      <c r="W158" s="1168"/>
      <c r="X158" s="1168"/>
      <c r="Y158" s="1168"/>
      <c r="Z158" s="1168"/>
      <c r="AA158" s="1672"/>
      <c r="AB158" s="572"/>
      <c r="AC158" s="572"/>
      <c r="AD158" s="572"/>
      <c r="AE158" s="572"/>
    </row>
    <row s="3878" customFormat="1" customHeight="1" ht="11.25">
      <c r="A159" s="994"/>
      <c r="B159" s="1676"/>
      <c r="C159" s="1676"/>
      <c r="D159" s="347"/>
      <c r="K159" s="1168"/>
      <c r="L159" s="1676"/>
      <c r="M159" s="1676"/>
      <c r="N159" s="1168"/>
      <c r="O159" s="1168"/>
      <c r="P159" s="1168"/>
      <c r="Q159" s="1168"/>
      <c r="R159" s="1676"/>
      <c r="S159" s="1168"/>
      <c r="T159" s="1168"/>
      <c r="U159" s="550"/>
      <c r="V159" s="1168"/>
      <c r="W159" s="1168"/>
      <c r="X159" s="1168"/>
      <c r="Y159" s="1168"/>
      <c r="Z159" s="1168"/>
      <c r="AA159" s="1672"/>
      <c r="AB159" s="572"/>
      <c r="AC159" s="572"/>
      <c r="AD159" s="572"/>
      <c r="AE159" s="572"/>
    </row>
    <row s="3878" customFormat="1" customHeight="1" ht="11.25">
      <c r="A160" s="994"/>
      <c r="B160" s="1676"/>
      <c r="C160" s="1676"/>
      <c r="D160" s="347"/>
      <c r="K160" s="1168"/>
      <c r="L160" s="1676"/>
      <c r="M160" s="1676"/>
      <c r="N160" s="1168"/>
      <c r="O160" s="1168"/>
      <c r="P160" s="1168"/>
      <c r="Q160" s="1168"/>
      <c r="R160" s="1676"/>
      <c r="S160" s="1168"/>
      <c r="T160" s="1168"/>
      <c r="U160" s="550"/>
      <c r="V160" s="1168"/>
      <c r="W160" s="1168"/>
      <c r="X160" s="1168"/>
      <c r="Y160" s="1168"/>
      <c r="Z160" s="1168"/>
      <c r="AA160" s="1672"/>
      <c r="AB160" s="572"/>
      <c r="AC160" s="572"/>
      <c r="AD160" s="572"/>
      <c r="AE160" s="572"/>
    </row>
    <row s="3878" customFormat="1" customHeight="1" ht="11.25">
      <c r="A161" s="994"/>
      <c r="B161" s="1676"/>
      <c r="C161" s="1676"/>
      <c r="D161" s="347"/>
      <c r="K161" s="1168"/>
      <c r="L161" s="1676"/>
      <c r="M161" s="1676"/>
      <c r="N161" s="1168"/>
      <c r="O161" s="1168"/>
      <c r="P161" s="1168"/>
      <c r="Q161" s="1168"/>
      <c r="R161" s="1676"/>
      <c r="S161" s="1168"/>
      <c r="T161" s="1168"/>
      <c r="U161" s="550"/>
      <c r="V161" s="1168"/>
      <c r="W161" s="1168"/>
      <c r="X161" s="1168"/>
      <c r="Y161" s="1168"/>
      <c r="Z161" s="1168"/>
      <c r="AA161" s="1672"/>
      <c r="AB161" s="572"/>
      <c r="AC161" s="572"/>
      <c r="AD161" s="572"/>
      <c r="AE161" s="572"/>
    </row>
    <row s="3878" customFormat="1" customHeight="1" ht="11.25">
      <c r="A162" s="994"/>
      <c r="B162" s="1676"/>
      <c r="C162" s="1676"/>
      <c r="D162" s="347"/>
      <c r="K162" s="1168"/>
      <c r="L162" s="1676"/>
      <c r="M162" s="1676"/>
      <c r="N162" s="1168"/>
      <c r="O162" s="1168"/>
      <c r="P162" s="1168"/>
      <c r="Q162" s="1168"/>
      <c r="R162" s="1676"/>
      <c r="S162" s="1168"/>
      <c r="T162" s="1168"/>
      <c r="U162" s="550"/>
      <c r="V162" s="1168"/>
      <c r="W162" s="1168"/>
      <c r="X162" s="1168"/>
      <c r="Y162" s="1168"/>
      <c r="Z162" s="1168"/>
      <c r="AA162" s="1672"/>
      <c r="AB162" s="572"/>
      <c r="AC162" s="572"/>
      <c r="AD162" s="572"/>
      <c r="AE162" s="572"/>
    </row>
    <row s="3878" customFormat="1" customHeight="1" ht="11.25">
      <c r="A163" s="994"/>
      <c r="B163" s="1676"/>
      <c r="C163" s="1676"/>
      <c r="D163" s="347"/>
      <c r="K163" s="1168"/>
      <c r="L163" s="1676"/>
      <c r="M163" s="1676"/>
      <c r="N163" s="1168"/>
      <c r="O163" s="1168"/>
      <c r="P163" s="1168"/>
      <c r="Q163" s="1168"/>
      <c r="R163" s="1676"/>
      <c r="S163" s="1168"/>
      <c r="T163" s="1168"/>
      <c r="U163" s="550"/>
      <c r="V163" s="1168"/>
      <c r="W163" s="1168"/>
      <c r="X163" s="1168"/>
      <c r="Y163" s="1168"/>
      <c r="Z163" s="1168"/>
      <c r="AA163" s="1672"/>
      <c r="AB163" s="572"/>
      <c r="AC163" s="572"/>
      <c r="AD163" s="572"/>
      <c r="AE163" s="572"/>
    </row>
    <row s="3878" customFormat="1" customHeight="1" ht="11.25">
      <c r="A164" s="994"/>
      <c r="B164" s="1676"/>
      <c r="C164" s="1676"/>
      <c r="D164" s="347"/>
      <c r="K164" s="1168"/>
      <c r="L164" s="1676"/>
      <c r="M164" s="1676"/>
      <c r="N164" s="1168"/>
      <c r="O164" s="1168"/>
      <c r="P164" s="1168"/>
      <c r="Q164" s="1168"/>
      <c r="R164" s="1676"/>
      <c r="S164" s="1168"/>
      <c r="T164" s="1168"/>
      <c r="U164" s="550"/>
      <c r="V164" s="1168"/>
      <c r="W164" s="1168"/>
      <c r="X164" s="1168"/>
      <c r="Y164" s="1168"/>
      <c r="Z164" s="1168"/>
      <c r="AA164" s="1672"/>
      <c r="AB164" s="572"/>
      <c r="AC164" s="572"/>
      <c r="AD164" s="572"/>
      <c r="AE164" s="572"/>
    </row>
    <row s="3878" customFormat="1" customHeight="1" ht="11.25">
      <c r="A165" s="994"/>
      <c r="B165" s="1676"/>
      <c r="C165" s="1676"/>
      <c r="D165" s="347"/>
      <c r="K165" s="1168"/>
      <c r="L165" s="1676"/>
      <c r="M165" s="1676"/>
      <c r="N165" s="1168"/>
      <c r="O165" s="1168"/>
      <c r="P165" s="1168"/>
      <c r="Q165" s="1168"/>
      <c r="R165" s="1676"/>
      <c r="S165" s="1168"/>
      <c r="T165" s="1168"/>
      <c r="U165" s="550"/>
      <c r="V165" s="1168"/>
      <c r="W165" s="1168"/>
      <c r="X165" s="1168"/>
      <c r="Y165" s="1168"/>
      <c r="Z165" s="1168"/>
      <c r="AA165" s="1672"/>
      <c r="AB165" s="572"/>
      <c r="AC165" s="572"/>
      <c r="AD165" s="572"/>
      <c r="AE165" s="572"/>
    </row>
    <row s="3878" customFormat="1" customHeight="1" ht="11.25">
      <c r="A166" s="994"/>
      <c r="B166" s="1676"/>
      <c r="C166" s="1676"/>
      <c r="D166" s="347"/>
      <c r="K166" s="1168"/>
      <c r="L166" s="1676"/>
      <c r="M166" s="1676"/>
      <c r="N166" s="1168"/>
      <c r="O166" s="1168"/>
      <c r="P166" s="1168"/>
      <c r="Q166" s="1168"/>
      <c r="R166" s="1676"/>
      <c r="S166" s="1168"/>
      <c r="T166" s="1168"/>
      <c r="U166" s="550"/>
      <c r="V166" s="1168"/>
      <c r="W166" s="1168"/>
      <c r="X166" s="1168"/>
      <c r="Y166" s="1168"/>
      <c r="Z166" s="1168"/>
      <c r="AA166" s="1672"/>
      <c r="AB166" s="572"/>
      <c r="AC166" s="572"/>
      <c r="AD166" s="572"/>
      <c r="AE166" s="572"/>
    </row>
    <row s="3878" customFormat="1" customHeight="1" ht="11.25">
      <c r="A167" s="994"/>
      <c r="B167" s="1676"/>
      <c r="C167" s="1676"/>
      <c r="D167" s="347"/>
      <c r="K167" s="1168"/>
      <c r="L167" s="1676"/>
      <c r="M167" s="1676"/>
      <c r="N167" s="1168"/>
      <c r="O167" s="1168"/>
      <c r="P167" s="1168"/>
      <c r="Q167" s="1168"/>
      <c r="R167" s="1676"/>
      <c r="S167" s="1168"/>
      <c r="T167" s="1168"/>
      <c r="U167" s="550"/>
      <c r="V167" s="1168"/>
      <c r="W167" s="1168"/>
      <c r="X167" s="1168"/>
      <c r="Y167" s="1168"/>
      <c r="Z167" s="1168"/>
      <c r="AA167" s="1672"/>
      <c r="AB167" s="572"/>
      <c r="AC167" s="572"/>
      <c r="AD167" s="572"/>
      <c r="AE167" s="572"/>
    </row>
    <row s="3878" customFormat="1" customHeight="1" ht="11.25">
      <c r="A168" s="994"/>
      <c r="B168" s="1676"/>
      <c r="C168" s="1676"/>
      <c r="D168" s="347"/>
      <c r="K168" s="1168"/>
      <c r="L168" s="1676"/>
      <c r="M168" s="1676"/>
      <c r="N168" s="1168"/>
      <c r="O168" s="1168"/>
      <c r="P168" s="1168"/>
      <c r="Q168" s="1168"/>
      <c r="R168" s="1676"/>
      <c r="S168" s="1168"/>
      <c r="T168" s="1168"/>
      <c r="U168" s="550"/>
      <c r="V168" s="1168"/>
      <c r="W168" s="1168"/>
      <c r="X168" s="1168"/>
      <c r="Y168" s="1168"/>
      <c r="Z168" s="1168"/>
      <c r="AA168" s="1672"/>
      <c r="AB168" s="572"/>
      <c r="AC168" s="572"/>
      <c r="AD168" s="572"/>
      <c r="AE168" s="572"/>
    </row>
    <row s="3878" customFormat="1" customHeight="1" ht="11.25">
      <c r="A169" s="994"/>
      <c r="B169" s="1676"/>
      <c r="C169" s="1676"/>
      <c r="D169" s="347"/>
      <c r="K169" s="1168"/>
      <c r="L169" s="1676"/>
      <c r="M169" s="1676"/>
      <c r="N169" s="1168"/>
      <c r="O169" s="1168"/>
      <c r="P169" s="1168"/>
      <c r="Q169" s="1168"/>
      <c r="R169" s="1676"/>
      <c r="S169" s="1168"/>
      <c r="T169" s="1168"/>
      <c r="U169" s="550"/>
      <c r="V169" s="1168"/>
      <c r="W169" s="1168"/>
      <c r="X169" s="1168"/>
      <c r="Y169" s="1168"/>
      <c r="Z169" s="1168"/>
      <c r="AA169" s="1672"/>
      <c r="AB169" s="572"/>
      <c r="AC169" s="572"/>
      <c r="AD169" s="572"/>
      <c r="AE169" s="572"/>
    </row>
    <row s="3878" customFormat="1" customHeight="1" ht="11.25">
      <c r="A170" s="994"/>
      <c r="B170" s="1676"/>
      <c r="C170" s="1676"/>
      <c r="D170" s="347"/>
      <c r="K170" s="1168"/>
      <c r="L170" s="1676"/>
      <c r="M170" s="1676"/>
      <c r="N170" s="1168"/>
      <c r="O170" s="1168"/>
      <c r="P170" s="1168"/>
      <c r="Q170" s="1168"/>
      <c r="R170" s="1676"/>
      <c r="S170" s="1168"/>
      <c r="T170" s="1168"/>
      <c r="U170" s="550"/>
      <c r="V170" s="1168"/>
      <c r="W170" s="1168"/>
      <c r="X170" s="1168"/>
      <c r="Y170" s="1168"/>
      <c r="Z170" s="1168"/>
      <c r="AA170" s="1672"/>
      <c r="AB170" s="572"/>
      <c r="AC170" s="572"/>
      <c r="AD170" s="572"/>
      <c r="AE170" s="572"/>
    </row>
    <row s="3878" customFormat="1" customHeight="1" ht="11.25">
      <c r="A171" s="994"/>
      <c r="B171" s="1676"/>
      <c r="C171" s="1676"/>
      <c r="D171" s="347"/>
      <c r="K171" s="1168"/>
      <c r="L171" s="1676"/>
      <c r="M171" s="1676"/>
      <c r="N171" s="1168"/>
      <c r="O171" s="1168"/>
      <c r="P171" s="1168"/>
      <c r="Q171" s="1168"/>
      <c r="R171" s="1676"/>
      <c r="S171" s="1168"/>
      <c r="T171" s="1168"/>
      <c r="U171" s="550"/>
      <c r="V171" s="1168"/>
      <c r="W171" s="1168"/>
      <c r="X171" s="1168"/>
      <c r="Y171" s="1168"/>
      <c r="Z171" s="1168"/>
      <c r="AA171" s="1672"/>
      <c r="AB171" s="572"/>
      <c r="AC171" s="572"/>
      <c r="AD171" s="572"/>
      <c r="AE171" s="572"/>
    </row>
    <row s="3878" customFormat="1" customHeight="1" ht="11.25">
      <c r="A172" s="994"/>
      <c r="B172" s="1676"/>
      <c r="C172" s="1676"/>
      <c r="D172" s="347"/>
      <c r="K172" s="1168"/>
      <c r="L172" s="1676"/>
      <c r="M172" s="1676"/>
      <c r="N172" s="1168"/>
      <c r="O172" s="1168"/>
      <c r="P172" s="1168"/>
      <c r="Q172" s="1168"/>
      <c r="R172" s="1676"/>
      <c r="S172" s="1168"/>
      <c r="T172" s="1168"/>
      <c r="U172" s="550"/>
      <c r="V172" s="1168"/>
      <c r="W172" s="1168"/>
      <c r="X172" s="1168"/>
      <c r="Y172" s="1168"/>
      <c r="Z172" s="1168"/>
      <c r="AA172" s="1672"/>
      <c r="AB172" s="572"/>
      <c r="AC172" s="572"/>
      <c r="AD172" s="572"/>
      <c r="AE172" s="572"/>
    </row>
    <row s="3878" customFormat="1" customHeight="1" ht="11.25">
      <c r="A173" s="994"/>
      <c r="B173" s="1676"/>
      <c r="C173" s="1676"/>
      <c r="D173" s="347"/>
      <c r="K173" s="1168"/>
      <c r="L173" s="1676"/>
      <c r="M173" s="1676"/>
      <c r="N173" s="1168"/>
      <c r="O173" s="1168"/>
      <c r="P173" s="1168"/>
      <c r="Q173" s="1168"/>
      <c r="R173" s="1676"/>
      <c r="S173" s="1168"/>
      <c r="T173" s="1168"/>
      <c r="U173" s="550"/>
      <c r="V173" s="1168"/>
      <c r="W173" s="1168"/>
      <c r="X173" s="1168"/>
      <c r="Y173" s="1168"/>
      <c r="Z173" s="1168"/>
      <c r="AA173" s="1672"/>
      <c r="AB173" s="572"/>
      <c r="AC173" s="572"/>
      <c r="AD173" s="572"/>
      <c r="AE173" s="572"/>
    </row>
    <row s="3878" customFormat="1" customHeight="1" ht="11.25">
      <c r="A174" s="994"/>
      <c r="B174" s="1676"/>
      <c r="C174" s="1676"/>
      <c r="D174" s="347"/>
      <c r="K174" s="1168"/>
      <c r="L174" s="1676"/>
      <c r="M174" s="1676"/>
      <c r="N174" s="1168"/>
      <c r="O174" s="1168"/>
      <c r="P174" s="1168"/>
      <c r="Q174" s="1168"/>
      <c r="R174" s="1676"/>
      <c r="S174" s="1168"/>
      <c r="T174" s="1168"/>
      <c r="U174" s="550"/>
      <c r="V174" s="1168"/>
      <c r="W174" s="1168"/>
      <c r="X174" s="1168"/>
      <c r="Y174" s="1168"/>
      <c r="Z174" s="1168"/>
      <c r="AA174" s="1672"/>
      <c r="AB174" s="572"/>
      <c r="AC174" s="572"/>
      <c r="AD174" s="572"/>
      <c r="AE174" s="572"/>
    </row>
    <row s="3878" customFormat="1" customHeight="1" ht="11.25">
      <c r="A175" s="994"/>
      <c r="B175" s="1676"/>
      <c r="C175" s="1676"/>
      <c r="D175" s="347"/>
      <c r="K175" s="1168"/>
      <c r="L175" s="1676"/>
      <c r="M175" s="1676"/>
      <c r="N175" s="1168"/>
      <c r="O175" s="1168"/>
      <c r="P175" s="1168"/>
      <c r="Q175" s="1168"/>
      <c r="R175" s="1676"/>
      <c r="S175" s="1168"/>
      <c r="T175" s="1168"/>
      <c r="U175" s="550"/>
      <c r="V175" s="1168"/>
      <c r="W175" s="1168"/>
      <c r="X175" s="1168"/>
      <c r="Y175" s="1168"/>
      <c r="Z175" s="1168"/>
      <c r="AA175" s="1672"/>
      <c r="AB175" s="572"/>
      <c r="AC175" s="572"/>
      <c r="AD175" s="572"/>
      <c r="AE175" s="572"/>
    </row>
    <row s="3878" customFormat="1" customHeight="1" ht="11.25">
      <c r="A176" s="994"/>
      <c r="B176" s="1676"/>
      <c r="C176" s="1676"/>
      <c r="D176" s="347"/>
      <c r="K176" s="1168"/>
      <c r="L176" s="1676"/>
      <c r="M176" s="1676"/>
      <c r="N176" s="1168"/>
      <c r="O176" s="1168"/>
      <c r="P176" s="1168"/>
      <c r="Q176" s="1168"/>
      <c r="R176" s="1676"/>
      <c r="S176" s="1168"/>
      <c r="T176" s="1168"/>
      <c r="U176" s="550"/>
      <c r="V176" s="1168"/>
      <c r="W176" s="1168"/>
      <c r="X176" s="1168"/>
      <c r="Y176" s="1168"/>
      <c r="Z176" s="1168"/>
      <c r="AA176" s="1672"/>
      <c r="AB176" s="572"/>
      <c r="AC176" s="572"/>
      <c r="AD176" s="572"/>
      <c r="AE176" s="572"/>
    </row>
    <row s="3878" customFormat="1" customHeight="1" ht="11.25">
      <c r="A177" s="994"/>
      <c r="B177" s="1676"/>
      <c r="C177" s="1676"/>
      <c r="D177" s="347"/>
      <c r="K177" s="1168"/>
      <c r="L177" s="1676"/>
      <c r="M177" s="1676"/>
      <c r="N177" s="1168"/>
      <c r="O177" s="1168"/>
      <c r="P177" s="1168"/>
      <c r="Q177" s="1168"/>
      <c r="R177" s="1676"/>
      <c r="S177" s="1168"/>
      <c r="T177" s="1168"/>
      <c r="U177" s="550"/>
      <c r="V177" s="1168"/>
      <c r="W177" s="1168"/>
      <c r="X177" s="1168"/>
      <c r="Y177" s="1168"/>
      <c r="Z177" s="1168"/>
      <c r="AA177" s="1672"/>
      <c r="AB177" s="572"/>
      <c r="AC177" s="572"/>
      <c r="AD177" s="572"/>
      <c r="AE177" s="572"/>
    </row>
    <row s="3878" customFormat="1" customHeight="1" ht="11.25">
      <c r="A178" s="994"/>
      <c r="B178" s="1676"/>
      <c r="C178" s="1676"/>
      <c r="D178" s="347"/>
      <c r="K178" s="1168"/>
      <c r="L178" s="1676"/>
      <c r="M178" s="1676"/>
      <c r="N178" s="1168"/>
      <c r="O178" s="1168"/>
      <c r="P178" s="1168"/>
      <c r="Q178" s="1168"/>
      <c r="R178" s="1676"/>
      <c r="S178" s="1168"/>
      <c r="T178" s="1168"/>
      <c r="U178" s="550"/>
      <c r="V178" s="1168"/>
      <c r="W178" s="1168"/>
      <c r="X178" s="1168"/>
      <c r="Y178" s="1168"/>
      <c r="Z178" s="1168"/>
      <c r="AA178" s="1672"/>
      <c r="AB178" s="572"/>
      <c r="AC178" s="572"/>
      <c r="AD178" s="572"/>
      <c r="AE178" s="572"/>
    </row>
    <row s="3878" customFormat="1" customHeight="1" ht="11.25">
      <c r="A179" s="994"/>
      <c r="B179" s="1676"/>
      <c r="C179" s="1676"/>
      <c r="D179" s="347"/>
      <c r="K179" s="1168"/>
      <c r="L179" s="1676"/>
      <c r="M179" s="1676"/>
      <c r="N179" s="1168"/>
      <c r="O179" s="1168"/>
      <c r="P179" s="1168"/>
      <c r="Q179" s="1168"/>
      <c r="R179" s="1676"/>
      <c r="S179" s="1168"/>
      <c r="T179" s="1168"/>
      <c r="U179" s="550"/>
      <c r="V179" s="1168"/>
      <c r="W179" s="1168"/>
      <c r="X179" s="1168"/>
      <c r="Y179" s="1168"/>
      <c r="Z179" s="1168"/>
      <c r="AA179" s="1672"/>
      <c r="AB179" s="572"/>
      <c r="AC179" s="572"/>
      <c r="AD179" s="572"/>
      <c r="AE179" s="572"/>
    </row>
    <row s="3878" customFormat="1" customHeight="1" ht="11.25">
      <c r="A180" s="994"/>
      <c r="B180" s="1676"/>
      <c r="C180" s="1676"/>
      <c r="D180" s="347"/>
      <c r="K180" s="1168"/>
      <c r="L180" s="1676"/>
      <c r="M180" s="1676"/>
      <c r="N180" s="1168"/>
      <c r="O180" s="1168"/>
      <c r="P180" s="1168"/>
      <c r="Q180" s="1168"/>
      <c r="R180" s="1676"/>
      <c r="S180" s="1168"/>
      <c r="T180" s="1168"/>
      <c r="U180" s="550"/>
      <c r="V180" s="1168"/>
      <c r="W180" s="1168"/>
      <c r="X180" s="1168"/>
      <c r="Y180" s="1168"/>
      <c r="Z180" s="1168"/>
      <c r="AA180" s="1672"/>
      <c r="AB180" s="572"/>
      <c r="AC180" s="572"/>
      <c r="AD180" s="572"/>
      <c r="AE180" s="572"/>
    </row>
    <row s="3878" customFormat="1" customHeight="1" ht="11.25">
      <c r="A181" s="994"/>
      <c r="B181" s="1676"/>
      <c r="C181" s="1676"/>
      <c r="D181" s="347"/>
      <c r="K181" s="1168"/>
      <c r="L181" s="1676"/>
      <c r="M181" s="1676"/>
      <c r="N181" s="1168"/>
      <c r="O181" s="1168"/>
      <c r="P181" s="1168"/>
      <c r="Q181" s="1168"/>
      <c r="R181" s="1676"/>
      <c r="S181" s="1168"/>
      <c r="T181" s="1168"/>
      <c r="U181" s="550"/>
      <c r="V181" s="1168"/>
      <c r="W181" s="1168"/>
      <c r="X181" s="1168"/>
      <c r="Y181" s="1168"/>
      <c r="Z181" s="1168"/>
      <c r="AA181" s="1672"/>
      <c r="AB181" s="572"/>
      <c r="AC181" s="572"/>
      <c r="AD181" s="572"/>
      <c r="AE181" s="572"/>
    </row>
    <row s="3878" customFormat="1" customHeight="1" ht="11.25">
      <c r="A182" s="994"/>
      <c r="B182" s="1676"/>
      <c r="C182" s="1676"/>
      <c r="D182" s="347"/>
      <c r="K182" s="1168"/>
      <c r="L182" s="1676"/>
      <c r="M182" s="1676"/>
      <c r="N182" s="1168"/>
      <c r="O182" s="1168"/>
      <c r="P182" s="1168"/>
      <c r="Q182" s="1168"/>
      <c r="R182" s="1676"/>
      <c r="S182" s="1168"/>
      <c r="T182" s="1168"/>
      <c r="U182" s="550"/>
      <c r="V182" s="1168"/>
      <c r="W182" s="1168"/>
      <c r="X182" s="1168"/>
      <c r="Y182" s="1168"/>
      <c r="Z182" s="1168"/>
      <c r="AA182" s="1672"/>
      <c r="AB182" s="572"/>
      <c r="AC182" s="572"/>
      <c r="AD182" s="572"/>
      <c r="AE182" s="572"/>
    </row>
    <row s="3878" customFormat="1" customHeight="1" ht="11.25">
      <c r="A183" s="994"/>
      <c r="B183" s="1676"/>
      <c r="C183" s="1676"/>
      <c r="D183" s="347"/>
      <c r="K183" s="1168"/>
      <c r="L183" s="1676"/>
      <c r="M183" s="1676"/>
      <c r="N183" s="1168"/>
      <c r="O183" s="1168"/>
      <c r="P183" s="1168"/>
      <c r="Q183" s="1168"/>
      <c r="R183" s="1676"/>
      <c r="S183" s="1168"/>
      <c r="T183" s="1168"/>
      <c r="U183" s="550"/>
      <c r="V183" s="1168"/>
      <c r="W183" s="1168"/>
      <c r="X183" s="1168"/>
      <c r="Y183" s="1168"/>
      <c r="Z183" s="1168"/>
      <c r="AA183" s="1672"/>
      <c r="AB183" s="572"/>
      <c r="AC183" s="572"/>
      <c r="AD183" s="572"/>
      <c r="AE183" s="572"/>
    </row>
    <row s="3878" customFormat="1" customHeight="1" ht="11.25">
      <c r="A184" s="994"/>
      <c r="B184" s="1676"/>
      <c r="C184" s="1676"/>
      <c r="D184" s="347"/>
      <c r="K184" s="1168"/>
      <c r="L184" s="1676"/>
      <c r="M184" s="1676"/>
      <c r="N184" s="1168"/>
      <c r="O184" s="1168"/>
      <c r="P184" s="1168"/>
      <c r="Q184" s="1168"/>
      <c r="R184" s="1676"/>
      <c r="S184" s="1168"/>
      <c r="T184" s="1168"/>
      <c r="U184" s="550"/>
      <c r="V184" s="1168"/>
      <c r="W184" s="1168"/>
      <c r="X184" s="1168"/>
      <c r="Y184" s="1168"/>
      <c r="Z184" s="1168"/>
      <c r="AA184" s="1672"/>
      <c r="AB184" s="572"/>
      <c r="AC184" s="572"/>
      <c r="AD184" s="572"/>
      <c r="AE184" s="572"/>
    </row>
    <row s="3878" customFormat="1" customHeight="1" ht="11.25">
      <c r="A185" s="994"/>
      <c r="B185" s="1676"/>
      <c r="C185" s="1676"/>
      <c r="D185" s="347"/>
      <c r="K185" s="1168"/>
      <c r="L185" s="1676"/>
      <c r="M185" s="1676"/>
      <c r="N185" s="1168"/>
      <c r="O185" s="1168"/>
      <c r="P185" s="1168"/>
      <c r="Q185" s="1168"/>
      <c r="R185" s="1676"/>
      <c r="S185" s="1168"/>
      <c r="T185" s="1168"/>
      <c r="U185" s="550"/>
      <c r="V185" s="1168"/>
      <c r="W185" s="1168"/>
      <c r="X185" s="1168"/>
      <c r="Y185" s="1168"/>
      <c r="Z185" s="1168"/>
      <c r="AA185" s="1672"/>
      <c r="AB185" s="572"/>
      <c r="AC185" s="572"/>
      <c r="AD185" s="572"/>
      <c r="AE185" s="572"/>
    </row>
    <row s="3878" customFormat="1" customHeight="1" ht="11.25">
      <c r="A186" s="994"/>
      <c r="B186" s="1676"/>
      <c r="C186" s="1676"/>
      <c r="D186" s="347"/>
      <c r="K186" s="1168"/>
      <c r="L186" s="1676"/>
      <c r="M186" s="1676"/>
      <c r="N186" s="1168"/>
      <c r="O186" s="1168"/>
      <c r="P186" s="1168"/>
      <c r="Q186" s="1168"/>
      <c r="R186" s="1676"/>
      <c r="S186" s="1168"/>
      <c r="T186" s="1168"/>
      <c r="U186" s="550"/>
      <c r="V186" s="1168"/>
      <c r="W186" s="1168"/>
      <c r="X186" s="1168"/>
      <c r="Y186" s="1168"/>
      <c r="Z186" s="1168"/>
      <c r="AA186" s="1672"/>
      <c r="AB186" s="572"/>
      <c r="AC186" s="572"/>
      <c r="AD186" s="572"/>
      <c r="AE186" s="572"/>
    </row>
    <row s="3878" customFormat="1" customHeight="1" ht="11.25">
      <c r="A187" s="994"/>
      <c r="B187" s="1676"/>
      <c r="C187" s="1676"/>
      <c r="D187" s="347"/>
      <c r="K187" s="1168"/>
      <c r="L187" s="1676"/>
      <c r="M187" s="1676"/>
      <c r="N187" s="1168"/>
      <c r="O187" s="1168"/>
      <c r="P187" s="1168"/>
      <c r="Q187" s="1168"/>
      <c r="R187" s="1676"/>
      <c r="S187" s="1168"/>
      <c r="T187" s="1168"/>
      <c r="U187" s="550"/>
      <c r="V187" s="1168"/>
      <c r="W187" s="1168"/>
      <c r="X187" s="1168"/>
      <c r="Y187" s="1168"/>
      <c r="Z187" s="1168"/>
      <c r="AA187" s="1672"/>
      <c r="AB187" s="572"/>
      <c r="AC187" s="572"/>
      <c r="AD187" s="572"/>
      <c r="AE187" s="572"/>
    </row>
    <row s="3878" customFormat="1" customHeight="1" ht="11.25">
      <c r="A188" s="994"/>
      <c r="B188" s="1676"/>
      <c r="C188" s="1676"/>
      <c r="D188" s="347"/>
      <c r="K188" s="1168"/>
      <c r="L188" s="1676"/>
      <c r="M188" s="1676"/>
      <c r="N188" s="1168"/>
      <c r="O188" s="1168"/>
      <c r="P188" s="1168"/>
      <c r="Q188" s="1168"/>
      <c r="R188" s="1676"/>
      <c r="S188" s="1168"/>
      <c r="T188" s="1168"/>
      <c r="U188" s="550"/>
      <c r="V188" s="1168"/>
      <c r="W188" s="1168"/>
      <c r="X188" s="1168"/>
      <c r="Y188" s="1168"/>
      <c r="Z188" s="1168"/>
      <c r="AA188" s="1672"/>
      <c r="AB188" s="572"/>
      <c r="AC188" s="572"/>
      <c r="AD188" s="572"/>
      <c r="AE188" s="572"/>
    </row>
    <row s="3878" customFormat="1" customHeight="1" ht="11.25">
      <c r="A189" s="994"/>
      <c r="B189" s="1676"/>
      <c r="C189" s="1676"/>
      <c r="D189" s="347"/>
      <c r="K189" s="1168"/>
      <c r="L189" s="1676"/>
      <c r="M189" s="1676"/>
      <c r="N189" s="1168"/>
      <c r="O189" s="1168"/>
      <c r="P189" s="1168"/>
      <c r="Q189" s="1168"/>
      <c r="R189" s="1676"/>
      <c r="S189" s="1168"/>
      <c r="T189" s="1168"/>
      <c r="U189" s="550"/>
      <c r="V189" s="1168"/>
      <c r="W189" s="1168"/>
      <c r="X189" s="1168"/>
      <c r="Y189" s="1168"/>
      <c r="Z189" s="1168"/>
      <c r="AA189" s="1672"/>
      <c r="AB189" s="572"/>
      <c r="AC189" s="572"/>
      <c r="AD189" s="572"/>
      <c r="AE189" s="572"/>
    </row>
    <row s="3878" customFormat="1" customHeight="1" ht="11.25">
      <c r="A190" s="994"/>
      <c r="B190" s="1676"/>
      <c r="C190" s="1676"/>
      <c r="D190" s="347"/>
      <c r="K190" s="1168"/>
      <c r="L190" s="1676"/>
      <c r="M190" s="1676"/>
      <c r="N190" s="1168"/>
      <c r="O190" s="1168"/>
      <c r="P190" s="1168"/>
      <c r="Q190" s="1168"/>
      <c r="R190" s="1676"/>
      <c r="S190" s="1168"/>
      <c r="T190" s="1168"/>
      <c r="U190" s="550"/>
      <c r="V190" s="1168"/>
      <c r="W190" s="1168"/>
      <c r="X190" s="1168"/>
      <c r="Y190" s="1168"/>
      <c r="Z190" s="1168"/>
      <c r="AA190" s="1672"/>
      <c r="AB190" s="572"/>
      <c r="AC190" s="572"/>
      <c r="AD190" s="572"/>
      <c r="AE190" s="572"/>
    </row>
    <row s="3878" customFormat="1" customHeight="1" ht="11.25">
      <c r="A191" s="994"/>
      <c r="B191" s="1676"/>
      <c r="C191" s="1676"/>
      <c r="D191" s="347"/>
      <c r="K191" s="1168"/>
      <c r="L191" s="1676"/>
      <c r="M191" s="1676"/>
      <c r="N191" s="1168"/>
      <c r="O191" s="1168"/>
      <c r="P191" s="1168"/>
      <c r="Q191" s="1168"/>
      <c r="R191" s="1676"/>
      <c r="S191" s="1168"/>
      <c r="T191" s="1168"/>
      <c r="U191" s="550"/>
      <c r="V191" s="1168"/>
      <c r="W191" s="1168"/>
      <c r="X191" s="1168"/>
      <c r="Y191" s="1168"/>
      <c r="Z191" s="1168"/>
      <c r="AA191" s="1672"/>
      <c r="AB191" s="572"/>
      <c r="AC191" s="572"/>
      <c r="AD191" s="572"/>
      <c r="AE191" s="572"/>
    </row>
    <row s="3878" customFormat="1" customHeight="1" ht="11.25">
      <c r="A192" s="994"/>
      <c r="B192" s="1676"/>
      <c r="C192" s="1676"/>
      <c r="D192" s="347"/>
      <c r="K192" s="1168"/>
      <c r="L192" s="1676"/>
      <c r="M192" s="1676"/>
      <c r="N192" s="1168"/>
      <c r="O192" s="1168"/>
      <c r="P192" s="1168"/>
      <c r="Q192" s="1168"/>
      <c r="R192" s="1676"/>
      <c r="S192" s="1168"/>
      <c r="T192" s="1168"/>
      <c r="U192" s="550"/>
      <c r="V192" s="1168"/>
      <c r="W192" s="1168"/>
      <c r="X192" s="1168"/>
      <c r="Y192" s="1168"/>
      <c r="Z192" s="1168"/>
      <c r="AA192" s="1672"/>
      <c r="AB192" s="572"/>
      <c r="AC192" s="572"/>
      <c r="AD192" s="572"/>
      <c r="AE192" s="572"/>
    </row>
    <row s="3878" customFormat="1" customHeight="1" ht="11.25">
      <c r="A193" s="994"/>
      <c r="B193" s="1676"/>
      <c r="C193" s="1676"/>
      <c r="D193" s="347"/>
      <c r="K193" s="1168"/>
      <c r="L193" s="1676"/>
      <c r="M193" s="1676"/>
      <c r="N193" s="1168"/>
      <c r="O193" s="1168"/>
      <c r="P193" s="1168"/>
      <c r="Q193" s="1168"/>
      <c r="R193" s="1676"/>
      <c r="S193" s="1168"/>
      <c r="T193" s="1168"/>
      <c r="U193" s="550"/>
      <c r="V193" s="1168"/>
      <c r="W193" s="1168"/>
      <c r="X193" s="1168"/>
      <c r="Y193" s="1168"/>
      <c r="Z193" s="1168"/>
      <c r="AA193" s="1672"/>
      <c r="AB193" s="572"/>
      <c r="AC193" s="572"/>
      <c r="AD193" s="572"/>
      <c r="AE193" s="572"/>
    </row>
    <row s="3878" customFormat="1" customHeight="1" ht="11.25">
      <c r="A194" s="994"/>
      <c r="B194" s="1676"/>
      <c r="C194" s="1676"/>
      <c r="D194" s="347"/>
      <c r="K194" s="1168"/>
      <c r="L194" s="1676"/>
      <c r="M194" s="1676"/>
      <c r="N194" s="1168"/>
      <c r="O194" s="1168"/>
      <c r="P194" s="1168"/>
      <c r="Q194" s="1168"/>
      <c r="R194" s="1676"/>
      <c r="S194" s="1168"/>
      <c r="T194" s="1168"/>
      <c r="U194" s="550"/>
      <c r="V194" s="1168"/>
      <c r="W194" s="1168"/>
      <c r="X194" s="1168"/>
      <c r="Y194" s="1168"/>
      <c r="Z194" s="1168"/>
      <c r="AA194" s="1672"/>
      <c r="AB194" s="572"/>
      <c r="AC194" s="572"/>
      <c r="AD194" s="572"/>
      <c r="AE194" s="572"/>
    </row>
    <row s="3878" customFormat="1" customHeight="1" ht="11.25">
      <c r="A195" s="994"/>
      <c r="B195" s="1676"/>
      <c r="C195" s="1676"/>
      <c r="D195" s="347"/>
      <c r="K195" s="1168"/>
      <c r="L195" s="1676"/>
      <c r="M195" s="1676"/>
      <c r="N195" s="1168"/>
      <c r="O195" s="1168"/>
      <c r="P195" s="1168"/>
      <c r="Q195" s="1168"/>
      <c r="R195" s="1676"/>
      <c r="S195" s="1168"/>
      <c r="T195" s="1168"/>
      <c r="U195" s="550"/>
      <c r="V195" s="1168"/>
      <c r="W195" s="1168"/>
      <c r="X195" s="1168"/>
      <c r="Y195" s="1168"/>
      <c r="Z195" s="1168"/>
      <c r="AA195" s="1672"/>
      <c r="AB195" s="572"/>
      <c r="AC195" s="572"/>
      <c r="AD195" s="572"/>
      <c r="AE195" s="572"/>
    </row>
    <row s="3878" customFormat="1" customHeight="1" ht="11.25">
      <c r="A196" s="994"/>
      <c r="B196" s="1676"/>
      <c r="C196" s="1676"/>
      <c r="D196" s="347"/>
      <c r="K196" s="1168"/>
      <c r="L196" s="1676"/>
      <c r="M196" s="1676"/>
      <c r="N196" s="1168"/>
      <c r="O196" s="1168"/>
      <c r="P196" s="1168"/>
      <c r="Q196" s="1168"/>
      <c r="R196" s="1676"/>
      <c r="S196" s="1168"/>
      <c r="T196" s="1168"/>
      <c r="U196" s="550"/>
      <c r="V196" s="1168"/>
      <c r="W196" s="1168"/>
      <c r="X196" s="1168"/>
      <c r="Y196" s="1168"/>
      <c r="Z196" s="1168"/>
      <c r="AA196" s="1672"/>
      <c r="AB196" s="572"/>
      <c r="AC196" s="572"/>
      <c r="AD196" s="572"/>
      <c r="AE196" s="572"/>
    </row>
    <row s="3878" customFormat="1" customHeight="1" ht="11.25">
      <c r="A197" s="994"/>
      <c r="B197" s="1676"/>
      <c r="C197" s="1676"/>
      <c r="D197" s="347"/>
      <c r="K197" s="1168"/>
      <c r="L197" s="1676"/>
      <c r="M197" s="1676"/>
      <c r="N197" s="1168"/>
      <c r="O197" s="1168"/>
      <c r="P197" s="1168"/>
      <c r="Q197" s="1168"/>
      <c r="R197" s="1676"/>
      <c r="S197" s="1168"/>
      <c r="T197" s="1168"/>
      <c r="U197" s="550"/>
      <c r="V197" s="1168"/>
      <c r="W197" s="1168"/>
      <c r="X197" s="1168"/>
      <c r="Y197" s="1168"/>
      <c r="Z197" s="1168"/>
      <c r="AA197" s="1672"/>
      <c r="AB197" s="572"/>
      <c r="AC197" s="572"/>
      <c r="AD197" s="572"/>
      <c r="AE197" s="572"/>
    </row>
    <row s="3878" customFormat="1" customHeight="1" ht="11.25">
      <c r="A198" s="994"/>
      <c r="B198" s="1676"/>
      <c r="C198" s="1676"/>
      <c r="D198" s="347"/>
      <c r="K198" s="1168"/>
      <c r="L198" s="1676"/>
      <c r="M198" s="1676"/>
      <c r="N198" s="1168"/>
      <c r="O198" s="1168"/>
      <c r="P198" s="1168"/>
      <c r="Q198" s="1168"/>
      <c r="R198" s="1676"/>
      <c r="S198" s="1168"/>
      <c r="T198" s="1168"/>
      <c r="U198" s="550"/>
      <c r="V198" s="1168"/>
      <c r="W198" s="1168"/>
      <c r="X198" s="1168"/>
      <c r="Y198" s="1168"/>
      <c r="Z198" s="1168"/>
      <c r="AA198" s="1672"/>
      <c r="AB198" s="572"/>
      <c r="AC198" s="572"/>
      <c r="AD198" s="572"/>
      <c r="AE198" s="572"/>
    </row>
    <row s="3878" customFormat="1" customHeight="1" ht="11.25">
      <c r="A199" s="994"/>
      <c r="B199" s="1676"/>
      <c r="C199" s="1676"/>
      <c r="D199" s="347"/>
      <c r="K199" s="1168"/>
      <c r="L199" s="1676"/>
      <c r="M199" s="1676"/>
      <c r="N199" s="1168"/>
      <c r="O199" s="1168"/>
      <c r="P199" s="1168"/>
      <c r="Q199" s="1168"/>
      <c r="R199" s="1676"/>
      <c r="S199" s="1168"/>
      <c r="T199" s="1168"/>
      <c r="U199" s="550"/>
      <c r="V199" s="1168"/>
      <c r="W199" s="1168"/>
      <c r="X199" s="1168"/>
      <c r="Y199" s="1168"/>
      <c r="Z199" s="1168"/>
      <c r="AA199" s="1672"/>
      <c r="AB199" s="572"/>
      <c r="AC199" s="572"/>
      <c r="AD199" s="572"/>
      <c r="AE199" s="572"/>
    </row>
    <row s="3878" customFormat="1" customHeight="1" ht="11.25">
      <c r="A200" s="994"/>
      <c r="B200" s="1676"/>
      <c r="C200" s="1676"/>
      <c r="D200" s="347"/>
      <c r="K200" s="1168"/>
      <c r="L200" s="1676"/>
      <c r="M200" s="1676"/>
      <c r="N200" s="1168"/>
      <c r="O200" s="1168"/>
      <c r="P200" s="1168"/>
      <c r="Q200" s="1168"/>
      <c r="R200" s="1676"/>
      <c r="S200" s="1168"/>
      <c r="T200" s="1168"/>
      <c r="U200" s="550"/>
      <c r="V200" s="1168"/>
      <c r="W200" s="1168"/>
      <c r="X200" s="1168"/>
      <c r="Y200" s="1168"/>
      <c r="Z200" s="1168"/>
      <c r="AA200" s="1672"/>
      <c r="AB200" s="572"/>
      <c r="AC200" s="572"/>
      <c r="AD200" s="572"/>
      <c r="AE200" s="572"/>
    </row>
    <row s="3878" customFormat="1" customHeight="1" ht="11.25">
      <c r="A201" s="994"/>
      <c r="B201" s="1676"/>
      <c r="C201" s="1676"/>
      <c r="D201" s="347"/>
      <c r="K201" s="1168"/>
      <c r="L201" s="1676"/>
      <c r="M201" s="1676"/>
      <c r="N201" s="1168"/>
      <c r="O201" s="1168"/>
      <c r="P201" s="1168"/>
      <c r="Q201" s="1168"/>
      <c r="R201" s="1676"/>
      <c r="S201" s="1168"/>
      <c r="T201" s="1168"/>
      <c r="U201" s="550"/>
      <c r="V201" s="1168"/>
      <c r="W201" s="1168"/>
      <c r="X201" s="1168"/>
      <c r="Y201" s="1168"/>
      <c r="Z201" s="1168"/>
      <c r="AA201" s="1672"/>
      <c r="AB201" s="572"/>
      <c r="AC201" s="572"/>
      <c r="AD201" s="572"/>
      <c r="AE201" s="572"/>
    </row>
    <row s="3878" customFormat="1" customHeight="1" ht="11.25">
      <c r="A202" s="994"/>
      <c r="B202" s="1676"/>
      <c r="C202" s="1676"/>
      <c r="D202" s="347"/>
      <c r="K202" s="1168"/>
      <c r="L202" s="1676"/>
      <c r="M202" s="1676"/>
      <c r="N202" s="1168"/>
      <c r="O202" s="1168"/>
      <c r="P202" s="1168"/>
      <c r="Q202" s="1168"/>
      <c r="R202" s="1676"/>
      <c r="S202" s="1168"/>
      <c r="T202" s="1168"/>
      <c r="U202" s="550"/>
      <c r="V202" s="1168"/>
      <c r="W202" s="1168"/>
      <c r="X202" s="1168"/>
      <c r="Y202" s="1168"/>
      <c r="Z202" s="1168"/>
      <c r="AA202" s="1672"/>
      <c r="AB202" s="572"/>
      <c r="AC202" s="572"/>
      <c r="AD202" s="572"/>
      <c r="AE202" s="572"/>
    </row>
    <row s="3878" customFormat="1" customHeight="1" ht="11.25">
      <c r="A203" s="994"/>
      <c r="B203" s="1676"/>
      <c r="C203" s="1676"/>
      <c r="D203" s="347"/>
      <c r="K203" s="1168"/>
      <c r="L203" s="1676"/>
      <c r="M203" s="1676"/>
      <c r="N203" s="1168"/>
      <c r="O203" s="1168"/>
      <c r="P203" s="1168"/>
      <c r="Q203" s="1168"/>
      <c r="R203" s="1676"/>
      <c r="S203" s="1168"/>
      <c r="T203" s="1168"/>
      <c r="U203" s="550"/>
      <c r="V203" s="1168"/>
      <c r="W203" s="1168"/>
      <c r="X203" s="1168"/>
      <c r="Y203" s="1168"/>
      <c r="Z203" s="1168"/>
      <c r="AA203" s="1672"/>
      <c r="AB203" s="572"/>
      <c r="AC203" s="572"/>
      <c r="AD203" s="572"/>
      <c r="AE203" s="572"/>
    </row>
    <row s="3878" customFormat="1" customHeight="1" ht="11.25">
      <c r="A204" s="994"/>
      <c r="B204" s="1676"/>
      <c r="C204" s="1676"/>
      <c r="D204" s="347"/>
      <c r="K204" s="1168"/>
      <c r="L204" s="1676"/>
      <c r="M204" s="1676"/>
      <c r="N204" s="1168"/>
      <c r="O204" s="1168"/>
      <c r="P204" s="1168"/>
      <c r="Q204" s="1168"/>
      <c r="R204" s="1676"/>
      <c r="S204" s="1168"/>
      <c r="T204" s="1168"/>
      <c r="U204" s="550"/>
      <c r="V204" s="1168"/>
      <c r="W204" s="1168"/>
      <c r="X204" s="1168"/>
      <c r="Y204" s="1168"/>
      <c r="Z204" s="1168"/>
      <c r="AA204" s="1672"/>
      <c r="AB204" s="572"/>
      <c r="AC204" s="572"/>
      <c r="AD204" s="572"/>
      <c r="AE204" s="572"/>
    </row>
    <row s="3878" customFormat="1" customHeight="1" ht="11.25">
      <c r="A205" s="994"/>
      <c r="B205" s="1676"/>
      <c r="C205" s="1676"/>
      <c r="D205" s="347"/>
      <c r="K205" s="1168"/>
      <c r="L205" s="1676"/>
      <c r="M205" s="1676"/>
      <c r="N205" s="1168"/>
      <c r="O205" s="1168"/>
      <c r="P205" s="1168"/>
      <c r="Q205" s="1168"/>
      <c r="R205" s="1676"/>
      <c r="S205" s="1168"/>
      <c r="T205" s="1168"/>
      <c r="U205" s="550"/>
      <c r="V205" s="1168"/>
      <c r="W205" s="1168"/>
      <c r="X205" s="1168"/>
      <c r="Y205" s="1168"/>
      <c r="Z205" s="1168"/>
      <c r="AA205" s="1672"/>
      <c r="AB205" s="572"/>
      <c r="AC205" s="572"/>
      <c r="AD205" s="572"/>
      <c r="AE205" s="572"/>
    </row>
    <row s="3878" customFormat="1" customHeight="1" ht="11.25">
      <c r="A206" s="994"/>
      <c r="B206" s="1676"/>
      <c r="C206" s="1676"/>
      <c r="D206" s="347"/>
      <c r="K206" s="1168"/>
      <c r="L206" s="1676"/>
      <c r="M206" s="1676"/>
      <c r="N206" s="1168"/>
      <c r="O206" s="1168"/>
      <c r="P206" s="1168"/>
      <c r="Q206" s="1168"/>
      <c r="R206" s="1676"/>
      <c r="S206" s="1168"/>
      <c r="T206" s="1168"/>
      <c r="U206" s="550"/>
      <c r="V206" s="1168"/>
      <c r="W206" s="1168"/>
      <c r="X206" s="1168"/>
      <c r="Y206" s="1168"/>
      <c r="Z206" s="1168"/>
      <c r="AA206" s="1672"/>
      <c r="AB206" s="572"/>
      <c r="AC206" s="572"/>
      <c r="AD206" s="572"/>
      <c r="AE206" s="572"/>
    </row>
    <row s="3878" customFormat="1" customHeight="1" ht="11.25">
      <c r="A207" s="994"/>
      <c r="B207" s="1676"/>
      <c r="C207" s="1676"/>
      <c r="D207" s="347"/>
      <c r="K207" s="1168"/>
      <c r="L207" s="1676"/>
      <c r="M207" s="1676"/>
      <c r="N207" s="1168"/>
      <c r="O207" s="1168"/>
      <c r="P207" s="1168"/>
      <c r="Q207" s="1168"/>
      <c r="R207" s="1676"/>
      <c r="S207" s="1168"/>
      <c r="T207" s="1168"/>
      <c r="U207" s="550"/>
      <c r="V207" s="1168"/>
      <c r="W207" s="1168"/>
      <c r="X207" s="1168"/>
      <c r="Y207" s="1168"/>
      <c r="Z207" s="1168"/>
      <c r="AA207" s="1672"/>
      <c r="AB207" s="572"/>
      <c r="AC207" s="572"/>
      <c r="AD207" s="572"/>
      <c r="AE207" s="572"/>
    </row>
    <row s="3878" customFormat="1" customHeight="1" ht="11.25">
      <c r="A208" s="994"/>
      <c r="B208" s="1676"/>
      <c r="C208" s="1676"/>
      <c r="D208" s="347"/>
      <c r="K208" s="1168"/>
      <c r="L208" s="1676"/>
      <c r="M208" s="1676"/>
      <c r="N208" s="1168"/>
      <c r="O208" s="1168"/>
      <c r="P208" s="1168"/>
      <c r="Q208" s="1168"/>
      <c r="R208" s="1676"/>
      <c r="S208" s="1168"/>
      <c r="T208" s="1168"/>
      <c r="U208" s="550"/>
      <c r="V208" s="1168"/>
      <c r="W208" s="1168"/>
      <c r="X208" s="1168"/>
      <c r="Y208" s="1168"/>
      <c r="Z208" s="1168"/>
      <c r="AA208" s="1672"/>
      <c r="AB208" s="572"/>
      <c r="AC208" s="572"/>
      <c r="AD208" s="572"/>
      <c r="AE208" s="572"/>
    </row>
    <row s="3878" customFormat="1" customHeight="1" ht="11.25">
      <c r="A209" s="994"/>
      <c r="B209" s="1676"/>
      <c r="C209" s="1676"/>
      <c r="D209" s="347"/>
      <c r="K209" s="1168"/>
      <c r="L209" s="1676"/>
      <c r="M209" s="1676"/>
      <c r="N209" s="1168"/>
      <c r="O209" s="1168"/>
      <c r="P209" s="1168"/>
      <c r="Q209" s="1168"/>
      <c r="R209" s="1676"/>
      <c r="S209" s="1168"/>
      <c r="T209" s="1168"/>
      <c r="U209" s="550"/>
      <c r="V209" s="1168"/>
      <c r="W209" s="1168"/>
      <c r="X209" s="1168"/>
      <c r="Y209" s="1168"/>
      <c r="Z209" s="1168"/>
      <c r="AA209" s="1672"/>
      <c r="AB209" s="572"/>
      <c r="AC209" s="572"/>
      <c r="AD209" s="572"/>
      <c r="AE209" s="572"/>
    </row>
    <row s="3878" customFormat="1" customHeight="1" ht="11.25">
      <c r="A210" s="994"/>
      <c r="B210" s="1676"/>
      <c r="C210" s="1676"/>
      <c r="D210" s="347"/>
      <c r="K210" s="1168"/>
      <c r="L210" s="1676"/>
      <c r="M210" s="1676"/>
      <c r="N210" s="1168"/>
      <c r="O210" s="1168"/>
      <c r="P210" s="1168"/>
      <c r="Q210" s="1168"/>
      <c r="R210" s="1676"/>
      <c r="S210" s="1168"/>
      <c r="T210" s="1168"/>
      <c r="U210" s="550"/>
      <c r="V210" s="1168"/>
      <c r="W210" s="1168"/>
      <c r="X210" s="1168"/>
      <c r="Y210" s="1168"/>
      <c r="Z210" s="1168"/>
      <c r="AA210" s="1672"/>
      <c r="AB210" s="572"/>
      <c r="AC210" s="572"/>
      <c r="AD210" s="572"/>
      <c r="AE210" s="572"/>
    </row>
    <row s="3878" customFormat="1" customHeight="1" ht="11.25">
      <c r="A211" s="994"/>
      <c r="B211" s="1676"/>
      <c r="C211" s="1676"/>
      <c r="D211" s="347"/>
      <c r="K211" s="1168"/>
      <c r="L211" s="1676"/>
      <c r="M211" s="1676"/>
      <c r="N211" s="1168"/>
      <c r="O211" s="1168"/>
      <c r="P211" s="1168"/>
      <c r="Q211" s="1168"/>
      <c r="R211" s="1676"/>
      <c r="S211" s="1168"/>
      <c r="T211" s="1168"/>
      <c r="U211" s="550"/>
      <c r="V211" s="1168"/>
      <c r="W211" s="1168"/>
      <c r="X211" s="1168"/>
      <c r="Y211" s="1168"/>
      <c r="Z211" s="1168"/>
      <c r="AA211" s="1672"/>
      <c r="AB211" s="572"/>
      <c r="AC211" s="572"/>
      <c r="AD211" s="572"/>
      <c r="AE211" s="572"/>
    </row>
    <row s="3878" customFormat="1" customHeight="1" ht="11.25">
      <c r="A212" s="994"/>
      <c r="B212" s="1676"/>
      <c r="C212" s="1676"/>
      <c r="D212" s="347"/>
      <c r="K212" s="1168"/>
      <c r="L212" s="1676"/>
      <c r="M212" s="1676"/>
      <c r="N212" s="1168"/>
      <c r="O212" s="1168"/>
      <c r="P212" s="1168"/>
      <c r="Q212" s="1168"/>
      <c r="R212" s="1676"/>
      <c r="S212" s="1168"/>
      <c r="T212" s="1168"/>
      <c r="U212" s="550"/>
      <c r="V212" s="1168"/>
      <c r="W212" s="1168"/>
      <c r="X212" s="1168"/>
      <c r="Y212" s="1168"/>
      <c r="Z212" s="1168"/>
      <c r="AA212" s="1672"/>
      <c r="AB212" s="572"/>
      <c r="AC212" s="572"/>
      <c r="AD212" s="572"/>
      <c r="AE212" s="572"/>
    </row>
    <row s="3878" customFormat="1" customHeight="1" ht="11.25">
      <c r="A213" s="994"/>
      <c r="B213" s="1676"/>
      <c r="C213" s="1676"/>
      <c r="D213" s="347"/>
      <c r="K213" s="1168"/>
      <c r="L213" s="1676"/>
      <c r="M213" s="1676"/>
      <c r="N213" s="1168"/>
      <c r="O213" s="1168"/>
      <c r="P213" s="1168"/>
      <c r="Q213" s="1168"/>
      <c r="R213" s="1676"/>
      <c r="S213" s="1168"/>
      <c r="T213" s="1168"/>
      <c r="U213" s="550"/>
      <c r="V213" s="1168"/>
      <c r="W213" s="1168"/>
      <c r="X213" s="1168"/>
      <c r="Y213" s="1168"/>
      <c r="Z213" s="1168"/>
      <c r="AA213" s="1672"/>
      <c r="AB213" s="572"/>
      <c r="AC213" s="572"/>
      <c r="AD213" s="572"/>
      <c r="AE213" s="572"/>
    </row>
    <row s="3878" customFormat="1" customHeight="1" ht="11.25">
      <c r="A214" s="994"/>
      <c r="B214" s="1676"/>
      <c r="C214" s="1676"/>
      <c r="D214" s="347"/>
      <c r="K214" s="1168"/>
      <c r="L214" s="1676"/>
      <c r="M214" s="1676"/>
      <c r="N214" s="1168"/>
      <c r="O214" s="1168"/>
      <c r="P214" s="1168"/>
      <c r="Q214" s="1168"/>
      <c r="R214" s="1676"/>
      <c r="S214" s="1168"/>
      <c r="T214" s="1168"/>
      <c r="U214" s="550"/>
      <c r="V214" s="1168"/>
      <c r="W214" s="1168"/>
      <c r="X214" s="1168"/>
      <c r="Y214" s="1168"/>
      <c r="Z214" s="1168"/>
      <c r="AA214" s="1672"/>
      <c r="AB214" s="572"/>
      <c r="AC214" s="572"/>
      <c r="AD214" s="572"/>
      <c r="AE214" s="572"/>
    </row>
    <row s="3878" customFormat="1" customHeight="1" ht="11.25">
      <c r="A215" s="994"/>
      <c r="B215" s="1676"/>
      <c r="C215" s="1676"/>
      <c r="D215" s="347"/>
      <c r="K215" s="1168"/>
      <c r="L215" s="1676"/>
      <c r="M215" s="1676"/>
      <c r="N215" s="1168"/>
      <c r="O215" s="1168"/>
      <c r="P215" s="1168"/>
      <c r="Q215" s="1168"/>
      <c r="R215" s="1676"/>
      <c r="S215" s="1168"/>
      <c r="T215" s="1168"/>
      <c r="U215" s="550"/>
      <c r="V215" s="1168"/>
      <c r="W215" s="1168"/>
      <c r="X215" s="1168"/>
      <c r="Y215" s="1168"/>
      <c r="Z215" s="1168"/>
      <c r="AA215" s="1672"/>
      <c r="AB215" s="572"/>
      <c r="AC215" s="572"/>
      <c r="AD215" s="572"/>
      <c r="AE215" s="572"/>
    </row>
    <row s="3878" customFormat="1" customHeight="1" ht="11.25">
      <c r="A216" s="994"/>
      <c r="B216" s="1676"/>
      <c r="C216" s="1676"/>
      <c r="D216" s="347"/>
      <c r="K216" s="1168"/>
      <c r="L216" s="1676"/>
      <c r="M216" s="1676"/>
      <c r="N216" s="1168"/>
      <c r="O216" s="1168"/>
      <c r="P216" s="1168"/>
      <c r="Q216" s="1168"/>
      <c r="R216" s="1676"/>
      <c r="S216" s="1168"/>
      <c r="T216" s="1168"/>
      <c r="U216" s="550"/>
      <c r="V216" s="1168"/>
      <c r="W216" s="1168"/>
      <c r="X216" s="1168"/>
      <c r="Y216" s="1168"/>
      <c r="Z216" s="1168"/>
      <c r="AA216" s="1672"/>
      <c r="AB216" s="572"/>
      <c r="AC216" s="572"/>
      <c r="AD216" s="572"/>
      <c r="AE216" s="572"/>
    </row>
    <row s="3878" customFormat="1" customHeight="1" ht="11.25">
      <c r="A217" s="994"/>
      <c r="B217" s="1676"/>
      <c r="C217" s="1676"/>
      <c r="D217" s="347"/>
      <c r="K217" s="1168"/>
      <c r="L217" s="1676"/>
      <c r="M217" s="1676"/>
      <c r="N217" s="1168"/>
      <c r="O217" s="1168"/>
      <c r="P217" s="1168"/>
      <c r="Q217" s="1168"/>
      <c r="R217" s="1676"/>
      <c r="S217" s="1168"/>
      <c r="T217" s="1168"/>
      <c r="U217" s="550"/>
      <c r="V217" s="1168"/>
      <c r="W217" s="1168"/>
      <c r="X217" s="1168"/>
      <c r="Y217" s="1168"/>
      <c r="Z217" s="1168"/>
      <c r="AA217" s="1672"/>
      <c r="AB217" s="572"/>
      <c r="AC217" s="572"/>
      <c r="AD217" s="572"/>
      <c r="AE217" s="572"/>
    </row>
    <row s="3878" customFormat="1" customHeight="1" ht="11.25">
      <c r="A218" s="994"/>
      <c r="B218" s="1676"/>
      <c r="C218" s="1676"/>
      <c r="D218" s="347"/>
      <c r="K218" s="1168"/>
      <c r="L218" s="1676"/>
      <c r="M218" s="1676"/>
      <c r="N218" s="1168"/>
      <c r="O218" s="1168"/>
      <c r="P218" s="1168"/>
      <c r="Q218" s="1168"/>
      <c r="R218" s="1676"/>
      <c r="S218" s="1168"/>
      <c r="T218" s="1168"/>
      <c r="U218" s="550"/>
      <c r="V218" s="1168"/>
      <c r="W218" s="1168"/>
      <c r="X218" s="1168"/>
      <c r="Y218" s="1168"/>
      <c r="Z218" s="1168"/>
      <c r="AA218" s="1672"/>
      <c r="AB218" s="572"/>
      <c r="AC218" s="572"/>
      <c r="AD218" s="572"/>
      <c r="AE218" s="572"/>
    </row>
    <row s="3878" customFormat="1" customHeight="1" ht="11.25">
      <c r="A219" s="994"/>
      <c r="B219" s="1676"/>
      <c r="C219" s="1676"/>
      <c r="D219" s="347"/>
      <c r="K219" s="1168"/>
      <c r="L219" s="1676"/>
      <c r="M219" s="1676"/>
      <c r="N219" s="1168"/>
      <c r="O219" s="1168"/>
      <c r="P219" s="1168"/>
      <c r="Q219" s="1168"/>
      <c r="R219" s="1676"/>
      <c r="S219" s="1168"/>
      <c r="T219" s="1168"/>
      <c r="U219" s="550"/>
      <c r="V219" s="1168"/>
      <c r="W219" s="1168"/>
      <c r="X219" s="1168"/>
      <c r="Y219" s="1168"/>
      <c r="Z219" s="1168"/>
      <c r="AA219" s="1672"/>
      <c r="AB219" s="572"/>
      <c r="AC219" s="572"/>
      <c r="AD219" s="572"/>
      <c r="AE219" s="572"/>
    </row>
    <row s="3878" customFormat="1" customHeight="1" ht="11.25">
      <c r="A220" s="994"/>
      <c r="B220" s="1676"/>
      <c r="C220" s="1676"/>
      <c r="D220" s="347"/>
      <c r="K220" s="1168"/>
      <c r="L220" s="1676"/>
      <c r="M220" s="1676"/>
      <c r="N220" s="1168"/>
      <c r="O220" s="1168"/>
      <c r="P220" s="1168"/>
      <c r="Q220" s="1168"/>
      <c r="R220" s="1676"/>
      <c r="S220" s="1168"/>
      <c r="T220" s="1168"/>
      <c r="U220" s="550"/>
      <c r="V220" s="1168"/>
      <c r="W220" s="1168"/>
      <c r="X220" s="1168"/>
      <c r="Y220" s="1168"/>
      <c r="Z220" s="1168"/>
      <c r="AA220" s="1672"/>
      <c r="AB220" s="572"/>
      <c r="AC220" s="572"/>
      <c r="AD220" s="572"/>
      <c r="AE220" s="572"/>
    </row>
    <row s="3878" customFormat="1" customHeight="1" ht="11.25">
      <c r="A221" s="994"/>
      <c r="B221" s="1676"/>
      <c r="C221" s="1676"/>
      <c r="D221" s="347"/>
      <c r="K221" s="1168"/>
      <c r="L221" s="1676"/>
      <c r="M221" s="1676"/>
      <c r="N221" s="1168"/>
      <c r="O221" s="1168"/>
      <c r="P221" s="1168"/>
      <c r="Q221" s="1168"/>
      <c r="R221" s="1676"/>
      <c r="S221" s="1168"/>
      <c r="T221" s="1168"/>
      <c r="U221" s="550"/>
      <c r="V221" s="1168"/>
      <c r="W221" s="1168"/>
      <c r="X221" s="1168"/>
      <c r="Y221" s="1168"/>
      <c r="Z221" s="1168"/>
      <c r="AA221" s="1672"/>
      <c r="AB221" s="572"/>
      <c r="AC221" s="572"/>
      <c r="AD221" s="572"/>
      <c r="AE221" s="572"/>
    </row>
    <row s="3878" customFormat="1" customHeight="1" ht="11.25">
      <c r="A222" s="994"/>
      <c r="B222" s="1676"/>
      <c r="C222" s="1676"/>
      <c r="D222" s="347"/>
      <c r="K222" s="1168"/>
      <c r="L222" s="1676"/>
      <c r="M222" s="1676"/>
      <c r="N222" s="1168"/>
      <c r="O222" s="1168"/>
      <c r="P222" s="1168"/>
      <c r="Q222" s="1168"/>
      <c r="R222" s="1676"/>
      <c r="S222" s="1168"/>
      <c r="T222" s="1168"/>
      <c r="U222" s="550"/>
      <c r="V222" s="1168"/>
      <c r="W222" s="1168"/>
      <c r="X222" s="1168"/>
      <c r="Y222" s="1168"/>
      <c r="Z222" s="1168"/>
      <c r="AA222" s="1672"/>
      <c r="AB222" s="572"/>
      <c r="AC222" s="572"/>
      <c r="AD222" s="572"/>
      <c r="AE222" s="572"/>
    </row>
    <row s="3878" customFormat="1" customHeight="1" ht="11.25">
      <c r="A223" s="994"/>
      <c r="B223" s="1676"/>
      <c r="C223" s="1676"/>
      <c r="D223" s="347"/>
      <c r="K223" s="1168"/>
      <c r="L223" s="1676"/>
      <c r="M223" s="1676"/>
      <c r="N223" s="1168"/>
      <c r="O223" s="1168"/>
      <c r="P223" s="1168"/>
      <c r="Q223" s="1168"/>
      <c r="R223" s="1676"/>
      <c r="S223" s="1168"/>
      <c r="T223" s="1168"/>
      <c r="U223" s="550"/>
      <c r="V223" s="1168"/>
      <c r="W223" s="1168"/>
      <c r="X223" s="1168"/>
      <c r="Y223" s="1168"/>
      <c r="Z223" s="1168"/>
      <c r="AA223" s="1672"/>
      <c r="AB223" s="572"/>
      <c r="AC223" s="572"/>
      <c r="AD223" s="572"/>
      <c r="AE223" s="572"/>
    </row>
    <row s="3878" customFormat="1" customHeight="1" ht="11.25">
      <c r="A224" s="994"/>
      <c r="B224" s="1676"/>
      <c r="C224" s="1676"/>
      <c r="D224" s="347"/>
      <c r="K224" s="1168"/>
      <c r="L224" s="1676"/>
      <c r="M224" s="1676"/>
      <c r="N224" s="1168"/>
      <c r="O224" s="1168"/>
      <c r="P224" s="1168"/>
      <c r="Q224" s="1168"/>
      <c r="R224" s="1676"/>
      <c r="S224" s="1168"/>
      <c r="T224" s="1168"/>
      <c r="U224" s="550"/>
      <c r="V224" s="1168"/>
      <c r="W224" s="1168"/>
      <c r="X224" s="1168"/>
      <c r="Y224" s="1168"/>
      <c r="Z224" s="1168"/>
      <c r="AA224" s="1672"/>
      <c r="AB224" s="572"/>
      <c r="AC224" s="572"/>
      <c r="AD224" s="572"/>
      <c r="AE224" s="572"/>
    </row>
    <row s="3878" customFormat="1" customHeight="1" ht="11.25">
      <c r="A225" s="994"/>
      <c r="B225" s="1676"/>
      <c r="C225" s="1676"/>
      <c r="D225" s="347"/>
      <c r="K225" s="1168"/>
      <c r="L225" s="1676"/>
      <c r="M225" s="1676"/>
      <c r="N225" s="1168"/>
      <c r="O225" s="1168"/>
      <c r="P225" s="1168"/>
      <c r="Q225" s="1168"/>
      <c r="R225" s="1676"/>
      <c r="S225" s="1168"/>
      <c r="T225" s="1168"/>
      <c r="U225" s="550"/>
      <c r="V225" s="1168"/>
      <c r="W225" s="1168"/>
      <c r="X225" s="1168"/>
      <c r="Y225" s="1168"/>
      <c r="Z225" s="1168"/>
      <c r="AA225" s="1672"/>
      <c r="AB225" s="572"/>
      <c r="AC225" s="572"/>
      <c r="AD225" s="572"/>
      <c r="AE225" s="572"/>
    </row>
    <row s="3878" customFormat="1" customHeight="1" ht="11.25">
      <c r="A226" s="994"/>
      <c r="B226" s="1676"/>
      <c r="C226" s="1676"/>
      <c r="D226" s="347"/>
      <c r="K226" s="1168"/>
      <c r="L226" s="1676"/>
      <c r="M226" s="1676"/>
      <c r="N226" s="1168"/>
      <c r="O226" s="1168"/>
      <c r="P226" s="1168"/>
      <c r="Q226" s="1168"/>
      <c r="R226" s="1676"/>
      <c r="S226" s="1168"/>
      <c r="T226" s="1168"/>
      <c r="U226" s="550"/>
      <c r="V226" s="1168"/>
      <c r="W226" s="1168"/>
      <c r="X226" s="1168"/>
      <c r="Y226" s="1168"/>
      <c r="Z226" s="1168"/>
      <c r="AA226" s="1672"/>
      <c r="AB226" s="572"/>
      <c r="AC226" s="572"/>
      <c r="AD226" s="572"/>
      <c r="AE226" s="572"/>
    </row>
    <row s="3878" customFormat="1" customHeight="1" ht="11.25">
      <c r="A227" s="994"/>
      <c r="B227" s="1676"/>
      <c r="C227" s="1676"/>
      <c r="D227" s="347"/>
      <c r="K227" s="1168"/>
      <c r="L227" s="1676"/>
      <c r="M227" s="1676"/>
      <c r="N227" s="1168"/>
      <c r="O227" s="1168"/>
      <c r="P227" s="1168"/>
      <c r="Q227" s="1168"/>
      <c r="R227" s="1676"/>
      <c r="S227" s="1168"/>
      <c r="T227" s="1168"/>
      <c r="U227" s="550"/>
      <c r="V227" s="1168"/>
      <c r="W227" s="1168"/>
      <c r="X227" s="1168"/>
      <c r="Y227" s="1168"/>
      <c r="Z227" s="1168"/>
      <c r="AA227" s="1672"/>
      <c r="AB227" s="572"/>
      <c r="AC227" s="572"/>
      <c r="AD227" s="572"/>
      <c r="AE227" s="572"/>
    </row>
    <row s="3878" customFormat="1" customHeight="1" ht="11.25">
      <c r="A228" s="994"/>
      <c r="B228" s="1676"/>
      <c r="C228" s="1676"/>
      <c r="D228" s="347"/>
      <c r="K228" s="1168"/>
      <c r="L228" s="1676"/>
      <c r="M228" s="1676"/>
      <c r="N228" s="1168"/>
      <c r="O228" s="1168"/>
      <c r="P228" s="1168"/>
      <c r="Q228" s="1168"/>
      <c r="R228" s="1676"/>
      <c r="S228" s="1168"/>
      <c r="T228" s="1168"/>
      <c r="U228" s="550"/>
      <c r="V228" s="1168"/>
      <c r="W228" s="1168"/>
      <c r="X228" s="1168"/>
      <c r="Y228" s="1168"/>
      <c r="Z228" s="1168"/>
      <c r="AA228" s="1672"/>
      <c r="AB228" s="572"/>
      <c r="AC228" s="572"/>
      <c r="AD228" s="572"/>
      <c r="AE228" s="572"/>
    </row>
    <row s="3878" customFormat="1" customHeight="1" ht="11.25">
      <c r="A229" s="994"/>
      <c r="B229" s="1676"/>
      <c r="C229" s="1676"/>
      <c r="D229" s="347"/>
      <c r="K229" s="1168"/>
      <c r="L229" s="1676"/>
      <c r="M229" s="1676"/>
      <c r="N229" s="1168"/>
      <c r="O229" s="1168"/>
      <c r="P229" s="1168"/>
      <c r="Q229" s="1168"/>
      <c r="R229" s="1676"/>
      <c r="S229" s="1168"/>
      <c r="T229" s="1168"/>
      <c r="U229" s="550"/>
      <c r="V229" s="1168"/>
      <c r="W229" s="1168"/>
      <c r="X229" s="1168"/>
      <c r="Y229" s="1168"/>
      <c r="Z229" s="1168"/>
      <c r="AA229" s="1672"/>
      <c r="AB229" s="572"/>
      <c r="AC229" s="572"/>
      <c r="AD229" s="572"/>
      <c r="AE229" s="572"/>
    </row>
    <row s="3878" customFormat="1" customHeight="1" ht="11.25">
      <c r="A230" s="994"/>
      <c r="B230" s="1676"/>
      <c r="C230" s="1676"/>
      <c r="D230" s="347"/>
      <c r="K230" s="1168"/>
      <c r="L230" s="1676"/>
      <c r="M230" s="1676"/>
      <c r="N230" s="1168"/>
      <c r="O230" s="1168"/>
      <c r="P230" s="1168"/>
      <c r="Q230" s="1168"/>
      <c r="R230" s="1676"/>
      <c r="S230" s="1168"/>
      <c r="T230" s="1168"/>
      <c r="U230" s="550"/>
      <c r="V230" s="1168"/>
      <c r="W230" s="1168"/>
      <c r="X230" s="1168"/>
      <c r="Y230" s="1168"/>
      <c r="Z230" s="1168"/>
      <c r="AA230" s="1672"/>
      <c r="AB230" s="572"/>
      <c r="AC230" s="572"/>
      <c r="AD230" s="572"/>
      <c r="AE230" s="572"/>
    </row>
    <row s="3878" customFormat="1" customHeight="1" ht="11.25">
      <c r="A231" s="994"/>
      <c r="B231" s="1676"/>
      <c r="C231" s="1676"/>
      <c r="D231" s="347"/>
      <c r="K231" s="1168"/>
      <c r="L231" s="1676"/>
      <c r="M231" s="1676"/>
      <c r="N231" s="1168"/>
      <c r="O231" s="1168"/>
      <c r="P231" s="1168"/>
      <c r="Q231" s="1168"/>
      <c r="R231" s="1676"/>
      <c r="S231" s="1168"/>
      <c r="T231" s="1168"/>
      <c r="U231" s="550"/>
      <c r="V231" s="1168"/>
      <c r="W231" s="1168"/>
      <c r="X231" s="1168"/>
      <c r="Y231" s="1168"/>
      <c r="Z231" s="1168"/>
      <c r="AA231" s="1672"/>
      <c r="AB231" s="572"/>
      <c r="AC231" s="572"/>
      <c r="AD231" s="572"/>
      <c r="AE231" s="572"/>
    </row>
    <row s="3878" customFormat="1" customHeight="1" ht="11.25">
      <c r="A232" s="994"/>
      <c r="B232" s="1676"/>
      <c r="C232" s="1676"/>
      <c r="D232" s="347"/>
      <c r="K232" s="1168"/>
      <c r="L232" s="1676"/>
      <c r="M232" s="1676"/>
      <c r="N232" s="1168"/>
      <c r="O232" s="1168"/>
      <c r="P232" s="1168"/>
      <c r="Q232" s="1168"/>
      <c r="R232" s="1676"/>
      <c r="S232" s="1168"/>
      <c r="T232" s="1168"/>
      <c r="U232" s="550"/>
      <c r="V232" s="1168"/>
      <c r="W232" s="1168"/>
      <c r="X232" s="1168"/>
      <c r="Y232" s="1168"/>
      <c r="Z232" s="1168"/>
      <c r="AA232" s="1672"/>
      <c r="AB232" s="572"/>
      <c r="AC232" s="572"/>
      <c r="AD232" s="572"/>
      <c r="AE232" s="572"/>
    </row>
    <row s="3878" customFormat="1" customHeight="1" ht="11.25">
      <c r="A233" s="994"/>
      <c r="B233" s="1676"/>
      <c r="C233" s="1676"/>
      <c r="D233" s="347"/>
      <c r="K233" s="1168"/>
      <c r="L233" s="1676"/>
      <c r="M233" s="1676"/>
      <c r="N233" s="1168"/>
      <c r="O233" s="1168"/>
      <c r="P233" s="1168"/>
      <c r="Q233" s="1168"/>
      <c r="R233" s="1676"/>
      <c r="S233" s="1168"/>
      <c r="T233" s="1168"/>
      <c r="U233" s="550"/>
      <c r="V233" s="1168"/>
      <c r="W233" s="1168"/>
      <c r="X233" s="1168"/>
      <c r="Y233" s="1168"/>
      <c r="Z233" s="1168"/>
      <c r="AA233" s="1672"/>
      <c r="AB233" s="572"/>
      <c r="AC233" s="572"/>
      <c r="AD233" s="572"/>
      <c r="AE233" s="572"/>
    </row>
    <row s="3878" customFormat="1" customHeight="1" ht="11.25">
      <c r="A234" s="994"/>
      <c r="B234" s="1676"/>
      <c r="C234" s="1676"/>
      <c r="D234" s="347"/>
      <c r="K234" s="1168"/>
      <c r="L234" s="1676"/>
      <c r="M234" s="1676"/>
      <c r="N234" s="1168"/>
      <c r="O234" s="1168"/>
      <c r="P234" s="1168"/>
      <c r="Q234" s="1168"/>
      <c r="R234" s="1676"/>
      <c r="S234" s="1168"/>
      <c r="T234" s="1168"/>
      <c r="U234" s="550"/>
      <c r="V234" s="1168"/>
      <c r="W234" s="1168"/>
      <c r="X234" s="1168"/>
      <c r="Y234" s="1168"/>
      <c r="Z234" s="1168"/>
      <c r="AA234" s="1672"/>
      <c r="AB234" s="572"/>
      <c r="AC234" s="572"/>
      <c r="AD234" s="572"/>
      <c r="AE234" s="572"/>
    </row>
    <row s="3878" customFormat="1" customHeight="1" ht="11.25">
      <c r="A235" s="994"/>
      <c r="B235" s="1676"/>
      <c r="C235" s="1676"/>
      <c r="D235" s="347"/>
      <c r="K235" s="1168"/>
      <c r="L235" s="1676"/>
      <c r="M235" s="1676"/>
      <c r="N235" s="1168"/>
      <c r="O235" s="1168"/>
      <c r="P235" s="1168"/>
      <c r="Q235" s="1168"/>
      <c r="R235" s="1676"/>
      <c r="S235" s="1168"/>
      <c r="T235" s="1168"/>
      <c r="U235" s="550"/>
      <c r="V235" s="1168"/>
      <c r="W235" s="1168"/>
      <c r="X235" s="1168"/>
      <c r="Y235" s="1168"/>
      <c r="Z235" s="1168"/>
      <c r="AA235" s="1672"/>
      <c r="AB235" s="572"/>
      <c r="AC235" s="572"/>
      <c r="AD235" s="572"/>
      <c r="AE235" s="572"/>
    </row>
    <row s="3878" customFormat="1" customHeight="1" ht="11.25">
      <c r="A236" s="994"/>
      <c r="B236" s="1676"/>
      <c r="C236" s="1676"/>
      <c r="D236" s="347"/>
      <c r="K236" s="1168"/>
      <c r="L236" s="1676"/>
      <c r="M236" s="1676"/>
      <c r="N236" s="1168"/>
      <c r="O236" s="1168"/>
      <c r="P236" s="1168"/>
      <c r="Q236" s="1168"/>
      <c r="R236" s="1676"/>
      <c r="S236" s="1168"/>
      <c r="T236" s="1168"/>
      <c r="U236" s="550"/>
      <c r="V236" s="1168"/>
      <c r="W236" s="1168"/>
      <c r="X236" s="1168"/>
      <c r="Y236" s="1168"/>
      <c r="Z236" s="1168"/>
      <c r="AA236" s="1672"/>
      <c r="AB236" s="572"/>
      <c r="AC236" s="572"/>
      <c r="AD236" s="572"/>
      <c r="AE236" s="572"/>
    </row>
    <row s="3878" customFormat="1" customHeight="1" ht="11.25">
      <c r="A237" s="994"/>
      <c r="B237" s="1676"/>
      <c r="C237" s="1676"/>
      <c r="D237" s="347"/>
      <c r="K237" s="1168"/>
      <c r="L237" s="1676"/>
      <c r="M237" s="1676"/>
      <c r="N237" s="1168"/>
      <c r="O237" s="1168"/>
      <c r="P237" s="1168"/>
      <c r="Q237" s="1168"/>
      <c r="R237" s="1676"/>
      <c r="S237" s="1168"/>
      <c r="T237" s="1168"/>
      <c r="U237" s="550"/>
      <c r="V237" s="1168"/>
      <c r="W237" s="1168"/>
      <c r="X237" s="1168"/>
      <c r="Y237" s="1168"/>
      <c r="Z237" s="1168"/>
      <c r="AA237" s="1672"/>
      <c r="AB237" s="572"/>
      <c r="AC237" s="572"/>
      <c r="AD237" s="572"/>
      <c r="AE237" s="572"/>
    </row>
    <row s="3878" customFormat="1" customHeight="1" ht="11.25">
      <c r="A238" s="994"/>
      <c r="B238" s="1676"/>
      <c r="C238" s="1676"/>
      <c r="D238" s="347"/>
      <c r="K238" s="1168"/>
      <c r="L238" s="1676"/>
      <c r="M238" s="1676"/>
      <c r="N238" s="1168"/>
      <c r="O238" s="1168"/>
      <c r="P238" s="1168"/>
      <c r="Q238" s="1168"/>
      <c r="R238" s="1676"/>
      <c r="S238" s="1168"/>
      <c r="T238" s="1168"/>
      <c r="U238" s="550"/>
      <c r="V238" s="1168"/>
      <c r="W238" s="1168"/>
      <c r="X238" s="1168"/>
      <c r="Y238" s="1168"/>
      <c r="Z238" s="1168"/>
      <c r="AA238" s="1672"/>
      <c r="AB238" s="572"/>
      <c r="AC238" s="572"/>
      <c r="AD238" s="572"/>
      <c r="AE238" s="572"/>
    </row>
    <row s="3878" customFormat="1" customHeight="1" ht="11.25">
      <c r="A239" s="994"/>
      <c r="B239" s="1676"/>
      <c r="C239" s="1676"/>
      <c r="D239" s="347"/>
      <c r="K239" s="1168"/>
      <c r="L239" s="1676"/>
      <c r="M239" s="1676"/>
      <c r="N239" s="1168"/>
      <c r="O239" s="1168"/>
      <c r="P239" s="1168"/>
      <c r="Q239" s="1168"/>
      <c r="R239" s="1676"/>
      <c r="S239" s="1168"/>
      <c r="T239" s="1168"/>
      <c r="U239" s="550"/>
      <c r="V239" s="1168"/>
      <c r="W239" s="1168"/>
      <c r="X239" s="1168"/>
      <c r="Y239" s="1168"/>
      <c r="Z239" s="1168"/>
      <c r="AA239" s="1672"/>
      <c r="AB239" s="572"/>
      <c r="AC239" s="572"/>
      <c r="AD239" s="572"/>
      <c r="AE239" s="572"/>
    </row>
    <row s="3878" customFormat="1" customHeight="1" ht="11.25">
      <c r="A240" s="994"/>
      <c r="B240" s="1676"/>
      <c r="C240" s="1676"/>
      <c r="D240" s="347"/>
      <c r="K240" s="1168"/>
      <c r="L240" s="1676"/>
      <c r="M240" s="1676"/>
      <c r="N240" s="1168"/>
      <c r="O240" s="1168"/>
      <c r="P240" s="1168"/>
      <c r="Q240" s="1168"/>
      <c r="R240" s="1676"/>
      <c r="S240" s="1168"/>
      <c r="T240" s="1168"/>
      <c r="U240" s="550"/>
      <c r="V240" s="1168"/>
      <c r="W240" s="1168"/>
      <c r="X240" s="1168"/>
      <c r="Y240" s="1168"/>
      <c r="Z240" s="1168"/>
      <c r="AA240" s="1672"/>
      <c r="AB240" s="572"/>
      <c r="AC240" s="572"/>
      <c r="AD240" s="572"/>
      <c r="AE240" s="572"/>
    </row>
    <row s="3878" customFormat="1" customHeight="1" ht="11.25">
      <c r="A241" s="994"/>
      <c r="B241" s="1676"/>
      <c r="C241" s="1676"/>
      <c r="D241" s="347"/>
      <c r="K241" s="1168"/>
      <c r="L241" s="1676"/>
      <c r="M241" s="1676"/>
      <c r="N241" s="1168"/>
      <c r="O241" s="1168"/>
      <c r="P241" s="1168"/>
      <c r="Q241" s="1168"/>
      <c r="R241" s="1676"/>
      <c r="S241" s="1168"/>
      <c r="T241" s="1168"/>
      <c r="U241" s="550"/>
      <c r="V241" s="1168"/>
      <c r="W241" s="1168"/>
      <c r="X241" s="1168"/>
      <c r="Y241" s="1168"/>
      <c r="Z241" s="1168"/>
      <c r="AA241" s="1672"/>
      <c r="AB241" s="572"/>
      <c r="AC241" s="572"/>
      <c r="AD241" s="572"/>
      <c r="AE241" s="572"/>
    </row>
    <row s="3878" customFormat="1" customHeight="1" ht="11.25">
      <c r="A242" s="994"/>
      <c r="B242" s="1676"/>
      <c r="C242" s="1676"/>
      <c r="D242" s="347"/>
      <c r="K242" s="1168"/>
      <c r="L242" s="1676"/>
      <c r="M242" s="1676"/>
      <c r="N242" s="1168"/>
      <c r="O242" s="1168"/>
      <c r="P242" s="1168"/>
      <c r="Q242" s="1168"/>
      <c r="R242" s="1676"/>
      <c r="S242" s="1168"/>
      <c r="T242" s="1168"/>
      <c r="U242" s="550"/>
      <c r="V242" s="1168"/>
      <c r="W242" s="1168"/>
      <c r="X242" s="1168"/>
      <c r="Y242" s="1168"/>
      <c r="Z242" s="1168"/>
      <c r="AA242" s="1672"/>
      <c r="AB242" s="572"/>
      <c r="AC242" s="572"/>
      <c r="AD242" s="572"/>
      <c r="AE242" s="572"/>
    </row>
    <row s="3878" customFormat="1" customHeight="1" ht="11.25">
      <c r="A243" s="994"/>
      <c r="B243" s="1676"/>
      <c r="C243" s="1676"/>
      <c r="D243" s="347"/>
      <c r="K243" s="1168"/>
      <c r="L243" s="1676"/>
      <c r="M243" s="1676"/>
      <c r="N243" s="1168"/>
      <c r="O243" s="1168"/>
      <c r="P243" s="1168"/>
      <c r="Q243" s="1168"/>
      <c r="R243" s="1676"/>
      <c r="S243" s="1168"/>
      <c r="T243" s="1168"/>
      <c r="U243" s="550"/>
      <c r="V243" s="1168"/>
      <c r="W243" s="1168"/>
      <c r="X243" s="1168"/>
      <c r="Y243" s="1168"/>
      <c r="Z243" s="1168"/>
      <c r="AA243" s="1672"/>
      <c r="AB243" s="572"/>
      <c r="AC243" s="572"/>
      <c r="AD243" s="572"/>
      <c r="AE243" s="572"/>
    </row>
    <row s="3878" customFormat="1" customHeight="1" ht="11.25">
      <c r="A244" s="994"/>
      <c r="B244" s="1676"/>
      <c r="C244" s="1676"/>
      <c r="D244" s="347"/>
      <c r="K244" s="1168"/>
      <c r="L244" s="1676"/>
      <c r="M244" s="1676"/>
      <c r="N244" s="1168"/>
      <c r="O244" s="1168"/>
      <c r="P244" s="1168"/>
      <c r="Q244" s="1168"/>
      <c r="R244" s="1676"/>
      <c r="S244" s="1168"/>
      <c r="T244" s="1168"/>
      <c r="U244" s="550"/>
      <c r="V244" s="1168"/>
      <c r="W244" s="1168"/>
      <c r="X244" s="1168"/>
      <c r="Y244" s="1168"/>
      <c r="Z244" s="1168"/>
      <c r="AA244" s="1672"/>
      <c r="AB244" s="572"/>
      <c r="AC244" s="572"/>
      <c r="AD244" s="572"/>
      <c r="AE244" s="572"/>
    </row>
    <row s="3878" customFormat="1" customHeight="1" ht="11.25">
      <c r="A245" s="994"/>
      <c r="B245" s="1676"/>
      <c r="C245" s="1676"/>
      <c r="D245" s="347"/>
      <c r="K245" s="1168"/>
      <c r="L245" s="1676"/>
      <c r="M245" s="1676"/>
      <c r="N245" s="1168"/>
      <c r="O245" s="1168"/>
      <c r="P245" s="1168"/>
      <c r="Q245" s="1168"/>
      <c r="R245" s="1676"/>
      <c r="S245" s="1168"/>
      <c r="T245" s="1168"/>
      <c r="U245" s="550"/>
      <c r="V245" s="1168"/>
      <c r="W245" s="1168"/>
      <c r="X245" s="1168"/>
      <c r="Y245" s="1168"/>
      <c r="Z245" s="1168"/>
      <c r="AA245" s="1672"/>
      <c r="AB245" s="572"/>
      <c r="AC245" s="572"/>
      <c r="AD245" s="572"/>
      <c r="AE245" s="572"/>
    </row>
    <row s="3878" customFormat="1" customHeight="1" ht="11.25">
      <c r="A246" s="994"/>
      <c r="B246" s="1676"/>
      <c r="C246" s="1676"/>
      <c r="D246" s="347"/>
      <c r="K246" s="1168"/>
      <c r="L246" s="1676"/>
      <c r="M246" s="1676"/>
      <c r="N246" s="1168"/>
      <c r="O246" s="1168"/>
      <c r="P246" s="1168"/>
      <c r="Q246" s="1168"/>
      <c r="R246" s="1676"/>
      <c r="S246" s="1168"/>
      <c r="T246" s="1168"/>
      <c r="U246" s="550"/>
      <c r="V246" s="1168"/>
      <c r="W246" s="1168"/>
      <c r="X246" s="1168"/>
      <c r="Y246" s="1168"/>
      <c r="Z246" s="1168"/>
      <c r="AA246" s="1672"/>
      <c r="AB246" s="572"/>
      <c r="AC246" s="572"/>
      <c r="AD246" s="572"/>
      <c r="AE246" s="572"/>
    </row>
    <row s="3878" customFormat="1" customHeight="1" ht="11.25">
      <c r="A247" s="994"/>
      <c r="B247" s="1676"/>
      <c r="C247" s="1676"/>
      <c r="D247" s="347"/>
      <c r="K247" s="1168"/>
      <c r="L247" s="1676"/>
      <c r="M247" s="1676"/>
      <c r="N247" s="1168"/>
      <c r="O247" s="1168"/>
      <c r="P247" s="1168"/>
      <c r="Q247" s="1168"/>
      <c r="R247" s="1676"/>
      <c r="S247" s="1168"/>
      <c r="T247" s="1168"/>
      <c r="U247" s="550"/>
      <c r="V247" s="1168"/>
      <c r="W247" s="1168"/>
      <c r="X247" s="1168"/>
      <c r="Y247" s="1168"/>
      <c r="Z247" s="1168"/>
      <c r="AA247" s="1672"/>
      <c r="AB247" s="572"/>
      <c r="AC247" s="572"/>
      <c r="AD247" s="572"/>
      <c r="AE247" s="572"/>
    </row>
    <row s="3878" customFormat="1" customHeight="1" ht="11.25">
      <c r="A248" s="994"/>
      <c r="B248" s="1676"/>
      <c r="C248" s="1676"/>
      <c r="D248" s="347"/>
      <c r="K248" s="1168"/>
      <c r="L248" s="1676"/>
      <c r="M248" s="1676"/>
      <c r="N248" s="1168"/>
      <c r="O248" s="1168"/>
      <c r="P248" s="1168"/>
      <c r="Q248" s="1168"/>
      <c r="R248" s="1676"/>
      <c r="S248" s="1168"/>
      <c r="T248" s="1168"/>
      <c r="U248" s="550"/>
      <c r="V248" s="1168"/>
      <c r="W248" s="1168"/>
      <c r="X248" s="1168"/>
      <c r="Y248" s="1168"/>
      <c r="Z248" s="1168"/>
      <c r="AA248" s="1672"/>
      <c r="AB248" s="572"/>
      <c r="AC248" s="572"/>
      <c r="AD248" s="572"/>
      <c r="AE248" s="572"/>
    </row>
    <row s="3878" customFormat="1" customHeight="1" ht="11.25">
      <c r="A249" s="994"/>
      <c r="B249" s="1676"/>
      <c r="C249" s="1676"/>
      <c r="D249" s="347"/>
      <c r="K249" s="1168"/>
      <c r="L249" s="1676"/>
      <c r="M249" s="1676"/>
      <c r="N249" s="1168"/>
      <c r="O249" s="1168"/>
      <c r="P249" s="1168"/>
      <c r="Q249" s="1168"/>
      <c r="R249" s="1676"/>
      <c r="S249" s="1168"/>
      <c r="T249" s="1168"/>
      <c r="U249" s="550"/>
      <c r="V249" s="1168"/>
      <c r="W249" s="1168"/>
      <c r="X249" s="1168"/>
      <c r="Y249" s="1168"/>
      <c r="Z249" s="1168"/>
      <c r="AA249" s="1672"/>
      <c r="AB249" s="572"/>
      <c r="AC249" s="572"/>
      <c r="AD249" s="572"/>
      <c r="AE249" s="572"/>
    </row>
    <row s="3878" customFormat="1" customHeight="1" ht="11.25">
      <c r="A250" s="994"/>
      <c r="B250" s="1676"/>
      <c r="C250" s="1676"/>
      <c r="D250" s="347"/>
      <c r="K250" s="1168"/>
      <c r="L250" s="1676"/>
      <c r="M250" s="1676"/>
      <c r="N250" s="1168"/>
      <c r="O250" s="1168"/>
      <c r="P250" s="1168"/>
      <c r="Q250" s="1168"/>
      <c r="R250" s="1676"/>
      <c r="S250" s="1168"/>
      <c r="T250" s="1168"/>
      <c r="U250" s="550"/>
      <c r="V250" s="1168"/>
      <c r="W250" s="1168"/>
      <c r="X250" s="1168"/>
      <c r="Y250" s="1168"/>
      <c r="Z250" s="1168"/>
      <c r="AA250" s="1672"/>
      <c r="AB250" s="572"/>
      <c r="AC250" s="572"/>
      <c r="AD250" s="572"/>
      <c r="AE250" s="572"/>
    </row>
    <row s="3878" customFormat="1" customHeight="1" ht="11.25">
      <c r="A251" s="994"/>
      <c r="B251" s="1676"/>
      <c r="C251" s="1676"/>
      <c r="D251" s="347"/>
      <c r="K251" s="1168"/>
      <c r="L251" s="1676"/>
      <c r="M251" s="1676"/>
      <c r="N251" s="1168"/>
      <c r="O251" s="1168"/>
      <c r="P251" s="1168"/>
      <c r="Q251" s="1168"/>
      <c r="R251" s="1676"/>
      <c r="S251" s="1168"/>
      <c r="T251" s="1168"/>
      <c r="U251" s="550"/>
      <c r="V251" s="1168"/>
      <c r="W251" s="1168"/>
      <c r="X251" s="1168"/>
      <c r="Y251" s="1168"/>
      <c r="Z251" s="1168"/>
      <c r="AA251" s="1672"/>
      <c r="AB251" s="572"/>
      <c r="AC251" s="572"/>
      <c r="AD251" s="572"/>
      <c r="AE251" s="572"/>
    </row>
    <row s="3878" customFormat="1" customHeight="1" ht="11.25">
      <c r="A252" s="994"/>
      <c r="B252" s="1676"/>
      <c r="C252" s="1676"/>
      <c r="D252" s="347"/>
      <c r="K252" s="1168"/>
      <c r="L252" s="1676"/>
      <c r="M252" s="1676"/>
      <c r="N252" s="1168"/>
      <c r="O252" s="1168"/>
      <c r="P252" s="1168"/>
      <c r="Q252" s="1168"/>
      <c r="R252" s="1676"/>
      <c r="S252" s="1168"/>
      <c r="T252" s="1168"/>
      <c r="U252" s="550"/>
      <c r="V252" s="1168"/>
      <c r="W252" s="1168"/>
      <c r="X252" s="1168"/>
      <c r="Y252" s="1168"/>
      <c r="Z252" s="1168"/>
      <c r="AA252" s="1672"/>
      <c r="AB252" s="572"/>
      <c r="AC252" s="572"/>
      <c r="AD252" s="572"/>
      <c r="AE252" s="572"/>
    </row>
    <row s="3878" customFormat="1" customHeight="1" ht="11.25">
      <c r="A253" s="994"/>
      <c r="B253" s="1676"/>
      <c r="C253" s="1676"/>
      <c r="D253" s="347"/>
      <c r="K253" s="1168"/>
      <c r="L253" s="1676"/>
      <c r="M253" s="1676"/>
      <c r="N253" s="1168"/>
      <c r="O253" s="1168"/>
      <c r="P253" s="1168"/>
      <c r="Q253" s="1168"/>
      <c r="R253" s="1676"/>
      <c r="S253" s="1168"/>
      <c r="T253" s="1168"/>
      <c r="U253" s="550"/>
      <c r="V253" s="1168"/>
      <c r="W253" s="1168"/>
      <c r="X253" s="1168"/>
      <c r="Y253" s="1168"/>
      <c r="Z253" s="1168"/>
      <c r="AA253" s="1672"/>
      <c r="AB253" s="572"/>
      <c r="AC253" s="572"/>
      <c r="AD253" s="572"/>
      <c r="AE253" s="572"/>
    </row>
    <row s="3878" customFormat="1" customHeight="1" ht="11.25">
      <c r="A254" s="994"/>
      <c r="B254" s="1676"/>
      <c r="C254" s="1676"/>
      <c r="D254" s="347"/>
      <c r="K254" s="1168"/>
      <c r="L254" s="1676"/>
      <c r="M254" s="1676"/>
      <c r="N254" s="1168"/>
      <c r="O254" s="1168"/>
      <c r="P254" s="1168"/>
      <c r="Q254" s="1168"/>
      <c r="R254" s="1676"/>
      <c r="S254" s="1168"/>
      <c r="T254" s="1168"/>
      <c r="U254" s="550"/>
      <c r="V254" s="1168"/>
      <c r="W254" s="1168"/>
      <c r="X254" s="1168"/>
      <c r="Y254" s="1168"/>
      <c r="Z254" s="1168"/>
      <c r="AA254" s="1672"/>
      <c r="AB254" s="572"/>
      <c r="AC254" s="572"/>
      <c r="AD254" s="572"/>
      <c r="AE254" s="572"/>
    </row>
    <row s="3878" customFormat="1" customHeight="1" ht="11.25">
      <c r="A255" s="994"/>
      <c r="B255" s="1676"/>
      <c r="C255" s="1676"/>
      <c r="D255" s="347"/>
      <c r="K255" s="1168"/>
      <c r="L255" s="1676"/>
      <c r="M255" s="1676"/>
      <c r="N255" s="1168"/>
      <c r="O255" s="1168"/>
      <c r="P255" s="1168"/>
      <c r="Q255" s="1168"/>
      <c r="R255" s="1676"/>
      <c r="S255" s="1168"/>
      <c r="T255" s="1168"/>
      <c r="U255" s="550"/>
      <c r="V255" s="1168"/>
      <c r="W255" s="1168"/>
      <c r="X255" s="1168"/>
      <c r="Y255" s="1168"/>
      <c r="Z255" s="1168"/>
      <c r="AA255" s="1672"/>
      <c r="AB255" s="572"/>
      <c r="AC255" s="572"/>
      <c r="AD255" s="572"/>
      <c r="AE255" s="572"/>
    </row>
    <row s="3878" customFormat="1" customHeight="1" ht="11.25">
      <c r="A256" s="994"/>
      <c r="B256" s="1676"/>
      <c r="C256" s="1676"/>
      <c r="D256" s="347"/>
      <c r="K256" s="1168"/>
      <c r="L256" s="1676"/>
      <c r="M256" s="1676"/>
      <c r="N256" s="1168"/>
      <c r="O256" s="1168"/>
      <c r="P256" s="1168"/>
      <c r="Q256" s="1168"/>
      <c r="R256" s="1676"/>
      <c r="S256" s="1168"/>
      <c r="T256" s="1168"/>
      <c r="U256" s="550"/>
      <c r="V256" s="1168"/>
      <c r="W256" s="1168"/>
      <c r="X256" s="1168"/>
      <c r="Y256" s="1168"/>
      <c r="Z256" s="1168"/>
      <c r="AA256" s="1672"/>
      <c r="AB256" s="572"/>
      <c r="AC256" s="572"/>
      <c r="AD256" s="572"/>
      <c r="AE256" s="572"/>
    </row>
    <row s="3878" customFormat="1" customHeight="1" ht="11.25">
      <c r="A257" s="994"/>
      <c r="B257" s="1676"/>
      <c r="C257" s="1676"/>
      <c r="D257" s="347"/>
      <c r="K257" s="1168"/>
      <c r="L257" s="1676"/>
      <c r="M257" s="1676"/>
      <c r="N257" s="1168"/>
      <c r="O257" s="1168"/>
      <c r="P257" s="1168"/>
      <c r="Q257" s="1168"/>
      <c r="R257" s="1676"/>
      <c r="S257" s="1168"/>
      <c r="T257" s="1168"/>
      <c r="U257" s="550"/>
      <c r="V257" s="1168"/>
      <c r="W257" s="1168"/>
      <c r="X257" s="1168"/>
      <c r="Y257" s="1168"/>
      <c r="Z257" s="1168"/>
      <c r="AA257" s="1672"/>
      <c r="AB257" s="572"/>
      <c r="AC257" s="572"/>
      <c r="AD257" s="572"/>
      <c r="AE257" s="572"/>
    </row>
    <row s="3878" customFormat="1" customHeight="1" ht="11.25">
      <c r="A258" s="994"/>
      <c r="B258" s="1676"/>
      <c r="C258" s="1676"/>
      <c r="D258" s="347"/>
      <c r="K258" s="1168"/>
      <c r="L258" s="1676"/>
      <c r="M258" s="1676"/>
      <c r="N258" s="1168"/>
      <c r="O258" s="1168"/>
      <c r="P258" s="1168"/>
      <c r="Q258" s="1168"/>
      <c r="R258" s="1676"/>
      <c r="S258" s="1168"/>
      <c r="T258" s="1168"/>
      <c r="U258" s="550"/>
      <c r="V258" s="1168"/>
      <c r="W258" s="1168"/>
      <c r="X258" s="1168"/>
      <c r="Y258" s="1168"/>
      <c r="Z258" s="1168"/>
      <c r="AA258" s="1672"/>
      <c r="AB258" s="572"/>
      <c r="AC258" s="572"/>
      <c r="AD258" s="572"/>
      <c r="AE258" s="572"/>
    </row>
    <row s="3878" customFormat="1" customHeight="1" ht="11.25">
      <c r="A259" s="994"/>
      <c r="B259" s="1676"/>
      <c r="C259" s="1676"/>
      <c r="D259" s="347"/>
      <c r="K259" s="1168"/>
      <c r="L259" s="1676"/>
      <c r="M259" s="1676"/>
      <c r="N259" s="1168"/>
      <c r="O259" s="1168"/>
      <c r="P259" s="1168"/>
      <c r="Q259" s="1168"/>
      <c r="R259" s="1676"/>
      <c r="S259" s="1168"/>
      <c r="T259" s="1168"/>
      <c r="U259" s="550"/>
      <c r="V259" s="1168"/>
      <c r="W259" s="1168"/>
      <c r="X259" s="1168"/>
      <c r="Y259" s="1168"/>
      <c r="Z259" s="1168"/>
      <c r="AA259" s="1672"/>
      <c r="AB259" s="572"/>
      <c r="AC259" s="572"/>
      <c r="AD259" s="572"/>
      <c r="AE259" s="572"/>
    </row>
    <row s="3878" customFormat="1" customHeight="1" ht="11.25">
      <c r="A260" s="994"/>
      <c r="B260" s="1676"/>
      <c r="C260" s="1676"/>
      <c r="D260" s="347"/>
      <c r="K260" s="1168"/>
      <c r="L260" s="1676"/>
      <c r="M260" s="1676"/>
      <c r="N260" s="1168"/>
      <c r="O260" s="1168"/>
      <c r="P260" s="1168"/>
      <c r="Q260" s="1168"/>
      <c r="R260" s="1676"/>
      <c r="S260" s="1168"/>
      <c r="T260" s="1168"/>
      <c r="U260" s="550"/>
      <c r="V260" s="1168"/>
      <c r="W260" s="1168"/>
      <c r="X260" s="1168"/>
      <c r="Y260" s="1168"/>
      <c r="Z260" s="1168"/>
      <c r="AA260" s="1672"/>
      <c r="AB260" s="572"/>
      <c r="AC260" s="572"/>
      <c r="AD260" s="572"/>
      <c r="AE260" s="572"/>
    </row>
    <row s="3878" customFormat="1" customHeight="1" ht="11.25">
      <c r="A261" s="994"/>
      <c r="B261" s="1676"/>
      <c r="C261" s="1676"/>
      <c r="D261" s="347"/>
      <c r="K261" s="1168"/>
      <c r="L261" s="1676"/>
      <c r="M261" s="1676"/>
      <c r="N261" s="1168"/>
      <c r="O261" s="1168"/>
      <c r="P261" s="1168"/>
      <c r="Q261" s="1168"/>
      <c r="R261" s="1676"/>
      <c r="S261" s="1168"/>
      <c r="T261" s="1168"/>
      <c r="U261" s="550"/>
      <c r="V261" s="1168"/>
      <c r="W261" s="1168"/>
      <c r="X261" s="1168"/>
      <c r="Y261" s="1168"/>
      <c r="Z261" s="1168"/>
      <c r="AA261" s="1672"/>
      <c r="AB261" s="572"/>
      <c r="AC261" s="572"/>
      <c r="AD261" s="572"/>
      <c r="AE261" s="572"/>
    </row>
    <row s="3878" customFormat="1" customHeight="1" ht="11.25">
      <c r="A262" s="994"/>
      <c r="B262" s="1676"/>
      <c r="C262" s="1676"/>
      <c r="D262" s="347"/>
      <c r="K262" s="1168"/>
      <c r="L262" s="1676"/>
      <c r="M262" s="1676"/>
      <c r="N262" s="1168"/>
      <c r="O262" s="1168"/>
      <c r="P262" s="1168"/>
      <c r="Q262" s="1168"/>
      <c r="R262" s="1676"/>
      <c r="S262" s="1168"/>
      <c r="T262" s="1168"/>
      <c r="U262" s="550"/>
      <c r="V262" s="1168"/>
      <c r="W262" s="1168"/>
      <c r="X262" s="1168"/>
      <c r="Y262" s="1168"/>
      <c r="Z262" s="1168"/>
      <c r="AA262" s="1672"/>
      <c r="AB262" s="572"/>
      <c r="AC262" s="572"/>
      <c r="AD262" s="572"/>
      <c r="AE262" s="572"/>
    </row>
    <row s="3878" customFormat="1" customHeight="1" ht="11.25">
      <c r="A263" s="994"/>
      <c r="B263" s="1676"/>
      <c r="C263" s="1676"/>
      <c r="D263" s="347"/>
      <c r="K263" s="1168"/>
      <c r="L263" s="1676"/>
      <c r="M263" s="1676"/>
      <c r="N263" s="1168"/>
      <c r="O263" s="1168"/>
      <c r="P263" s="1168"/>
      <c r="Q263" s="1168"/>
      <c r="R263" s="1676"/>
      <c r="S263" s="1168"/>
      <c r="T263" s="1168"/>
      <c r="U263" s="550"/>
      <c r="V263" s="1168"/>
      <c r="W263" s="1168"/>
      <c r="X263" s="1168"/>
      <c r="Y263" s="1168"/>
      <c r="Z263" s="1168"/>
      <c r="AA263" s="1672"/>
      <c r="AB263" s="572"/>
      <c r="AC263" s="572"/>
      <c r="AD263" s="572"/>
      <c r="AE263" s="572"/>
    </row>
    <row s="3878" customFormat="1" customHeight="1" ht="11.25">
      <c r="A264" s="994"/>
      <c r="B264" s="1676"/>
      <c r="C264" s="1676"/>
      <c r="D264" s="347"/>
      <c r="K264" s="1168"/>
      <c r="L264" s="1676"/>
      <c r="M264" s="1676"/>
      <c r="N264" s="1168"/>
      <c r="O264" s="1168"/>
      <c r="P264" s="1168"/>
      <c r="Q264" s="1168"/>
      <c r="R264" s="1676"/>
      <c r="S264" s="1168"/>
      <c r="T264" s="1168"/>
      <c r="U264" s="550"/>
      <c r="V264" s="1168"/>
      <c r="W264" s="1168"/>
      <c r="X264" s="1168"/>
      <c r="Y264" s="1168"/>
      <c r="Z264" s="1168"/>
      <c r="AA264" s="1672"/>
      <c r="AB264" s="572"/>
      <c r="AC264" s="572"/>
      <c r="AD264" s="572"/>
      <c r="AE264" s="572"/>
    </row>
    <row s="3878" customFormat="1" customHeight="1" ht="11.25">
      <c r="A265" s="994"/>
      <c r="B265" s="1676"/>
      <c r="C265" s="1676"/>
      <c r="D265" s="347"/>
      <c r="K265" s="1168"/>
      <c r="L265" s="1676"/>
      <c r="M265" s="1676"/>
      <c r="N265" s="1168"/>
      <c r="O265" s="1168"/>
      <c r="P265" s="1168"/>
      <c r="Q265" s="1168"/>
      <c r="R265" s="1676"/>
      <c r="S265" s="1168"/>
      <c r="T265" s="1168"/>
      <c r="U265" s="550"/>
      <c r="V265" s="1168"/>
      <c r="W265" s="1168"/>
      <c r="X265" s="1168"/>
      <c r="Y265" s="1168"/>
      <c r="Z265" s="1168"/>
      <c r="AA265" s="1672"/>
      <c r="AB265" s="572"/>
      <c r="AC265" s="572"/>
      <c r="AD265" s="572"/>
      <c r="AE265" s="572"/>
    </row>
    <row s="3878" customFormat="1" customHeight="1" ht="11.25">
      <c r="A266" s="994"/>
      <c r="B266" s="1676"/>
      <c r="C266" s="1676"/>
      <c r="D266" s="347"/>
      <c r="K266" s="1168"/>
      <c r="L266" s="1676"/>
      <c r="M266" s="1676"/>
      <c r="N266" s="1168"/>
      <c r="O266" s="1168"/>
      <c r="P266" s="1168"/>
      <c r="Q266" s="1168"/>
      <c r="R266" s="1676"/>
      <c r="S266" s="1168"/>
      <c r="T266" s="1168"/>
      <c r="U266" s="550"/>
      <c r="V266" s="1168"/>
      <c r="W266" s="1168"/>
      <c r="X266" s="1168"/>
      <c r="Y266" s="1168"/>
      <c r="Z266" s="1168"/>
      <c r="AA266" s="1672"/>
      <c r="AB266" s="572"/>
      <c r="AC266" s="572"/>
      <c r="AD266" s="572"/>
      <c r="AE266" s="572"/>
    </row>
    <row s="3878" customFormat="1" customHeight="1" ht="11.25">
      <c r="A267" s="994"/>
      <c r="B267" s="1676"/>
      <c r="C267" s="1676"/>
      <c r="D267" s="347"/>
      <c r="K267" s="1168"/>
      <c r="L267" s="1676"/>
      <c r="M267" s="1676"/>
      <c r="N267" s="1168"/>
      <c r="O267" s="1168"/>
      <c r="P267" s="1168"/>
      <c r="Q267" s="1168"/>
      <c r="R267" s="1676"/>
      <c r="S267" s="1168"/>
      <c r="T267" s="1168"/>
      <c r="U267" s="550"/>
      <c r="V267" s="1168"/>
      <c r="W267" s="1168"/>
      <c r="X267" s="1168"/>
      <c r="Y267" s="1168"/>
      <c r="Z267" s="1168"/>
      <c r="AA267" s="1672"/>
      <c r="AB267" s="572"/>
      <c r="AC267" s="572"/>
      <c r="AD267" s="572"/>
      <c r="AE267" s="572"/>
    </row>
    <row s="3878" customFormat="1" customHeight="1" ht="11.25">
      <c r="A268" s="994"/>
      <c r="B268" s="1676"/>
      <c r="C268" s="1676"/>
      <c r="D268" s="347"/>
      <c r="K268" s="1168"/>
      <c r="L268" s="1676"/>
      <c r="M268" s="1676"/>
      <c r="N268" s="1168"/>
      <c r="O268" s="1168"/>
      <c r="P268" s="1168"/>
      <c r="Q268" s="1168"/>
      <c r="R268" s="1676"/>
      <c r="S268" s="1168"/>
      <c r="T268" s="1168"/>
      <c r="U268" s="550"/>
      <c r="V268" s="1168"/>
      <c r="W268" s="1168"/>
      <c r="X268" s="1168"/>
      <c r="Y268" s="1168"/>
      <c r="Z268" s="1168"/>
      <c r="AA268" s="1672"/>
      <c r="AB268" s="572"/>
      <c r="AC268" s="572"/>
      <c r="AD268" s="572"/>
      <c r="AE268" s="572"/>
    </row>
    <row s="3878" customFormat="1" customHeight="1" ht="11.25">
      <c r="A269" s="994"/>
      <c r="B269" s="1676"/>
      <c r="C269" s="1676"/>
      <c r="D269" s="347"/>
      <c r="K269" s="1168"/>
      <c r="L269" s="1676"/>
      <c r="M269" s="1676"/>
      <c r="N269" s="1168"/>
      <c r="O269" s="1168"/>
      <c r="P269" s="1168"/>
      <c r="Q269" s="1168"/>
      <c r="R269" s="1676"/>
      <c r="S269" s="1168"/>
      <c r="T269" s="1168"/>
      <c r="U269" s="550"/>
      <c r="V269" s="1168"/>
      <c r="W269" s="1168"/>
      <c r="X269" s="1168"/>
      <c r="Y269" s="1168"/>
      <c r="Z269" s="1168"/>
      <c r="AA269" s="1672"/>
      <c r="AB269" s="572"/>
      <c r="AC269" s="572"/>
      <c r="AD269" s="572"/>
      <c r="AE269" s="572"/>
    </row>
    <row s="3878" customFormat="1" customHeight="1" ht="11.25">
      <c r="A270" s="994"/>
      <c r="B270" s="1676"/>
      <c r="C270" s="1676"/>
      <c r="D270" s="347"/>
      <c r="K270" s="1168"/>
      <c r="L270" s="1676"/>
      <c r="M270" s="1676"/>
      <c r="N270" s="1168"/>
      <c r="O270" s="1168"/>
      <c r="P270" s="1168"/>
      <c r="Q270" s="1168"/>
      <c r="R270" s="1676"/>
      <c r="S270" s="1168"/>
      <c r="T270" s="1168"/>
      <c r="U270" s="550"/>
      <c r="V270" s="1168"/>
      <c r="W270" s="1168"/>
      <c r="X270" s="1168"/>
      <c r="Y270" s="1168"/>
      <c r="Z270" s="1168"/>
      <c r="AA270" s="1672"/>
      <c r="AB270" s="572"/>
      <c r="AC270" s="572"/>
      <c r="AD270" s="572"/>
      <c r="AE270" s="572"/>
    </row>
    <row s="3878" customFormat="1" customHeight="1" ht="11.25">
      <c r="A271" s="994"/>
      <c r="B271" s="1676"/>
      <c r="C271" s="1676"/>
      <c r="D271" s="347"/>
      <c r="K271" s="1168"/>
      <c r="L271" s="1676"/>
      <c r="M271" s="1676"/>
      <c r="N271" s="1168"/>
      <c r="O271" s="1168"/>
      <c r="P271" s="1168"/>
      <c r="Q271" s="1168"/>
      <c r="R271" s="1676"/>
      <c r="S271" s="1168"/>
      <c r="T271" s="1168"/>
      <c r="U271" s="550"/>
      <c r="V271" s="1168"/>
      <c r="W271" s="1168"/>
      <c r="X271" s="1168"/>
      <c r="Y271" s="1168"/>
      <c r="Z271" s="1168"/>
      <c r="AA271" s="1672"/>
      <c r="AB271" s="572"/>
      <c r="AC271" s="572"/>
      <c r="AD271" s="572"/>
      <c r="AE271" s="572"/>
    </row>
    <row s="3878" customFormat="1" customHeight="1" ht="11.25">
      <c r="A272" s="994"/>
      <c r="B272" s="1676"/>
      <c r="C272" s="1676"/>
      <c r="D272" s="347"/>
      <c r="K272" s="1168"/>
      <c r="L272" s="1676"/>
      <c r="M272" s="1676"/>
      <c r="N272" s="1168"/>
      <c r="O272" s="1168"/>
      <c r="P272" s="1168"/>
      <c r="Q272" s="1168"/>
      <c r="R272" s="1676"/>
      <c r="S272" s="1168"/>
      <c r="T272" s="1168"/>
      <c r="U272" s="550"/>
      <c r="V272" s="1168"/>
      <c r="W272" s="1168"/>
      <c r="X272" s="1168"/>
      <c r="Y272" s="1168"/>
      <c r="Z272" s="1168"/>
      <c r="AA272" s="1672"/>
      <c r="AB272" s="572"/>
      <c r="AC272" s="572"/>
      <c r="AD272" s="572"/>
      <c r="AE272" s="572"/>
    </row>
    <row s="3878" customFormat="1" customHeight="1" ht="11.25">
      <c r="A273" s="994"/>
      <c r="B273" s="1676"/>
      <c r="C273" s="1676"/>
      <c r="D273" s="347"/>
      <c r="K273" s="1168"/>
      <c r="L273" s="1676"/>
      <c r="M273" s="1676"/>
      <c r="N273" s="1168"/>
      <c r="O273" s="1168"/>
      <c r="P273" s="1168"/>
      <c r="Q273" s="1168"/>
      <c r="R273" s="1676"/>
      <c r="S273" s="1168"/>
      <c r="T273" s="1168"/>
      <c r="U273" s="550"/>
      <c r="V273" s="1168"/>
      <c r="W273" s="1168"/>
      <c r="X273" s="1168"/>
      <c r="Y273" s="1168"/>
      <c r="Z273" s="1168"/>
      <c r="AA273" s="1672"/>
      <c r="AB273" s="572"/>
      <c r="AC273" s="572"/>
      <c r="AD273" s="572"/>
      <c r="AE273" s="572"/>
    </row>
    <row s="3878" customFormat="1" customHeight="1" ht="11.25">
      <c r="A274" s="994"/>
      <c r="B274" s="1676"/>
      <c r="C274" s="1676"/>
      <c r="D274" s="347"/>
      <c r="K274" s="1168"/>
      <c r="L274" s="1676"/>
      <c r="M274" s="1676"/>
      <c r="N274" s="1168"/>
      <c r="O274" s="1168"/>
      <c r="P274" s="1168"/>
      <c r="Q274" s="1168"/>
      <c r="R274" s="1676"/>
      <c r="S274" s="1168"/>
      <c r="T274" s="1168"/>
      <c r="U274" s="550"/>
      <c r="V274" s="1168"/>
      <c r="W274" s="1168"/>
      <c r="X274" s="1168"/>
      <c r="Y274" s="1168"/>
      <c r="Z274" s="1168"/>
      <c r="AA274" s="1672"/>
      <c r="AB274" s="572"/>
      <c r="AC274" s="572"/>
      <c r="AD274" s="572"/>
      <c r="AE274" s="572"/>
    </row>
    <row s="3878" customFormat="1" customHeight="1" ht="11.25">
      <c r="A275" s="994"/>
      <c r="B275" s="1676"/>
      <c r="C275" s="1676"/>
      <c r="D275" s="347"/>
      <c r="K275" s="1168"/>
      <c r="L275" s="1676"/>
      <c r="M275" s="1676"/>
      <c r="N275" s="1168"/>
      <c r="O275" s="1168"/>
      <c r="P275" s="1168"/>
      <c r="Q275" s="1168"/>
      <c r="R275" s="1676"/>
      <c r="S275" s="1168"/>
      <c r="T275" s="1168"/>
      <c r="U275" s="550"/>
      <c r="V275" s="1168"/>
      <c r="W275" s="1168"/>
      <c r="X275" s="1168"/>
      <c r="Y275" s="1168"/>
      <c r="Z275" s="1168"/>
      <c r="AA275" s="1672"/>
      <c r="AB275" s="572"/>
      <c r="AC275" s="572"/>
      <c r="AD275" s="572"/>
      <c r="AE275" s="572"/>
    </row>
    <row s="3878" customFormat="1" customHeight="1" ht="11.25">
      <c r="A276" s="994"/>
      <c r="B276" s="1676"/>
      <c r="C276" s="1676"/>
      <c r="D276" s="347"/>
      <c r="K276" s="1168"/>
      <c r="L276" s="1676"/>
      <c r="M276" s="1676"/>
      <c r="N276" s="1168"/>
      <c r="O276" s="1168"/>
      <c r="P276" s="1168"/>
      <c r="Q276" s="1168"/>
      <c r="R276" s="1676"/>
      <c r="S276" s="1168"/>
      <c r="T276" s="1168"/>
      <c r="U276" s="550"/>
      <c r="V276" s="1168"/>
      <c r="W276" s="1168"/>
      <c r="X276" s="1168"/>
      <c r="Y276" s="1168"/>
      <c r="Z276" s="1168"/>
      <c r="AA276" s="1672"/>
      <c r="AB276" s="572"/>
      <c r="AC276" s="572"/>
      <c r="AD276" s="572"/>
      <c r="AE276" s="572"/>
    </row>
    <row s="3878" customFormat="1" customHeight="1" ht="11.25">
      <c r="A277" s="994"/>
      <c r="B277" s="1676"/>
      <c r="C277" s="1676"/>
      <c r="D277" s="347"/>
      <c r="K277" s="1168"/>
      <c r="L277" s="1676"/>
      <c r="M277" s="1676"/>
      <c r="N277" s="1168"/>
      <c r="O277" s="1168"/>
      <c r="P277" s="1168"/>
      <c r="Q277" s="1168"/>
      <c r="R277" s="1676"/>
      <c r="S277" s="1168"/>
      <c r="T277" s="1168"/>
      <c r="U277" s="550"/>
      <c r="V277" s="1168"/>
      <c r="W277" s="1168"/>
      <c r="X277" s="1168"/>
      <c r="Y277" s="1168"/>
      <c r="Z277" s="1168"/>
      <c r="AA277" s="1672"/>
      <c r="AB277" s="572"/>
      <c r="AC277" s="572"/>
      <c r="AD277" s="572"/>
      <c r="AE277" s="572"/>
    </row>
    <row s="3878" customFormat="1" customHeight="1" ht="11.25">
      <c r="A278" s="994"/>
      <c r="B278" s="1676"/>
      <c r="C278" s="1676"/>
      <c r="D278" s="347"/>
      <c r="K278" s="1168"/>
      <c r="L278" s="1676"/>
      <c r="M278" s="1676"/>
      <c r="N278" s="1168"/>
      <c r="O278" s="1168"/>
      <c r="P278" s="1168"/>
      <c r="Q278" s="1168"/>
      <c r="R278" s="1676"/>
      <c r="S278" s="1168"/>
      <c r="T278" s="1168"/>
      <c r="U278" s="550"/>
      <c r="V278" s="1168"/>
      <c r="W278" s="1168"/>
      <c r="X278" s="1168"/>
      <c r="Y278" s="1168"/>
      <c r="Z278" s="1168"/>
      <c r="AA278" s="1672"/>
      <c r="AB278" s="572"/>
      <c r="AC278" s="572"/>
      <c r="AD278" s="572"/>
      <c r="AE278" s="572"/>
    </row>
    <row s="3878" customFormat="1" customHeight="1" ht="11.25">
      <c r="A279" s="994"/>
      <c r="B279" s="1676"/>
      <c r="C279" s="1676"/>
      <c r="D279" s="347"/>
      <c r="K279" s="1168"/>
      <c r="L279" s="1676"/>
      <c r="M279" s="1676"/>
      <c r="N279" s="1168"/>
      <c r="O279" s="1168"/>
      <c r="P279" s="1168"/>
      <c r="Q279" s="1168"/>
      <c r="R279" s="1676"/>
      <c r="S279" s="1168"/>
      <c r="T279" s="1168"/>
      <c r="U279" s="550"/>
      <c r="V279" s="1168"/>
      <c r="W279" s="1168"/>
      <c r="X279" s="1168"/>
      <c r="Y279" s="1168"/>
      <c r="Z279" s="1168"/>
      <c r="AA279" s="1672"/>
      <c r="AB279" s="572"/>
      <c r="AC279" s="572"/>
      <c r="AD279" s="572"/>
      <c r="AE279" s="572"/>
    </row>
    <row s="3878" customFormat="1" customHeight="1" ht="11.25">
      <c r="A280" s="994"/>
      <c r="B280" s="1676"/>
      <c r="C280" s="1676"/>
      <c r="D280" s="347"/>
      <c r="K280" s="1168"/>
      <c r="L280" s="1676"/>
      <c r="M280" s="1676"/>
      <c r="N280" s="1168"/>
      <c r="O280" s="1168"/>
      <c r="P280" s="1168"/>
      <c r="Q280" s="1168"/>
      <c r="R280" s="1676"/>
      <c r="S280" s="1168"/>
      <c r="T280" s="1168"/>
      <c r="U280" s="550"/>
      <c r="V280" s="1168"/>
      <c r="W280" s="1168"/>
      <c r="X280" s="1168"/>
      <c r="Y280" s="1168"/>
      <c r="Z280" s="1168"/>
      <c r="AA280" s="1672"/>
      <c r="AB280" s="572"/>
      <c r="AC280" s="572"/>
      <c r="AD280" s="572"/>
      <c r="AE280" s="572"/>
    </row>
    <row s="3878" customFormat="1" customHeight="1" ht="11.25">
      <c r="A281" s="994"/>
      <c r="B281" s="1676"/>
      <c r="C281" s="1676"/>
      <c r="D281" s="347"/>
      <c r="K281" s="1168"/>
      <c r="L281" s="1676"/>
      <c r="M281" s="1676"/>
      <c r="N281" s="1168"/>
      <c r="O281" s="1168"/>
      <c r="P281" s="1168"/>
      <c r="Q281" s="1168"/>
      <c r="R281" s="1676"/>
      <c r="S281" s="1168"/>
      <c r="T281" s="1168"/>
      <c r="U281" s="550"/>
      <c r="V281" s="1168"/>
      <c r="W281" s="1168"/>
      <c r="X281" s="1168"/>
      <c r="Y281" s="1168"/>
      <c r="Z281" s="1168"/>
      <c r="AA281" s="1672"/>
      <c r="AB281" s="572"/>
      <c r="AC281" s="572"/>
      <c r="AD281" s="572"/>
      <c r="AE281" s="572"/>
    </row>
    <row s="3878" customFormat="1" customHeight="1" ht="11.25">
      <c r="A282" s="994"/>
      <c r="B282" s="1676"/>
      <c r="C282" s="1676"/>
      <c r="D282" s="347"/>
      <c r="K282" s="1168"/>
      <c r="L282" s="1676"/>
      <c r="M282" s="1676"/>
      <c r="N282" s="1168"/>
      <c r="O282" s="1168"/>
      <c r="P282" s="1168"/>
      <c r="Q282" s="1168"/>
      <c r="R282" s="1676"/>
      <c r="S282" s="1168"/>
      <c r="T282" s="1168"/>
      <c r="U282" s="550"/>
      <c r="V282" s="1168"/>
      <c r="W282" s="1168"/>
      <c r="X282" s="1168"/>
      <c r="Y282" s="1168"/>
      <c r="Z282" s="1168"/>
      <c r="AA282" s="1672"/>
      <c r="AB282" s="572"/>
      <c r="AC282" s="572"/>
      <c r="AD282" s="572"/>
      <c r="AE282" s="572"/>
    </row>
    <row s="3878" customFormat="1" customHeight="1" ht="11.25">
      <c r="A283" s="994"/>
      <c r="B283" s="1676"/>
      <c r="C283" s="1676"/>
      <c r="D283" s="347"/>
      <c r="K283" s="1168"/>
      <c r="L283" s="1676"/>
      <c r="M283" s="1676"/>
      <c r="N283" s="1168"/>
      <c r="O283" s="1168"/>
      <c r="P283" s="1168"/>
      <c r="Q283" s="1168"/>
      <c r="R283" s="1676"/>
      <c r="S283" s="1168"/>
      <c r="T283" s="1168"/>
      <c r="U283" s="550"/>
      <c r="V283" s="1168"/>
      <c r="W283" s="1168"/>
      <c r="X283" s="1168"/>
      <c r="Y283" s="1168"/>
      <c r="Z283" s="1168"/>
      <c r="AA283" s="1672"/>
      <c r="AB283" s="572"/>
      <c r="AC283" s="572"/>
      <c r="AD283" s="572"/>
      <c r="AE283" s="572"/>
    </row>
    <row s="3878" customFormat="1" customHeight="1" ht="11.25">
      <c r="A284" s="994"/>
      <c r="B284" s="1676"/>
      <c r="C284" s="1676"/>
      <c r="D284" s="347"/>
      <c r="K284" s="1168"/>
      <c r="L284" s="1676"/>
      <c r="M284" s="1676"/>
      <c r="N284" s="1168"/>
      <c r="O284" s="1168"/>
      <c r="P284" s="1168"/>
      <c r="Q284" s="1168"/>
      <c r="R284" s="1676"/>
      <c r="S284" s="1168"/>
      <c r="T284" s="1168"/>
      <c r="U284" s="550"/>
      <c r="V284" s="1168"/>
      <c r="W284" s="1168"/>
      <c r="X284" s="1168"/>
      <c r="Y284" s="1168"/>
      <c r="Z284" s="1168"/>
      <c r="AA284" s="1672"/>
      <c r="AB284" s="572"/>
      <c r="AC284" s="572"/>
      <c r="AD284" s="572"/>
      <c r="AE284" s="572"/>
    </row>
    <row s="3878" customFormat="1" customHeight="1" ht="11.25">
      <c r="A285" s="994"/>
      <c r="B285" s="1676"/>
      <c r="C285" s="1676"/>
      <c r="D285" s="347"/>
      <c r="K285" s="1168"/>
      <c r="L285" s="1676"/>
      <c r="M285" s="1676"/>
      <c r="N285" s="1168"/>
      <c r="O285" s="1168"/>
      <c r="P285" s="1168"/>
      <c r="Q285" s="1168"/>
      <c r="R285" s="1676"/>
      <c r="S285" s="1168"/>
      <c r="T285" s="1168"/>
      <c r="U285" s="550"/>
      <c r="V285" s="1168"/>
      <c r="W285" s="1168"/>
      <c r="X285" s="1168"/>
      <c r="Y285" s="1168"/>
      <c r="Z285" s="1168"/>
      <c r="AA285" s="1672"/>
      <c r="AB285" s="572"/>
      <c r="AC285" s="572"/>
      <c r="AD285" s="572"/>
      <c r="AE285" s="572"/>
    </row>
    <row s="3878" customFormat="1" customHeight="1" ht="11.25">
      <c r="A286" s="994"/>
      <c r="B286" s="1676"/>
      <c r="C286" s="1676"/>
      <c r="D286" s="347"/>
      <c r="K286" s="1168"/>
      <c r="L286" s="1676"/>
      <c r="M286" s="1676"/>
      <c r="N286" s="1168"/>
      <c r="O286" s="1168"/>
      <c r="P286" s="1168"/>
      <c r="Q286" s="1168"/>
      <c r="R286" s="1676"/>
      <c r="S286" s="1168"/>
      <c r="T286" s="1168"/>
      <c r="U286" s="550"/>
      <c r="V286" s="1168"/>
      <c r="W286" s="1168"/>
      <c r="X286" s="1168"/>
      <c r="Y286" s="1168"/>
      <c r="Z286" s="1168"/>
      <c r="AA286" s="1672"/>
      <c r="AB286" s="572"/>
      <c r="AC286" s="572"/>
      <c r="AD286" s="572"/>
      <c r="AE286" s="572"/>
    </row>
    <row s="3878" customFormat="1" customHeight="1" ht="11.25">
      <c r="A287" s="994"/>
      <c r="B287" s="1676"/>
      <c r="C287" s="1676"/>
      <c r="D287" s="347"/>
      <c r="K287" s="1168"/>
      <c r="L287" s="1676"/>
      <c r="M287" s="1676"/>
      <c r="N287" s="1168"/>
      <c r="O287" s="1168"/>
      <c r="P287" s="1168"/>
      <c r="Q287" s="1168"/>
      <c r="R287" s="1676"/>
      <c r="S287" s="1168"/>
      <c r="T287" s="1168"/>
      <c r="U287" s="550"/>
      <c r="V287" s="1168"/>
      <c r="W287" s="1168"/>
      <c r="X287" s="1168"/>
      <c r="Y287" s="1168"/>
      <c r="Z287" s="1168"/>
      <c r="AA287" s="1672"/>
      <c r="AB287" s="572"/>
      <c r="AC287" s="572"/>
      <c r="AD287" s="572"/>
      <c r="AE287" s="572"/>
    </row>
    <row s="3878" customFormat="1" customHeight="1" ht="11.25">
      <c r="A288" s="994"/>
      <c r="B288" s="1676"/>
      <c r="C288" s="1676"/>
      <c r="D288" s="347"/>
      <c r="K288" s="1168"/>
      <c r="L288" s="1676"/>
      <c r="M288" s="1676"/>
      <c r="N288" s="1168"/>
      <c r="O288" s="1168"/>
      <c r="P288" s="1168"/>
      <c r="Q288" s="1168"/>
      <c r="R288" s="1676"/>
      <c r="S288" s="1168"/>
      <c r="T288" s="1168"/>
      <c r="U288" s="550"/>
      <c r="V288" s="1168"/>
      <c r="W288" s="1168"/>
      <c r="X288" s="1168"/>
      <c r="Y288" s="1168"/>
      <c r="Z288" s="1168"/>
      <c r="AA288" s="1672"/>
      <c r="AB288" s="572"/>
      <c r="AC288" s="572"/>
      <c r="AD288" s="572"/>
      <c r="AE288" s="572"/>
    </row>
    <row r="292" customHeight="1" ht="11.25">
      <c r="A292" s="997"/>
      <c r="B292" s="1671"/>
      <c r="D292" s="1671"/>
      <c r="K292" s="1671"/>
      <c r="N292" s="1671"/>
      <c r="O292" s="1671"/>
      <c r="P292" s="1671"/>
      <c r="Q292" s="1671"/>
      <c r="S292" s="1671"/>
      <c r="T292" s="1671"/>
      <c r="U292" s="1671"/>
      <c r="V292" s="1671"/>
      <c r="W292" s="1671"/>
      <c r="X292" s="1671"/>
      <c r="Y292" s="1671"/>
      <c r="Z292" s="1671"/>
      <c r="AA292" s="1671"/>
      <c r="AB292" s="1671"/>
      <c r="AC292" s="1671"/>
      <c r="AD292" s="1671"/>
      <c r="AE292" s="1671"/>
    </row>
    <row customHeight="1" ht="11.25">
      <c r="A293" s="997"/>
      <c r="B293" s="1671"/>
      <c r="D293" s="1671"/>
      <c r="K293" s="1671"/>
      <c r="N293" s="1671"/>
      <c r="O293" s="1671"/>
      <c r="P293" s="1671"/>
      <c r="Q293" s="1671"/>
      <c r="S293" s="1671"/>
      <c r="T293" s="1671"/>
      <c r="U293" s="1671"/>
      <c r="V293" s="1671"/>
      <c r="W293" s="1671"/>
      <c r="X293" s="1671"/>
      <c r="Y293" s="1671"/>
      <c r="Z293" s="1671"/>
      <c r="AA293" s="1671"/>
      <c r="AB293" s="1671"/>
      <c r="AC293" s="1671"/>
      <c r="AD293" s="1671"/>
      <c r="AE293" s="1671"/>
    </row>
    <row customHeight="1" ht="11.25">
      <c r="A294" s="997"/>
      <c r="B294" s="1671"/>
      <c r="D294" s="1671"/>
      <c r="K294" s="1671"/>
      <c r="N294" s="1671"/>
      <c r="O294" s="1671"/>
      <c r="P294" s="1671"/>
      <c r="Q294" s="1671"/>
      <c r="S294" s="1671"/>
      <c r="T294" s="1671"/>
      <c r="U294" s="1671"/>
      <c r="V294" s="1671"/>
      <c r="W294" s="1671"/>
      <c r="X294" s="1671"/>
      <c r="Y294" s="1671"/>
      <c r="Z294" s="1671"/>
      <c r="AA294" s="1671"/>
      <c r="AB294" s="1671"/>
      <c r="AC294" s="1671"/>
      <c r="AD294" s="1671"/>
      <c r="AE294" s="1671"/>
    </row>
    <row customHeight="1" ht="11.25">
      <c r="A295" s="997"/>
      <c r="B295" s="1671"/>
      <c r="D295" s="1671"/>
      <c r="K295" s="1671"/>
      <c r="N295" s="1671"/>
      <c r="O295" s="1671"/>
      <c r="P295" s="1671"/>
      <c r="Q295" s="1671"/>
      <c r="S295" s="1671"/>
      <c r="T295" s="1671"/>
      <c r="U295" s="1671"/>
      <c r="V295" s="1671"/>
      <c r="W295" s="1671"/>
      <c r="X295" s="1671"/>
      <c r="Y295" s="1671"/>
      <c r="Z295" s="1671"/>
      <c r="AA295" s="1671"/>
      <c r="AB295" s="1671"/>
      <c r="AC295" s="1671"/>
      <c r="AD295" s="1671"/>
      <c r="AE295" s="1671"/>
    </row>
    <row customHeight="1" ht="11.25">
      <c r="A296" s="997"/>
      <c r="B296" s="1671"/>
      <c r="D296" s="1671"/>
      <c r="K296" s="1671"/>
      <c r="N296" s="1671"/>
      <c r="O296" s="1671"/>
      <c r="P296" s="1671"/>
      <c r="Q296" s="1671"/>
      <c r="S296" s="1671"/>
      <c r="T296" s="1671"/>
      <c r="U296" s="1671"/>
      <c r="V296" s="1671"/>
      <c r="W296" s="1671"/>
      <c r="X296" s="1671"/>
      <c r="Y296" s="1671"/>
      <c r="Z296" s="1671"/>
      <c r="AA296" s="1671"/>
      <c r="AB296" s="1671"/>
      <c r="AC296" s="1671"/>
      <c r="AD296" s="1671"/>
      <c r="AE296" s="1671"/>
    </row>
    <row customHeight="1" ht="11.25">
      <c r="A297" s="997"/>
      <c r="B297" s="1671"/>
      <c r="D297" s="1671"/>
      <c r="K297" s="1671"/>
      <c r="N297" s="1671"/>
      <c r="O297" s="1671"/>
      <c r="P297" s="1671"/>
      <c r="Q297" s="1671"/>
      <c r="S297" s="1671"/>
      <c r="T297" s="1671"/>
      <c r="U297" s="1671"/>
      <c r="V297" s="1671"/>
      <c r="W297" s="1671"/>
      <c r="X297" s="1671"/>
      <c r="Y297" s="1671"/>
      <c r="Z297" s="1671"/>
      <c r="AA297" s="1671"/>
      <c r="AB297" s="1671"/>
      <c r="AC297" s="1671"/>
      <c r="AD297" s="1671"/>
      <c r="AE297" s="1671"/>
    </row>
    <row customHeight="1" ht="11.25">
      <c r="A298" s="997"/>
      <c r="B298" s="1671"/>
      <c r="D298" s="1671"/>
      <c r="K298" s="1671"/>
      <c r="N298" s="1671"/>
      <c r="O298" s="1671"/>
      <c r="P298" s="1671"/>
      <c r="Q298" s="1671"/>
      <c r="S298" s="1671"/>
      <c r="T298" s="1671"/>
      <c r="U298" s="1671"/>
      <c r="V298" s="1671"/>
      <c r="W298" s="1671"/>
      <c r="X298" s="1671"/>
      <c r="Y298" s="1671"/>
      <c r="Z298" s="1671"/>
      <c r="AA298" s="1671"/>
      <c r="AB298" s="1671"/>
      <c r="AC298" s="1671"/>
      <c r="AD298" s="1671"/>
      <c r="AE298" s="1671"/>
    </row>
    <row customHeight="1" ht="11.25">
      <c r="A299" s="997"/>
      <c r="B299" s="1671"/>
      <c r="D299" s="1671"/>
      <c r="K299" s="1671"/>
      <c r="N299" s="1671"/>
      <c r="O299" s="1671"/>
      <c r="P299" s="1671"/>
      <c r="Q299" s="1671"/>
      <c r="S299" s="1671"/>
      <c r="T299" s="1671"/>
      <c r="U299" s="1671"/>
      <c r="V299" s="1671"/>
      <c r="W299" s="1671"/>
      <c r="X299" s="1671"/>
      <c r="Y299" s="1671"/>
      <c r="Z299" s="1671"/>
      <c r="AA299" s="1671"/>
      <c r="AB299" s="1671"/>
      <c r="AC299" s="1671"/>
      <c r="AD299" s="1671"/>
      <c r="AE299" s="1671"/>
    </row>
    <row customHeight="1" ht="11.25">
      <c r="A300" s="997"/>
      <c r="B300" s="1671"/>
      <c r="D300" s="1671"/>
      <c r="K300" s="1671"/>
      <c r="N300" s="1671"/>
      <c r="O300" s="1671"/>
      <c r="P300" s="1671"/>
      <c r="Q300" s="1671"/>
      <c r="S300" s="1671"/>
      <c r="T300" s="1671"/>
      <c r="U300" s="1671"/>
      <c r="V300" s="1671"/>
      <c r="W300" s="1671"/>
      <c r="X300" s="1671"/>
      <c r="Y300" s="1671"/>
      <c r="Z300" s="1671"/>
      <c r="AA300" s="1671"/>
      <c r="AB300" s="1671"/>
      <c r="AC300" s="1671"/>
      <c r="AD300" s="1671"/>
      <c r="AE300" s="1671"/>
    </row>
    <row customHeight="1" ht="11.25">
      <c r="A301" s="997"/>
      <c r="B301" s="1671"/>
      <c r="D301" s="1671"/>
      <c r="K301" s="1671"/>
      <c r="N301" s="1671"/>
      <c r="O301" s="1671"/>
      <c r="P301" s="1671"/>
      <c r="Q301" s="1671"/>
      <c r="S301" s="1671"/>
      <c r="T301" s="1671"/>
      <c r="U301" s="1671"/>
      <c r="V301" s="1671"/>
      <c r="W301" s="1671"/>
      <c r="X301" s="1671"/>
      <c r="Y301" s="1671"/>
      <c r="Z301" s="1671"/>
      <c r="AA301" s="1671"/>
      <c r="AB301" s="1671"/>
      <c r="AC301" s="1671"/>
      <c r="AD301" s="1671"/>
      <c r="AE301" s="1671"/>
    </row>
    <row customHeight="1" ht="11.25">
      <c r="A302" s="997"/>
      <c r="B302" s="1671"/>
      <c r="D302" s="1671"/>
      <c r="K302" s="1671"/>
      <c r="N302" s="1671"/>
      <c r="O302" s="1671"/>
      <c r="P302" s="1671"/>
      <c r="Q302" s="1671"/>
      <c r="S302" s="1671"/>
      <c r="T302" s="1671"/>
      <c r="U302" s="1671"/>
      <c r="V302" s="1671"/>
      <c r="W302" s="1671"/>
      <c r="X302" s="1671"/>
      <c r="Y302" s="1671"/>
      <c r="Z302" s="1671"/>
      <c r="AA302" s="1671"/>
      <c r="AB302" s="1671"/>
      <c r="AC302" s="1671"/>
      <c r="AD302" s="1671"/>
      <c r="AE302" s="1671"/>
    </row>
  </sheetData>
  <sheetProtection formatColumns="0" formatRows="0" autoFilter="0" sort="0" insertRows="0" insertColumns="1" deleteRows="0" deleteColumns="0"/>
  <mergeCells count="18">
    <mergeCell ref="B2:B7"/>
    <mergeCell ref="J25:J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I81 H128:I130">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402C5B-DE78-0F33-731A-3D0A1A0CF97E}" mc:Ignorable="x14ac xr xr2 xr3">
  <sheetPr>
    <tabColor theme="9" tint="-0.25"/>
  </sheetPr>
  <dimension ref="A1:CE28"/>
  <sheetViews>
    <sheetView topLeftCell="A1" showGridLines="0" zoomScale="90" workbookViewId="0">
      <selection activeCell="A1" sqref="A1"/>
    </sheetView>
  </sheetViews>
  <sheetFormatPr defaultColWidth="9.140625" customHeight="1" defaultRowHeight="11.25"/>
  <cols>
    <col min="1" max="1" style="3957" width="14.7109375" hidden="1" customWidth="1"/>
    <col min="2" max="2" style="3151" width="17.00390625" hidden="1" customWidth="1"/>
    <col min="3" max="3" style="3153" width="3.7109375" customWidth="1"/>
    <col min="4" max="4" style="3153" width="1.8515625" hidden="1" customWidth="1"/>
    <col min="5" max="6" style="3153" width="7.7109375" customWidth="1"/>
    <col min="7" max="7" style="3153" width="29.7109375" customWidth="1"/>
    <col min="8" max="8" style="3153" width="3.7109375" customWidth="1"/>
    <col min="9" max="9" style="3153" width="5.421875" customWidth="1"/>
    <col min="10" max="10" style="3153" width="24.57421875" customWidth="1"/>
    <col min="11" max="11" style="3153" width="24.421875" customWidth="1"/>
    <col min="12" max="12" style="3153" width="3.7109375" customWidth="1"/>
    <col min="13" max="13" style="3153" width="6.28125" customWidth="1"/>
    <col min="14" max="14" style="3153" width="25.8515625" customWidth="1"/>
    <col min="15" max="18" style="3153" width="18.7109375" customWidth="1"/>
    <col min="19" max="19" style="3153" width="93.421875" customWidth="1"/>
    <col min="20" max="20" style="3153" width="10.57421875" customWidth="1"/>
    <col min="21" max="21" style="3959" width="10.57421875" customWidth="1"/>
    <col min="22" max="22" style="3959" width="11.7109375" customWidth="1"/>
    <col min="23" max="23" style="3960" width="10.57421875" customWidth="1"/>
    <col min="24" max="27" style="3151" width="10.57421875" customWidth="1"/>
    <col min="28" max="83" style="3153" width="9.140625"/>
  </cols>
  <sheetData>
    <row customHeight="1" ht="11.25" hidden="1"/>
    <row customHeight="1" ht="11.25" hidden="1"/>
    <row customHeight="1" ht="11.25" hidden="1"/>
    <row customHeight="1" ht="3">
      <c r="C4" s="515"/>
      <c r="D4" s="515"/>
      <c r="E4" s="515"/>
      <c r="F4" s="515"/>
      <c r="G4" s="515"/>
      <c r="H4" s="515"/>
      <c r="I4" s="515"/>
      <c r="J4" s="515"/>
      <c r="K4" s="152"/>
      <c r="L4" s="152"/>
      <c r="M4" s="152"/>
    </row>
    <row customHeight="1" ht="28.5">
      <c r="C5" s="515"/>
      <c r="D5" s="1064"/>
      <c r="E5" s="2085" t="str">
        <f>FHD20_NAME_FORM</f>
        <v>Форма 11. Информация о расходах на капитальный и текущий ремонт основных средств</v>
      </c>
      <c r="F5" s="2085"/>
      <c r="G5" s="2085"/>
      <c r="H5" s="2085"/>
      <c r="I5" s="2085"/>
      <c r="J5" s="2085"/>
      <c r="K5" s="2085"/>
      <c r="L5" s="619"/>
      <c r="M5" s="619"/>
    </row>
    <row s="2623" customFormat="1" customHeight="1" ht="16.5">
      <c r="A6" s="616"/>
      <c r="B6" s="765"/>
      <c r="C6" s="515"/>
      <c r="D6" s="1065"/>
      <c r="E6" s="2053" t="str">
        <f>IF(org=0,"Не определено",org)</f>
        <v>ЗАО "Байкалэнерго"</v>
      </c>
      <c r="F6" s="2053"/>
      <c r="G6" s="2053"/>
      <c r="H6" s="2053"/>
      <c r="I6" s="2053"/>
      <c r="J6" s="2053"/>
      <c r="K6" s="2053"/>
      <c r="L6" s="619"/>
      <c r="M6" s="619"/>
      <c r="U6" s="617"/>
      <c r="V6" s="617"/>
      <c r="W6" s="618"/>
      <c r="X6" s="765"/>
      <c r="Y6" s="765"/>
      <c r="Z6" s="765"/>
      <c r="AA6" s="765"/>
    </row>
    <row customHeight="1" ht="11.25">
      <c r="C7" s="515"/>
      <c r="D7" s="515"/>
      <c r="E7" s="515"/>
      <c r="F7" s="515"/>
      <c r="G7" s="528"/>
      <c r="H7" s="528"/>
      <c r="I7" s="528"/>
      <c r="J7" s="528"/>
      <c r="K7" s="620"/>
      <c r="L7" s="620"/>
      <c r="M7" s="620"/>
      <c r="R7" s="758"/>
    </row>
    <row s="2610" customFormat="1" customHeight="1" ht="5.25">
      <c r="A8" s="627"/>
      <c r="B8" s="572"/>
      <c r="C8" s="347"/>
      <c r="D8" s="347"/>
      <c r="E8" s="347"/>
      <c r="F8" s="347"/>
      <c r="G8" s="982"/>
      <c r="H8" s="982"/>
      <c r="I8" s="982"/>
      <c r="J8" s="982"/>
      <c r="K8" s="1025"/>
      <c r="L8" s="1025"/>
      <c r="M8" s="1025"/>
      <c r="R8" s="1026"/>
      <c r="U8" s="617"/>
      <c r="V8" s="617"/>
      <c r="W8" s="628"/>
      <c r="X8" s="572"/>
      <c r="Y8" s="572"/>
      <c r="Z8" s="572"/>
      <c r="AA8" s="572"/>
    </row>
    <row customHeight="1" ht="18.75">
      <c r="D9" s="277"/>
      <c r="E9" s="1955" t="s">
        <v>293</v>
      </c>
      <c r="F9" s="1956"/>
      <c r="G9" s="1956"/>
      <c r="H9" s="1956"/>
      <c r="I9" s="1956"/>
      <c r="J9" s="1956"/>
      <c r="K9" s="1956"/>
      <c r="L9" s="1956"/>
      <c r="M9" s="1956"/>
      <c r="N9" s="1956"/>
      <c r="O9" s="1956"/>
      <c r="P9" s="1956"/>
      <c r="Q9" s="1956"/>
      <c r="R9" s="1957"/>
      <c r="S9" s="1971" t="s">
        <v>294</v>
      </c>
      <c r="T9" s="330"/>
    </row>
    <row customHeight="1" ht="33.75">
      <c r="D10" s="557" t="s">
        <v>88</v>
      </c>
      <c r="E10" s="1971" t="s">
        <v>88</v>
      </c>
      <c r="F10" s="1971"/>
      <c r="G10" s="527" t="s">
        <v>295</v>
      </c>
      <c r="H10" s="1971" t="s">
        <v>88</v>
      </c>
      <c r="I10" s="1971"/>
      <c r="J10" s="527" t="s">
        <v>590</v>
      </c>
      <c r="K10" s="527" t="s">
        <v>591</v>
      </c>
      <c r="L10" s="1971" t="s">
        <v>88</v>
      </c>
      <c r="M10" s="1971"/>
      <c r="N10" s="527" t="s">
        <v>592</v>
      </c>
      <c r="O10" s="527" t="s">
        <v>593</v>
      </c>
      <c r="P10" s="527" t="s">
        <v>594</v>
      </c>
      <c r="Q10" s="527" t="s">
        <v>595</v>
      </c>
      <c r="R10" s="527" t="s">
        <v>596</v>
      </c>
      <c r="S10" s="1971"/>
      <c r="T10" s="330"/>
    </row>
    <row s="2611" customFormat="1" customHeight="1" ht="15" hidden="1">
      <c r="A11" s="1059"/>
      <c r="D11" s="1032" t="s">
        <v>110</v>
      </c>
      <c r="E11" s="1032"/>
      <c r="F11" s="1032" t="s">
        <v>111</v>
      </c>
      <c r="G11" s="1032" t="s">
        <v>90</v>
      </c>
      <c r="H11" s="1032"/>
      <c r="I11" s="1032" t="s">
        <v>91</v>
      </c>
      <c r="J11" s="1032" t="s">
        <v>112</v>
      </c>
      <c r="K11" s="1032" t="s">
        <v>92</v>
      </c>
      <c r="L11" s="1032"/>
      <c r="M11" s="1032" t="s">
        <v>93</v>
      </c>
      <c r="N11" s="1032" t="s">
        <v>113</v>
      </c>
      <c r="O11" s="1032" t="s">
        <v>149</v>
      </c>
      <c r="P11" s="1032" t="s">
        <v>150</v>
      </c>
      <c r="Q11" s="1032" t="s">
        <v>151</v>
      </c>
      <c r="R11" s="1032" t="s">
        <v>152</v>
      </c>
      <c r="S11" s="1032" t="s">
        <v>153</v>
      </c>
      <c r="U11" s="617"/>
      <c r="V11" s="617"/>
      <c r="W11" s="617"/>
    </row>
    <row s="2627" customFormat="1" customHeight="1" ht="0.75">
      <c r="A12" s="621"/>
      <c r="B12" s="360"/>
      <c r="D12" s="554"/>
      <c r="E12" s="342"/>
      <c r="F12" s="342"/>
      <c r="Q12" s="622"/>
      <c r="R12" s="623"/>
      <c r="T12" s="624"/>
      <c r="U12" s="625"/>
      <c r="V12" s="625"/>
      <c r="W12" s="626"/>
      <c r="X12" s="360"/>
      <c r="Y12" s="360"/>
      <c r="Z12" s="360"/>
      <c r="AA12" s="360"/>
    </row>
    <row s="2610" customFormat="1" customHeight="1" ht="0.75">
      <c r="A13" s="627"/>
      <c r="B13" s="572"/>
      <c r="D13" s="554" t="s">
        <v>371</v>
      </c>
      <c r="E13" s="566"/>
      <c r="F13" s="566"/>
      <c r="G13" s="566"/>
      <c r="H13" s="566"/>
      <c r="I13" s="566"/>
      <c r="J13" s="566"/>
      <c r="K13" s="566"/>
      <c r="L13" s="566"/>
      <c r="M13" s="566"/>
      <c r="N13" s="566"/>
      <c r="O13" s="566"/>
      <c r="P13" s="566"/>
      <c r="Q13" s="566"/>
      <c r="R13" s="566"/>
      <c r="T13" s="330"/>
      <c r="U13" s="617"/>
      <c r="V13" s="617"/>
      <c r="W13" s="628"/>
      <c r="X13" s="572"/>
      <c r="Y13" s="572"/>
      <c r="Z13" s="572"/>
      <c r="AA13" s="572"/>
    </row>
    <row s="2746" customFormat="1" customHeight="1" ht="15" hidden="1">
      <c r="A14" s="629" t="s">
        <v>118</v>
      </c>
      <c r="B14" s="630"/>
      <c r="C14" s="630"/>
      <c r="D14" s="2217" t="s">
        <v>110</v>
      </c>
      <c r="E14" s="2225" t="s">
        <v>106</v>
      </c>
      <c r="F14" s="2226"/>
      <c r="G14" s="2227"/>
      <c r="H14" s="2220">
        <f>IF(A14="","",INDEX(DIFFERENTIATION_UNMERGE_VD,MATCH(A14,DIFFERENTIATION_ID_DIFF,0)))</f>
        <v>0</v>
      </c>
      <c r="I14" s="2220"/>
      <c r="J14" s="2220"/>
      <c r="K14" s="2220"/>
      <c r="L14" s="2220"/>
      <c r="M14" s="2220"/>
      <c r="N14" s="2220"/>
      <c r="O14" s="2220"/>
      <c r="P14" s="2220"/>
      <c r="Q14" s="2220"/>
      <c r="R14" s="2220"/>
      <c r="S14" s="725"/>
      <c r="T14" s="722"/>
      <c r="U14" s="631"/>
      <c r="V14" s="631"/>
      <c r="W14" s="632"/>
      <c r="X14" s="632"/>
      <c r="Y14" s="632"/>
      <c r="Z14" s="632"/>
      <c r="AA14" s="633"/>
      <c r="AB14" s="634"/>
      <c r="AC14" s="2224"/>
      <c r="AD14" s="635"/>
      <c r="AE14" s="636" t="s">
        <v>24</v>
      </c>
      <c r="AF14" s="636"/>
      <c r="AG14" s="637" t="s">
        <v>597</v>
      </c>
      <c r="AH14" s="638">
        <v>3</v>
      </c>
      <c r="AI14" s="631"/>
      <c r="AJ14" s="631"/>
      <c r="AK14" s="631"/>
      <c r="AL14" s="631"/>
      <c r="AM14" s="631"/>
      <c r="AN14" s="631"/>
      <c r="AO14" s="631"/>
      <c r="AP14" s="631"/>
      <c r="AQ14" s="631"/>
      <c r="AR14" s="631"/>
      <c r="AS14" s="631"/>
      <c r="AT14" s="631"/>
      <c r="AU14" s="631"/>
      <c r="AV14" s="631"/>
      <c r="AW14" s="631"/>
      <c r="AX14" s="631"/>
      <c r="AY14" s="631"/>
      <c r="AZ14" s="631"/>
      <c r="BA14" s="631"/>
      <c r="BB14" s="631"/>
      <c r="BC14" s="631"/>
      <c r="BD14" s="631"/>
      <c r="BE14" s="631"/>
      <c r="BF14" s="631"/>
      <c r="BG14" s="631"/>
      <c r="BH14" s="631"/>
      <c r="BI14" s="631"/>
      <c r="BJ14" s="631"/>
      <c r="BK14" s="631"/>
      <c r="BL14" s="631"/>
      <c r="BM14" s="631"/>
      <c r="BN14" s="631"/>
      <c r="BO14" s="631"/>
      <c r="BP14" s="631"/>
      <c r="BQ14" s="631"/>
      <c r="BR14" s="631"/>
      <c r="BS14" s="631"/>
      <c r="BT14" s="631"/>
      <c r="BU14" s="631"/>
      <c r="BV14" s="632"/>
      <c r="BW14" s="632"/>
      <c r="BX14" s="632"/>
      <c r="BY14" s="632"/>
      <c r="BZ14" s="632"/>
      <c r="CA14" s="632"/>
      <c r="CB14" s="632"/>
      <c r="CC14" s="632"/>
      <c r="CD14" s="632"/>
      <c r="CE14" s="632"/>
    </row>
    <row s="2746" customFormat="1" customHeight="1" ht="15" hidden="1">
      <c r="A15" s="629"/>
      <c r="B15" s="630"/>
      <c r="C15" s="630"/>
      <c r="D15" s="2218"/>
      <c r="E15" s="2225" t="s">
        <v>552</v>
      </c>
      <c r="F15" s="2226"/>
      <c r="G15" s="2227"/>
      <c r="H15" s="2220" t="str">
        <f>IF(A14="","",INDEX(DIFFERENTIATION_UNMERGE_AREA,MATCH(A14,DIFFERENTIATION_ID_DIFF,0)))</f>
        <v/>
      </c>
      <c r="I15" s="2220"/>
      <c r="J15" s="2220"/>
      <c r="K15" s="2220"/>
      <c r="L15" s="2220"/>
      <c r="M15" s="2220"/>
      <c r="N15" s="2220"/>
      <c r="O15" s="2220"/>
      <c r="P15" s="2220"/>
      <c r="Q15" s="2220"/>
      <c r="R15" s="2220"/>
      <c r="S15" s="725"/>
      <c r="T15" s="722"/>
      <c r="U15" s="631"/>
      <c r="V15" s="631"/>
      <c r="W15" s="632"/>
      <c r="X15" s="632"/>
      <c r="Y15" s="632"/>
      <c r="Z15" s="632"/>
      <c r="AA15" s="633"/>
      <c r="AB15" s="634"/>
      <c r="AC15" s="2224"/>
      <c r="AD15" s="635"/>
      <c r="AE15" s="636"/>
      <c r="AF15" s="636"/>
      <c r="AG15" s="637"/>
      <c r="AH15" s="638"/>
      <c r="AI15" s="631"/>
      <c r="AJ15" s="631"/>
      <c r="AK15" s="631"/>
      <c r="AL15" s="631"/>
      <c r="AM15" s="631"/>
      <c r="AN15" s="631"/>
      <c r="AO15" s="631"/>
      <c r="AP15" s="631"/>
      <c r="AQ15" s="631"/>
      <c r="AR15" s="631"/>
      <c r="AS15" s="631"/>
      <c r="AT15" s="631"/>
      <c r="AU15" s="631"/>
      <c r="AV15" s="631"/>
      <c r="AW15" s="631"/>
      <c r="AX15" s="631"/>
      <c r="AY15" s="631"/>
      <c r="AZ15" s="631"/>
      <c r="BA15" s="631"/>
      <c r="BB15" s="631"/>
      <c r="BC15" s="631"/>
      <c r="BD15" s="631"/>
      <c r="BE15" s="631"/>
      <c r="BF15" s="631"/>
      <c r="BG15" s="631"/>
      <c r="BH15" s="631"/>
      <c r="BI15" s="631"/>
      <c r="BJ15" s="631"/>
      <c r="BK15" s="631"/>
      <c r="BL15" s="631"/>
      <c r="BM15" s="631"/>
      <c r="BN15" s="631"/>
      <c r="BO15" s="631"/>
      <c r="BP15" s="631"/>
      <c r="BQ15" s="631"/>
      <c r="BR15" s="631"/>
      <c r="BS15" s="631"/>
      <c r="BT15" s="631"/>
      <c r="BU15" s="631"/>
      <c r="BV15" s="632"/>
      <c r="BW15" s="632"/>
      <c r="BX15" s="632"/>
      <c r="BY15" s="632"/>
      <c r="BZ15" s="632"/>
      <c r="CA15" s="632"/>
      <c r="CB15" s="632"/>
      <c r="CC15" s="632"/>
      <c r="CD15" s="632"/>
      <c r="CE15" s="632"/>
    </row>
    <row s="2746" customFormat="1" customHeight="1" ht="15" hidden="1">
      <c r="A16" s="629"/>
      <c r="B16" s="630"/>
      <c r="C16" s="630"/>
      <c r="D16" s="2218"/>
      <c r="E16" s="2225" t="s">
        <v>553</v>
      </c>
      <c r="F16" s="2226"/>
      <c r="G16" s="2227"/>
      <c r="H16" s="2220" t="str">
        <f>IF(A14="","",INDEX(DIFFERENTIATION_UNMERGE_SYSTEM,MATCH(A14,DIFFERENTIATION_ID_DIFF,0)))</f>
        <v>без дифференциации</v>
      </c>
      <c r="I16" s="2220"/>
      <c r="J16" s="2220"/>
      <c r="K16" s="2220"/>
      <c r="L16" s="2220"/>
      <c r="M16" s="2220"/>
      <c r="N16" s="2220"/>
      <c r="O16" s="2220"/>
      <c r="P16" s="2220"/>
      <c r="Q16" s="2220"/>
      <c r="R16" s="2220"/>
      <c r="S16" s="725"/>
      <c r="T16" s="722"/>
      <c r="U16" s="631"/>
      <c r="V16" s="631"/>
      <c r="W16" s="632"/>
      <c r="X16" s="632"/>
      <c r="Y16" s="632"/>
      <c r="Z16" s="632"/>
      <c r="AA16" s="633"/>
      <c r="AB16" s="634"/>
      <c r="AC16" s="2224"/>
      <c r="AD16" s="635"/>
      <c r="AE16" s="636"/>
      <c r="AF16" s="636"/>
      <c r="AG16" s="637"/>
      <c r="AH16" s="638"/>
      <c r="AI16" s="631"/>
      <c r="AJ16" s="631"/>
      <c r="AK16" s="631"/>
      <c r="AL16" s="631"/>
      <c r="AM16" s="631"/>
      <c r="AN16" s="631"/>
      <c r="AO16" s="631"/>
      <c r="AP16" s="631"/>
      <c r="AQ16" s="631"/>
      <c r="AR16" s="631"/>
      <c r="AS16" s="631"/>
      <c r="AT16" s="631"/>
      <c r="AU16" s="631"/>
      <c r="AV16" s="631"/>
      <c r="AW16" s="631"/>
      <c r="AX16" s="631"/>
      <c r="AY16" s="631"/>
      <c r="AZ16" s="631"/>
      <c r="BA16" s="631"/>
      <c r="BB16" s="631"/>
      <c r="BC16" s="631"/>
      <c r="BD16" s="631"/>
      <c r="BE16" s="631"/>
      <c r="BF16" s="631"/>
      <c r="BG16" s="631"/>
      <c r="BH16" s="631"/>
      <c r="BI16" s="631"/>
      <c r="BJ16" s="631"/>
      <c r="BK16" s="631"/>
      <c r="BL16" s="631"/>
      <c r="BM16" s="631"/>
      <c r="BN16" s="631"/>
      <c r="BO16" s="631"/>
      <c r="BP16" s="631"/>
      <c r="BQ16" s="631"/>
      <c r="BR16" s="631"/>
      <c r="BS16" s="631"/>
      <c r="BT16" s="631"/>
      <c r="BU16" s="631"/>
      <c r="BV16" s="632"/>
      <c r="BW16" s="632"/>
      <c r="BX16" s="632"/>
      <c r="BY16" s="632"/>
      <c r="BZ16" s="632"/>
      <c r="CA16" s="632"/>
      <c r="CB16" s="632"/>
      <c r="CC16" s="632"/>
      <c r="CD16" s="632"/>
      <c r="CE16" s="632"/>
    </row>
    <row s="2746" customFormat="1" customHeight="1" ht="22.5" hidden="1">
      <c r="A17" s="639"/>
      <c r="B17" s="423"/>
      <c r="C17" s="418"/>
      <c r="D17" s="2218"/>
      <c r="E17" s="2222" t="s">
        <v>598</v>
      </c>
      <c r="F17" s="2222"/>
      <c r="G17" s="2222"/>
      <c r="H17" s="2222"/>
      <c r="I17" s="2222"/>
      <c r="J17" s="2222"/>
      <c r="K17" s="2222"/>
      <c r="L17" s="2222"/>
      <c r="M17" s="2222"/>
      <c r="N17" s="2222"/>
      <c r="O17" s="2222"/>
      <c r="P17" s="2222"/>
      <c r="Q17" s="564">
        <f>SUMIF(T18:T19,"i",Q18:Q19)</f>
        <v>0</v>
      </c>
      <c r="R17" s="1024"/>
      <c r="S17" s="903" t="s">
        <v>599</v>
      </c>
      <c r="T17" s="723" t="s">
        <v>600</v>
      </c>
      <c r="U17" s="2223">
        <v>1</v>
      </c>
      <c r="V17" s="2223" t="str">
        <f>INDEX(B_FHD_FLAG_INDEX_1,1,MATCH(A14,B_FHD_FLAG_DIFFERENTIATION,0))</f>
        <v>отсутствует</v>
      </c>
      <c r="W17" s="423"/>
      <c r="X17" s="423"/>
      <c r="Y17" s="423"/>
      <c r="Z17" s="423"/>
      <c r="AA17" s="517"/>
      <c r="AB17" s="423"/>
      <c r="AC17" s="2224"/>
      <c r="AD17" s="635"/>
      <c r="AE17" s="423"/>
      <c r="AF17" s="423"/>
      <c r="AG17" s="517"/>
      <c r="AH17" s="517"/>
      <c r="AI17" s="517"/>
      <c r="AJ17" s="517"/>
      <c r="AK17" s="517"/>
      <c r="AL17" s="517"/>
      <c r="AM17" s="517"/>
      <c r="AN17" s="517"/>
      <c r="AO17" s="517"/>
      <c r="AP17" s="517"/>
      <c r="AQ17" s="517"/>
      <c r="AR17" s="517"/>
      <c r="AS17" s="517"/>
      <c r="AT17" s="517"/>
      <c r="AU17" s="517"/>
      <c r="AV17" s="517"/>
      <c r="AW17" s="517"/>
      <c r="AX17" s="517"/>
      <c r="AY17" s="517"/>
      <c r="AZ17" s="517"/>
      <c r="BA17" s="517"/>
      <c r="BB17" s="517"/>
      <c r="BC17" s="517"/>
      <c r="BD17" s="517"/>
      <c r="BE17" s="517"/>
      <c r="BF17" s="517"/>
      <c r="BG17" s="517"/>
      <c r="BH17" s="517"/>
      <c r="BI17" s="517"/>
      <c r="BJ17" s="517"/>
      <c r="BK17" s="517"/>
      <c r="BL17" s="517"/>
      <c r="BM17" s="517"/>
      <c r="BN17" s="517"/>
      <c r="BO17" s="517"/>
      <c r="BP17" s="517"/>
      <c r="BQ17" s="517"/>
      <c r="BR17" s="517"/>
      <c r="BS17" s="517"/>
      <c r="BT17" s="517"/>
      <c r="BU17" s="517"/>
      <c r="BV17" s="423"/>
      <c r="BW17" s="423"/>
      <c r="BX17" s="423"/>
      <c r="BY17" s="423"/>
      <c r="BZ17" s="423"/>
      <c r="CA17" s="423"/>
      <c r="CB17" s="423"/>
      <c r="CC17" s="423"/>
      <c r="CD17" s="423"/>
      <c r="CE17" s="423"/>
    </row>
    <row s="2746" customFormat="1" customHeight="1" ht="11.25" hidden="1">
      <c r="A18" s="640"/>
      <c r="B18" s="517"/>
      <c r="C18" s="517"/>
      <c r="D18" s="2218"/>
      <c r="E18" s="641"/>
      <c r="F18" s="641">
        <v>0</v>
      </c>
      <c r="G18" s="641"/>
      <c r="H18" s="641"/>
      <c r="I18" s="641"/>
      <c r="J18" s="641"/>
      <c r="K18" s="641"/>
      <c r="L18" s="641"/>
      <c r="M18" s="641"/>
      <c r="N18" s="641"/>
      <c r="O18" s="641"/>
      <c r="P18" s="641"/>
      <c r="Q18" s="641"/>
      <c r="R18" s="641"/>
      <c r="S18" s="642"/>
      <c r="T18" s="724"/>
      <c r="U18" s="2223"/>
      <c r="V18" s="2223"/>
      <c r="W18" s="517"/>
      <c r="X18" s="517"/>
      <c r="Y18" s="517"/>
      <c r="Z18" s="517"/>
      <c r="AA18" s="517"/>
      <c r="AB18" s="423"/>
      <c r="AC18" s="2224"/>
      <c r="AD18" s="635"/>
      <c r="AE18" s="423"/>
      <c r="AF18" s="423"/>
      <c r="AG18" s="517"/>
      <c r="AH18" s="517"/>
      <c r="AI18" s="517"/>
      <c r="AJ18" s="517"/>
      <c r="AK18" s="517"/>
      <c r="AL18" s="517"/>
      <c r="AM18" s="517"/>
      <c r="AN18" s="517"/>
      <c r="AO18" s="517"/>
      <c r="AP18" s="517"/>
      <c r="AQ18" s="517"/>
      <c r="AR18" s="517"/>
      <c r="AS18" s="517"/>
      <c r="AT18" s="517"/>
      <c r="AU18" s="517"/>
      <c r="AV18" s="517"/>
      <c r="AW18" s="517"/>
      <c r="AX18" s="517"/>
      <c r="AY18" s="517"/>
      <c r="AZ18" s="517"/>
      <c r="BA18" s="517"/>
      <c r="BB18" s="517"/>
      <c r="BC18" s="517"/>
      <c r="BD18" s="517"/>
      <c r="BE18" s="517"/>
      <c r="BF18" s="517"/>
      <c r="BG18" s="517"/>
      <c r="BH18" s="517"/>
      <c r="BI18" s="517"/>
      <c r="BJ18" s="517"/>
      <c r="BK18" s="517"/>
      <c r="BL18" s="517"/>
      <c r="BM18" s="517"/>
      <c r="BN18" s="517"/>
      <c r="BO18" s="517"/>
      <c r="BP18" s="517"/>
      <c r="BQ18" s="517"/>
      <c r="BR18" s="517"/>
      <c r="BS18" s="517"/>
      <c r="BT18" s="517"/>
      <c r="BU18" s="517"/>
      <c r="BV18" s="517"/>
      <c r="BW18" s="517"/>
      <c r="BX18" s="517"/>
      <c r="BY18" s="517"/>
      <c r="BZ18" s="517"/>
      <c r="CA18" s="517"/>
      <c r="CB18" s="517"/>
      <c r="CC18" s="517"/>
      <c r="CD18" s="517"/>
      <c r="CE18" s="517"/>
    </row>
    <row s="2746" customFormat="1" customHeight="1" ht="11.25" hidden="1">
      <c r="A19" s="639"/>
      <c r="B19" s="423"/>
      <c r="C19" s="418"/>
      <c r="D19" s="2218"/>
      <c r="E19" s="655" t="s">
        <v>24</v>
      </c>
      <c r="F19" s="656" t="s">
        <v>24</v>
      </c>
      <c r="G19" s="656" t="s">
        <v>24</v>
      </c>
      <c r="H19" s="657" t="s">
        <v>24</v>
      </c>
      <c r="I19" s="657"/>
      <c r="J19" s="657"/>
      <c r="K19" s="657"/>
      <c r="L19" s="657"/>
      <c r="M19" s="657"/>
      <c r="N19" s="657"/>
      <c r="O19" s="657"/>
      <c r="P19" s="657"/>
      <c r="Q19" s="657"/>
      <c r="R19" s="658"/>
      <c r="S19" s="1027"/>
      <c r="T19" s="724"/>
      <c r="U19" s="2223"/>
      <c r="V19" s="2223"/>
      <c r="W19" s="423"/>
      <c r="X19" s="423"/>
      <c r="Y19" s="423"/>
      <c r="Z19" s="423"/>
      <c r="AA19" s="517"/>
      <c r="AB19" s="423"/>
      <c r="AC19" s="2224"/>
      <c r="AD19" s="635"/>
      <c r="AE19" s="423"/>
      <c r="AF19" s="423"/>
      <c r="AG19" s="517"/>
      <c r="AH19" s="517"/>
      <c r="AI19" s="517"/>
      <c r="AJ19" s="517"/>
      <c r="AK19" s="517"/>
      <c r="AL19" s="517"/>
      <c r="AM19" s="517"/>
      <c r="AN19" s="517"/>
      <c r="AO19" s="517"/>
      <c r="AP19" s="517"/>
      <c r="AQ19" s="517"/>
      <c r="AR19" s="517"/>
      <c r="AS19" s="517"/>
      <c r="AT19" s="517"/>
      <c r="AU19" s="517"/>
      <c r="AV19" s="517"/>
      <c r="AW19" s="517"/>
      <c r="AX19" s="517"/>
      <c r="AY19" s="517"/>
      <c r="AZ19" s="517"/>
      <c r="BA19" s="517"/>
      <c r="BB19" s="517"/>
      <c r="BC19" s="517"/>
      <c r="BD19" s="517"/>
      <c r="BE19" s="517"/>
      <c r="BF19" s="517"/>
      <c r="BG19" s="517"/>
      <c r="BH19" s="517"/>
      <c r="BI19" s="517"/>
      <c r="BJ19" s="517"/>
      <c r="BK19" s="517"/>
      <c r="BL19" s="517"/>
      <c r="BM19" s="517"/>
      <c r="BN19" s="517"/>
      <c r="BO19" s="517"/>
      <c r="BP19" s="517"/>
      <c r="BQ19" s="517"/>
      <c r="BR19" s="517"/>
      <c r="BS19" s="517"/>
      <c r="BT19" s="517"/>
      <c r="BU19" s="517"/>
      <c r="BV19" s="423"/>
      <c r="BW19" s="423"/>
      <c r="BX19" s="423"/>
      <c r="BY19" s="423"/>
      <c r="BZ19" s="423"/>
      <c r="CA19" s="423"/>
      <c r="CB19" s="423"/>
      <c r="CC19" s="423"/>
      <c r="CD19" s="423"/>
      <c r="CE19" s="423"/>
    </row>
    <row s="2746" customFormat="1" customHeight="1" ht="22.5" hidden="1">
      <c r="A20" s="639"/>
      <c r="B20" s="423"/>
      <c r="C20" s="418"/>
      <c r="D20" s="2218"/>
      <c r="E20" s="2222" t="s">
        <v>601</v>
      </c>
      <c r="F20" s="2222"/>
      <c r="G20" s="2222"/>
      <c r="H20" s="2222"/>
      <c r="I20" s="2222"/>
      <c r="J20" s="2222"/>
      <c r="K20" s="2222"/>
      <c r="L20" s="2222"/>
      <c r="M20" s="2222"/>
      <c r="N20" s="2222"/>
      <c r="O20" s="2222"/>
      <c r="P20" s="2222"/>
      <c r="Q20" s="564">
        <f>SUMIF(T21:T22,"i",Q21:Q22)</f>
        <v>0</v>
      </c>
      <c r="R20" s="1024"/>
      <c r="S20" s="715" t="s">
        <v>602</v>
      </c>
      <c r="T20" s="723" t="s">
        <v>600</v>
      </c>
      <c r="U20" s="2223">
        <v>2</v>
      </c>
      <c r="V20" s="2223" t="str">
        <f>INDEX(B_FHD_FLAG_INDEX_2,1,MATCH(A14,B_FHD_FLAG_DIFFERENTIATION,0))</f>
        <v>отсутствует</v>
      </c>
      <c r="W20" s="423"/>
      <c r="X20" s="423"/>
      <c r="Y20" s="423"/>
      <c r="Z20" s="423"/>
      <c r="AA20" s="517"/>
      <c r="AB20" s="423"/>
      <c r="AC20" s="712"/>
      <c r="AD20" s="635"/>
      <c r="AE20" s="423"/>
      <c r="AF20" s="423"/>
      <c r="AG20" s="517"/>
      <c r="AH20" s="517"/>
      <c r="AI20" s="517"/>
      <c r="AJ20" s="517"/>
      <c r="AK20" s="517"/>
      <c r="AL20" s="517"/>
      <c r="AM20" s="517"/>
      <c r="AN20" s="517"/>
      <c r="AO20" s="517"/>
      <c r="AP20" s="517"/>
      <c r="AQ20" s="517"/>
      <c r="AR20" s="517"/>
      <c r="AS20" s="517"/>
      <c r="AT20" s="517"/>
      <c r="AU20" s="517"/>
      <c r="AV20" s="517"/>
      <c r="AW20" s="517"/>
      <c r="AX20" s="517"/>
      <c r="AY20" s="517"/>
      <c r="AZ20" s="517"/>
      <c r="BA20" s="517"/>
      <c r="BB20" s="517"/>
      <c r="BC20" s="517"/>
      <c r="BD20" s="517"/>
      <c r="BE20" s="517"/>
      <c r="BF20" s="517"/>
      <c r="BG20" s="517"/>
      <c r="BH20" s="517"/>
      <c r="BI20" s="517"/>
      <c r="BJ20" s="517"/>
      <c r="BK20" s="517"/>
      <c r="BL20" s="517"/>
      <c r="BM20" s="517"/>
      <c r="BN20" s="517"/>
      <c r="BO20" s="517"/>
      <c r="BP20" s="517"/>
      <c r="BQ20" s="517"/>
      <c r="BR20" s="517"/>
      <c r="BS20" s="517"/>
      <c r="BT20" s="517"/>
      <c r="BU20" s="517"/>
      <c r="BV20" s="423"/>
      <c r="BW20" s="423"/>
      <c r="BX20" s="423"/>
      <c r="BY20" s="423"/>
      <c r="BZ20" s="423"/>
      <c r="CA20" s="423"/>
      <c r="CB20" s="423"/>
      <c r="CC20" s="423"/>
      <c r="CD20" s="423"/>
      <c r="CE20" s="423"/>
    </row>
    <row s="2746" customFormat="1" customHeight="1" ht="11.25" hidden="1">
      <c r="A21" s="714"/>
      <c r="B21" s="517"/>
      <c r="C21" s="517"/>
      <c r="D21" s="2218"/>
      <c r="E21" s="641"/>
      <c r="F21" s="641">
        <v>0</v>
      </c>
      <c r="G21" s="641"/>
      <c r="H21" s="641"/>
      <c r="I21" s="641"/>
      <c r="J21" s="641"/>
      <c r="K21" s="641"/>
      <c r="L21" s="641"/>
      <c r="M21" s="641"/>
      <c r="N21" s="641"/>
      <c r="O21" s="641"/>
      <c r="P21" s="641"/>
      <c r="Q21" s="641"/>
      <c r="R21" s="641"/>
      <c r="S21" s="642"/>
      <c r="T21" s="724"/>
      <c r="U21" s="2223"/>
      <c r="V21" s="2223"/>
      <c r="W21" s="517"/>
      <c r="X21" s="517"/>
      <c r="Y21" s="517"/>
      <c r="Z21" s="517"/>
      <c r="AA21" s="517"/>
      <c r="AB21" s="423"/>
      <c r="AC21" s="712"/>
      <c r="AD21" s="635"/>
      <c r="AE21" s="423"/>
      <c r="AF21" s="423"/>
      <c r="AG21" s="517"/>
      <c r="AH21" s="517"/>
      <c r="AI21" s="517"/>
      <c r="AJ21" s="517"/>
      <c r="AK21" s="517"/>
      <c r="AL21" s="517"/>
      <c r="AM21" s="517"/>
      <c r="AN21" s="517"/>
      <c r="AO21" s="517"/>
      <c r="AP21" s="517"/>
      <c r="AQ21" s="517"/>
      <c r="AR21" s="517"/>
      <c r="AS21" s="517"/>
      <c r="AT21" s="517"/>
      <c r="AU21" s="517"/>
      <c r="AV21" s="517"/>
      <c r="AW21" s="517"/>
      <c r="AX21" s="517"/>
      <c r="AY21" s="517"/>
      <c r="AZ21" s="517"/>
      <c r="BA21" s="517"/>
      <c r="BB21" s="517"/>
      <c r="BC21" s="517"/>
      <c r="BD21" s="517"/>
      <c r="BE21" s="517"/>
      <c r="BF21" s="517"/>
      <c r="BG21" s="517"/>
      <c r="BH21" s="517"/>
      <c r="BI21" s="517"/>
      <c r="BJ21" s="517"/>
      <c r="BK21" s="517"/>
      <c r="BL21" s="517"/>
      <c r="BM21" s="517"/>
      <c r="BN21" s="517"/>
      <c r="BO21" s="517"/>
      <c r="BP21" s="517"/>
      <c r="BQ21" s="517"/>
      <c r="BR21" s="517"/>
      <c r="BS21" s="517"/>
      <c r="BT21" s="517"/>
      <c r="BU21" s="517"/>
      <c r="BV21" s="517"/>
      <c r="BW21" s="517"/>
      <c r="BX21" s="517"/>
      <c r="BY21" s="517"/>
      <c r="BZ21" s="517"/>
      <c r="CA21" s="517"/>
      <c r="CB21" s="517"/>
      <c r="CC21" s="517"/>
      <c r="CD21" s="517"/>
      <c r="CE21" s="517"/>
    </row>
    <row s="2746" customFormat="1" customHeight="1" ht="11.25" hidden="1">
      <c r="A22" s="639"/>
      <c r="B22" s="423"/>
      <c r="C22" s="418"/>
      <c r="D22" s="2219"/>
      <c r="E22" s="655" t="s">
        <v>24</v>
      </c>
      <c r="F22" s="656" t="s">
        <v>24</v>
      </c>
      <c r="G22" s="656" t="s">
        <v>24</v>
      </c>
      <c r="H22" s="657" t="s">
        <v>24</v>
      </c>
      <c r="I22" s="657"/>
      <c r="J22" s="657"/>
      <c r="K22" s="657"/>
      <c r="L22" s="657"/>
      <c r="M22" s="657"/>
      <c r="N22" s="657"/>
      <c r="O22" s="657"/>
      <c r="P22" s="657"/>
      <c r="Q22" s="657"/>
      <c r="R22" s="658"/>
      <c r="S22" s="1027"/>
      <c r="T22" s="724"/>
      <c r="U22" s="2223"/>
      <c r="V22" s="2223"/>
      <c r="W22" s="423"/>
      <c r="X22" s="423"/>
      <c r="Y22" s="423"/>
      <c r="Z22" s="423"/>
      <c r="AA22" s="517"/>
      <c r="AB22" s="423"/>
      <c r="AC22" s="712"/>
      <c r="AD22" s="635"/>
      <c r="AE22" s="423"/>
      <c r="AF22" s="423"/>
      <c r="AG22" s="517"/>
      <c r="AH22" s="517"/>
      <c r="AI22" s="517"/>
      <c r="AJ22" s="517"/>
      <c r="AK22" s="517"/>
      <c r="AL22" s="517"/>
      <c r="AM22" s="517"/>
      <c r="AN22" s="517"/>
      <c r="AO22" s="517"/>
      <c r="AP22" s="517"/>
      <c r="AQ22" s="517"/>
      <c r="AR22" s="517"/>
      <c r="AS22" s="517"/>
      <c r="AT22" s="517"/>
      <c r="AU22" s="517"/>
      <c r="AV22" s="517"/>
      <c r="AW22" s="517"/>
      <c r="AX22" s="517"/>
      <c r="AY22" s="517"/>
      <c r="AZ22" s="517"/>
      <c r="BA22" s="517"/>
      <c r="BB22" s="517"/>
      <c r="BC22" s="517"/>
      <c r="BD22" s="517"/>
      <c r="BE22" s="517"/>
      <c r="BF22" s="517"/>
      <c r="BG22" s="517"/>
      <c r="BH22" s="517"/>
      <c r="BI22" s="517"/>
      <c r="BJ22" s="517"/>
      <c r="BK22" s="517"/>
      <c r="BL22" s="517"/>
      <c r="BM22" s="517"/>
      <c r="BN22" s="517"/>
      <c r="BO22" s="517"/>
      <c r="BP22" s="517"/>
      <c r="BQ22" s="517"/>
      <c r="BR22" s="517"/>
      <c r="BS22" s="517"/>
      <c r="BT22" s="517"/>
      <c r="BU22" s="517"/>
      <c r="BV22" s="423"/>
      <c r="BW22" s="423"/>
      <c r="BX22" s="423"/>
      <c r="BY22" s="423"/>
      <c r="BZ22" s="423"/>
      <c r="CA22" s="423"/>
      <c r="CB22" s="423"/>
      <c r="CC22" s="423"/>
      <c r="CD22" s="423"/>
      <c r="CE22" s="423"/>
    </row>
    <row customHeight="1" ht="18.75">
      <c r="D23" s="1054"/>
      <c r="E23" s="1054"/>
      <c r="F23" s="1054"/>
      <c r="G23" s="1054"/>
      <c r="H23" s="1054"/>
      <c r="I23" s="1054"/>
      <c r="J23" s="1054"/>
      <c r="K23" s="1054"/>
      <c r="L23" s="1054"/>
      <c r="M23" s="1054"/>
      <c r="N23" s="1054"/>
      <c r="O23" s="1054"/>
      <c r="P23" s="1054"/>
      <c r="Q23" s="1054"/>
      <c r="R23" s="1054"/>
      <c r="S23" s="1054"/>
      <c r="T23" s="330"/>
    </row>
    <row customHeight="1" ht="11.25">
      <c r="D24" s="515"/>
    </row>
    <row customHeight="1" ht="11.25">
      <c r="D25" s="660"/>
      <c r="E25" s="660"/>
      <c r="F25" s="660"/>
      <c r="G25" s="661"/>
    </row>
    <row r="27" customHeight="1" ht="11.25">
      <c r="D27" s="662"/>
      <c r="E27" s="2221"/>
      <c r="F27" s="2221"/>
      <c r="G27" s="2221"/>
      <c r="H27" s="2221"/>
      <c r="I27" s="2221"/>
      <c r="J27" s="2221"/>
      <c r="K27" s="2221"/>
      <c r="L27" s="2221"/>
      <c r="M27" s="2221"/>
      <c r="N27" s="2221"/>
      <c r="O27" s="2221"/>
      <c r="P27" s="2221"/>
      <c r="Q27" s="2221"/>
      <c r="R27" s="2221"/>
    </row>
    <row customHeight="1" ht="11.25">
      <c r="F28" s="764"/>
      <c r="G28" s="764"/>
    </row>
  </sheetData>
  <sheetProtection formatColumns="0" formatRows="0" autoFilter="0" sort="0" insertRows="0" insertColumns="1" deleteRows="0" deleteColumns="0"/>
  <mergeCells count="22">
    <mergeCell ref="U20:U22"/>
    <mergeCell ref="V20:V22"/>
    <mergeCell ref="AC14:AC19"/>
    <mergeCell ref="E17:P17"/>
    <mergeCell ref="U17:U19"/>
    <mergeCell ref="V17:V19"/>
    <mergeCell ref="E14:G14"/>
    <mergeCell ref="E15:G15"/>
    <mergeCell ref="E16:G16"/>
    <mergeCell ref="D14:D22"/>
    <mergeCell ref="H14:R14"/>
    <mergeCell ref="H15:R15"/>
    <mergeCell ref="H16:R16"/>
    <mergeCell ref="E27:R27"/>
    <mergeCell ref="E20:P20"/>
    <mergeCell ref="E5:K5"/>
    <mergeCell ref="E6:K6"/>
    <mergeCell ref="E9:R9"/>
    <mergeCell ref="S9:S10"/>
    <mergeCell ref="E10:F10"/>
    <mergeCell ref="H10:I10"/>
    <mergeCell ref="L10:M10"/>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11C0E39-E66B-860A-B9E6-9D58B54B1FAE}" mc:Ignorable="x14ac xr xr2 xr3">
  <sheetPr>
    <tabColor theme="9" tint="-0.25"/>
  </sheetPr>
  <dimension ref="A1:AE218"/>
  <sheetViews>
    <sheetView topLeftCell="A1" showGridLines="0" zoomScale="90" workbookViewId="0">
      <selection activeCell="A1" sqref="A1"/>
    </sheetView>
  </sheetViews>
  <sheetFormatPr defaultColWidth="9.140625" customHeight="1" defaultRowHeight="11.25"/>
  <cols>
    <col min="1" max="1" style="3851" width="10.7109375" hidden="1" customWidth="1"/>
    <col min="2" max="2" style="3292" width="16.8515625" hidden="1" customWidth="1"/>
    <col min="3" max="3" style="3842" width="5.57421875" hidden="1" customWidth="1"/>
    <col min="4" max="4" style="3954" width="3.7109375" customWidth="1"/>
    <col min="5" max="5" style="2948" width="7.7109375" customWidth="1"/>
    <col min="6" max="6" style="2948" width="56.140625" customWidth="1"/>
    <col min="7" max="7" style="2948" width="10.421875" customWidth="1"/>
    <col min="8" max="8" style="2948" width="40.7109375" hidden="1" customWidth="1"/>
    <col min="9" max="9" style="2948" width="40.7109375" customWidth="1"/>
    <col min="10" max="10" style="2948" width="102.8515625" customWidth="1"/>
    <col min="11" max="11" style="3292" width="9.7109375" customWidth="1"/>
    <col min="12" max="12" style="3842" width="5.28125" customWidth="1"/>
    <col min="13" max="13" style="3842" width="3.7109375" customWidth="1"/>
    <col min="14" max="17" style="3292" width="3.7109375" customWidth="1"/>
    <col min="18" max="18" style="3842" width="10.57421875" customWidth="1"/>
    <col min="19" max="19" style="3292" width="34.7109375" customWidth="1"/>
    <col min="20" max="20" style="3292" width="9.421875" customWidth="1"/>
    <col min="21" max="21" style="3855" width="9.140625"/>
    <col min="22" max="26" style="3292" width="9.140625"/>
    <col min="27" max="31" style="2947" width="9.140625"/>
  </cols>
  <sheetData>
    <row s="3292" customFormat="1" customHeight="1" ht="11.25" hidden="1">
      <c r="A1" s="994"/>
      <c r="C1" s="1676"/>
      <c r="D1" s="543"/>
      <c r="H1" s="1168">
        <v>4</v>
      </c>
      <c r="I1" s="1168">
        <v>4</v>
      </c>
      <c r="L1" s="1676"/>
      <c r="M1" s="1676"/>
      <c r="R1" s="1676"/>
    </row>
    <row s="3292" customFormat="1" customHeight="1" ht="22.5" hidden="1">
      <c r="A2" s="994"/>
      <c r="C2" s="1676"/>
      <c r="D2" s="544"/>
      <c r="E2" s="1677"/>
      <c r="F2" s="546"/>
      <c r="G2" s="1679" t="s">
        <v>540</v>
      </c>
      <c r="H2" s="547"/>
      <c r="I2" s="547"/>
      <c r="J2" s="548" t="s">
        <v>603</v>
      </c>
      <c r="K2" s="549"/>
      <c r="L2" s="1676"/>
      <c r="M2" s="1676"/>
      <c r="R2" s="1676"/>
      <c r="U2" s="550"/>
      <c r="AA2" s="1672"/>
      <c r="AB2" s="1672"/>
      <c r="AC2" s="1672"/>
      <c r="AD2" s="1672"/>
      <c r="AE2" s="1672"/>
    </row>
    <row customHeight="1" ht="11.25" hidden="1"/>
    <row s="2947" customFormat="1" customHeight="1" ht="11.25" hidden="1">
      <c r="A4" s="994"/>
      <c r="B4" s="1168"/>
      <c r="C4" s="1676"/>
      <c r="D4" s="360"/>
      <c r="J4" s="1672">
        <v>4</v>
      </c>
      <c r="K4" s="1168"/>
      <c r="L4" s="1676"/>
      <c r="M4" s="1676"/>
      <c r="N4" s="1168"/>
      <c r="O4" s="1168"/>
      <c r="P4" s="1168"/>
      <c r="Q4" s="1168"/>
      <c r="R4" s="1676"/>
      <c r="S4" s="1168"/>
      <c r="T4" s="1168"/>
      <c r="U4" s="550"/>
      <c r="V4" s="1168"/>
      <c r="W4" s="1168"/>
      <c r="X4" s="1168"/>
      <c r="Y4" s="1168"/>
      <c r="Z4" s="1168"/>
    </row>
    <row r="6" customHeight="1" ht="22.5">
      <c r="E6" s="2151" t="s">
        <v>604</v>
      </c>
      <c r="F6" s="2151"/>
      <c r="G6" s="2151"/>
      <c r="H6" s="2151"/>
      <c r="I6" s="2151"/>
      <c r="J6" s="562"/>
    </row>
    <row customHeight="1" ht="24">
      <c r="E7" s="2141" t="str">
        <f>IF(org=0,"Не определено",org)</f>
        <v>ЗАО "Байкалэнерго"</v>
      </c>
      <c r="F7" s="2141"/>
      <c r="G7" s="2141"/>
      <c r="H7" s="2141"/>
      <c r="I7" s="2141"/>
    </row>
    <row customHeight="1" ht="11.25">
      <c r="E8" s="1143"/>
      <c r="F8" s="1143"/>
      <c r="G8" s="1143"/>
      <c r="H8" s="1143"/>
      <c r="I8" s="1143"/>
    </row>
    <row s="3842" customFormat="1" customHeight="1" ht="0.75">
      <c r="A9" s="1175"/>
      <c r="D9" s="1682"/>
      <c r="H9" s="895"/>
      <c r="I9" s="895" t="s">
        <v>118</v>
      </c>
    </row>
    <row customHeight="1" ht="11.25">
      <c r="E10" s="717"/>
      <c r="F10" s="2213" t="s">
        <v>106</v>
      </c>
      <c r="G10" s="2214"/>
      <c r="H10" s="1592" t="str">
        <f>IF(H9="","",INDEX(DIFFERENTIATION_UNMERGE_VD,MATCH(H9,DIFFERENTIATION_ID_DIFF,0)))</f>
        <v/>
      </c>
      <c r="I10" s="1592">
        <f>IF(I9="","",INDEX(DIFFERENTIATION_UNMERGE_VD,MATCH(I9,DIFFERENTIATION_ID_DIFF,0)))</f>
        <v>0</v>
      </c>
      <c r="J10" s="1971"/>
    </row>
    <row customHeight="1" ht="11.25">
      <c r="E11" s="717"/>
      <c r="F11" s="2213" t="s">
        <v>552</v>
      </c>
      <c r="G11" s="2214"/>
      <c r="H11" s="1592" t="str">
        <f>IF(H9="","",INDEX(DIFFERENTIATION_UNMERGE_AREA,MATCH(H9,DIFFERENTIATION_ID_DIFF,0)))</f>
        <v/>
      </c>
      <c r="I11" s="1592" t="str">
        <f>IF(I9="","",INDEX(DIFFERENTIATION_UNMERGE_AREA,MATCH(I9,DIFFERENTIATION_ID_DIFF,0)))</f>
        <v/>
      </c>
      <c r="J11" s="1971"/>
    </row>
    <row customHeight="1" ht="11.25" hidden="1">
      <c r="E12" s="1702"/>
      <c r="F12" s="2228" t="s">
        <v>553</v>
      </c>
      <c r="G12" s="2229"/>
      <c r="H12" s="1703" t="str">
        <f>IF(H9="","",INDEX(DIFFERENTIATION_UNMERGE_SYSTEM,MATCH(H9,DIFFERENTIATION_ID_DIFF,0)))</f>
        <v/>
      </c>
      <c r="I12" s="1703" t="str">
        <f>IF(I9="","",INDEX(DIFFERENTIATION_UNMERGE_SYSTEM,MATCH(I9,DIFFERENTIATION_ID_DIFF,0)))</f>
        <v>без дифференциации</v>
      </c>
      <c r="J12" s="1971"/>
    </row>
    <row customHeight="1" ht="11.25">
      <c r="E13" s="2215" t="s">
        <v>293</v>
      </c>
      <c r="F13" s="2216"/>
      <c r="G13" s="2216"/>
      <c r="H13" s="1591"/>
      <c r="I13" s="1591"/>
      <c r="J13" s="1971"/>
    </row>
    <row customHeight="1" ht="22.5">
      <c r="E14" s="1679" t="s">
        <v>88</v>
      </c>
      <c r="F14" s="1674" t="s">
        <v>295</v>
      </c>
      <c r="G14" s="1674" t="s">
        <v>554</v>
      </c>
      <c r="H14" s="1674" t="s">
        <v>296</v>
      </c>
      <c r="I14" s="1674" t="s">
        <v>296</v>
      </c>
      <c r="J14" s="1971"/>
    </row>
    <row customHeight="1" ht="18.75">
      <c r="D15" s="1678"/>
      <c r="E15" s="1670" t="s">
        <v>110</v>
      </c>
      <c r="F15" s="713" t="s">
        <v>605</v>
      </c>
      <c r="G15" s="1686" t="s">
        <v>540</v>
      </c>
      <c r="H15" s="563"/>
      <c r="I15" s="563"/>
      <c r="J15" s="277" t="s">
        <v>606</v>
      </c>
      <c r="K15" s="549" t="s">
        <v>607</v>
      </c>
    </row>
    <row customHeight="1" ht="33.75">
      <c r="D16" s="1678"/>
      <c r="E16" s="1670" t="s">
        <v>111</v>
      </c>
      <c r="F16" s="713" t="s">
        <v>608</v>
      </c>
      <c r="G16" s="1686" t="s">
        <v>540</v>
      </c>
      <c r="H16" s="564">
        <f>SUM(H17,H20:H32)</f>
        <v>0</v>
      </c>
      <c r="I16" s="564">
        <f>SUM(I17,I20:I32)</f>
        <v>0</v>
      </c>
      <c r="J16" s="277" t="s">
        <v>609</v>
      </c>
      <c r="K16" s="549" t="s">
        <v>607</v>
      </c>
    </row>
    <row customHeight="1" ht="18.75">
      <c r="D17" s="1678"/>
      <c r="E17" s="1704" t="s">
        <v>610</v>
      </c>
      <c r="F17" s="961" t="s">
        <v>611</v>
      </c>
      <c r="G17" s="1683" t="s">
        <v>540</v>
      </c>
      <c r="H17" s="563"/>
      <c r="I17" s="563"/>
      <c r="J17" s="277" t="s">
        <v>612</v>
      </c>
      <c r="K17" s="549"/>
    </row>
    <row customHeight="1" ht="22.5">
      <c r="D18" s="1678"/>
      <c r="E18" s="1704" t="s">
        <v>613</v>
      </c>
      <c r="F18" s="1690" t="s">
        <v>614</v>
      </c>
      <c r="G18" s="1683" t="s">
        <v>540</v>
      </c>
      <c r="H18" s="563"/>
      <c r="I18" s="563"/>
      <c r="J18" s="277" t="s">
        <v>615</v>
      </c>
      <c r="K18" s="549"/>
    </row>
    <row customHeight="1" ht="33.75">
      <c r="D19" s="1678"/>
      <c r="E19" s="1704" t="s">
        <v>616</v>
      </c>
      <c r="F19" s="1690" t="s">
        <v>617</v>
      </c>
      <c r="G19" s="1683" t="s">
        <v>540</v>
      </c>
      <c r="H19" s="563"/>
      <c r="I19" s="563"/>
      <c r="J19" s="277"/>
      <c r="K19" s="549"/>
    </row>
    <row customHeight="1" ht="18.75">
      <c r="D20" s="1678"/>
      <c r="E20" s="1704" t="s">
        <v>300</v>
      </c>
      <c r="F20" s="961" t="s">
        <v>618</v>
      </c>
      <c r="G20" s="1683" t="s">
        <v>540</v>
      </c>
      <c r="H20" s="563"/>
      <c r="I20" s="563"/>
      <c r="J20" s="277" t="s">
        <v>619</v>
      </c>
      <c r="K20" s="549"/>
    </row>
    <row customHeight="1" ht="18.75">
      <c r="D21" s="1678"/>
      <c r="E21" s="1704" t="s">
        <v>620</v>
      </c>
      <c r="F21" s="1690" t="s">
        <v>621</v>
      </c>
      <c r="G21" s="1683" t="s">
        <v>540</v>
      </c>
      <c r="H21" s="563"/>
      <c r="I21" s="563"/>
      <c r="J21" s="277"/>
      <c r="K21" s="549"/>
    </row>
    <row customHeight="1" ht="18.75">
      <c r="D22" s="1678"/>
      <c r="E22" s="1704" t="s">
        <v>622</v>
      </c>
      <c r="F22" s="1690" t="s">
        <v>623</v>
      </c>
      <c r="G22" s="1683" t="s">
        <v>540</v>
      </c>
      <c r="H22" s="563"/>
      <c r="I22" s="563"/>
      <c r="J22" s="277"/>
      <c r="K22" s="549"/>
    </row>
    <row customHeight="1" ht="22.5">
      <c r="D23" s="1678"/>
      <c r="E23" s="1704" t="s">
        <v>303</v>
      </c>
      <c r="F23" s="961" t="s">
        <v>624</v>
      </c>
      <c r="G23" s="1683" t="s">
        <v>540</v>
      </c>
      <c r="H23" s="563"/>
      <c r="I23" s="563"/>
      <c r="J23" s="277" t="s">
        <v>625</v>
      </c>
      <c r="K23" s="549"/>
    </row>
    <row customHeight="1" ht="18.75">
      <c r="D24" s="1678"/>
      <c r="E24" s="1704" t="s">
        <v>626</v>
      </c>
      <c r="F24" s="1690" t="s">
        <v>627</v>
      </c>
      <c r="G24" s="1683" t="s">
        <v>540</v>
      </c>
      <c r="H24" s="563"/>
      <c r="I24" s="563"/>
      <c r="J24" s="277"/>
      <c r="K24" s="549"/>
    </row>
    <row customHeight="1" ht="33.75">
      <c r="D25" s="1678"/>
      <c r="E25" s="1704" t="s">
        <v>628</v>
      </c>
      <c r="F25" s="1690" t="s">
        <v>629</v>
      </c>
      <c r="G25" s="1683" t="s">
        <v>540</v>
      </c>
      <c r="H25" s="563"/>
      <c r="I25" s="563"/>
      <c r="J25" s="277"/>
      <c r="K25" s="549"/>
    </row>
    <row customHeight="1" ht="22.5">
      <c r="D26" s="1678"/>
      <c r="E26" s="1704" t="s">
        <v>630</v>
      </c>
      <c r="F26" s="961" t="s">
        <v>631</v>
      </c>
      <c r="G26" s="1683" t="s">
        <v>540</v>
      </c>
      <c r="H26" s="563"/>
      <c r="I26" s="563"/>
      <c r="J26" s="277" t="s">
        <v>632</v>
      </c>
      <c r="K26" s="549"/>
    </row>
    <row customHeight="1" ht="18.75">
      <c r="D27" s="1678"/>
      <c r="E27" s="1715" t="s">
        <v>633</v>
      </c>
      <c r="F27" s="1690" t="s">
        <v>634</v>
      </c>
      <c r="G27" s="1694" t="s">
        <v>540</v>
      </c>
      <c r="H27" s="1716"/>
      <c r="I27" s="1716"/>
      <c r="J27" s="277"/>
      <c r="K27" s="549"/>
    </row>
    <row customHeight="1" ht="18.75">
      <c r="D28" s="1678"/>
      <c r="E28" s="1715" t="s">
        <v>635</v>
      </c>
      <c r="F28" s="1690" t="s">
        <v>636</v>
      </c>
      <c r="G28" s="1694" t="s">
        <v>540</v>
      </c>
      <c r="H28" s="1716"/>
      <c r="I28" s="1716"/>
      <c r="J28" s="277"/>
      <c r="K28" s="549"/>
    </row>
    <row customHeight="1" ht="18.75">
      <c r="D29" s="1678"/>
      <c r="E29" s="1715" t="s">
        <v>637</v>
      </c>
      <c r="F29" s="961" t="s">
        <v>638</v>
      </c>
      <c r="G29" s="1694" t="s">
        <v>540</v>
      </c>
      <c r="H29" s="1716"/>
      <c r="I29" s="1716"/>
      <c r="J29" s="277"/>
      <c r="K29" s="549"/>
    </row>
    <row customHeight="1" ht="18.75">
      <c r="D30" s="1678"/>
      <c r="E30" s="1715" t="s">
        <v>639</v>
      </c>
      <c r="F30" s="961" t="s">
        <v>640</v>
      </c>
      <c r="G30" s="1694" t="s">
        <v>540</v>
      </c>
      <c r="H30" s="1716"/>
      <c r="I30" s="1716"/>
      <c r="J30" s="277"/>
      <c r="K30" s="549"/>
    </row>
    <row customHeight="1" ht="18.75">
      <c r="D31" s="1678"/>
      <c r="E31" s="1715" t="s">
        <v>641</v>
      </c>
      <c r="F31" s="961" t="s">
        <v>642</v>
      </c>
      <c r="G31" s="1694" t="s">
        <v>540</v>
      </c>
      <c r="H31" s="1716"/>
      <c r="I31" s="1716"/>
      <c r="J31" s="277"/>
      <c r="K31" s="549"/>
    </row>
    <row s="3292" customFormat="1" customHeight="1" ht="22.5">
      <c r="A32" s="994"/>
      <c r="C32" s="1676"/>
      <c r="D32" s="1678"/>
      <c r="E32" s="1715" t="s">
        <v>643</v>
      </c>
      <c r="F32" s="961" t="s">
        <v>644</v>
      </c>
      <c r="G32" s="1684" t="s">
        <v>540</v>
      </c>
      <c r="H32" s="585">
        <f>SUM(H33:H34)</f>
        <v>0</v>
      </c>
      <c r="I32" s="585">
        <f>SUM(I33:I34)</f>
        <v>0</v>
      </c>
      <c r="J32" s="277" t="s">
        <v>645</v>
      </c>
      <c r="K32" s="549"/>
      <c r="L32" s="1676"/>
      <c r="M32" s="1676"/>
      <c r="R32" s="1676"/>
      <c r="U32" s="550"/>
      <c r="AA32" s="1672"/>
      <c r="AB32" s="1672"/>
      <c r="AC32" s="1672"/>
      <c r="AD32" s="1672"/>
      <c r="AE32" s="1672"/>
    </row>
    <row s="3842" customFormat="1" customHeight="1" ht="0.75">
      <c r="A33" s="1175"/>
      <c r="D33" s="554"/>
      <c r="E33" s="808" t="str">
        <f>E32&amp;".0"</f>
        <v>2.8.0</v>
      </c>
      <c r="F33" s="998"/>
      <c r="G33" s="557"/>
      <c r="H33" s="999"/>
      <c r="I33" s="999"/>
      <c r="J33" s="1000"/>
    </row>
    <row s="3292" customFormat="1" customHeight="1" ht="18.75">
      <c r="A34" s="994"/>
      <c r="C34" s="1676"/>
      <c r="D34" s="1673"/>
      <c r="E34" s="576"/>
      <c r="F34" s="1706" t="s">
        <v>565</v>
      </c>
      <c r="G34" s="578"/>
      <c r="H34" s="579"/>
      <c r="I34" s="579"/>
      <c r="J34" s="289" t="s">
        <v>646</v>
      </c>
      <c r="K34" s="549"/>
      <c r="L34" s="1676"/>
      <c r="M34" s="1676"/>
      <c r="R34" s="1676"/>
      <c r="U34" s="550"/>
      <c r="AA34" s="1672"/>
      <c r="AB34" s="1672"/>
      <c r="AC34" s="1672"/>
      <c r="AD34" s="1672"/>
      <c r="AE34" s="1672"/>
    </row>
    <row customHeight="1" ht="56.25">
      <c r="D35" s="1678"/>
      <c r="E35" s="1715" t="s">
        <v>647</v>
      </c>
      <c r="F35" s="961" t="s">
        <v>648</v>
      </c>
      <c r="G35" s="1694" t="s">
        <v>540</v>
      </c>
      <c r="H35" s="1716"/>
      <c r="I35" s="1716"/>
      <c r="J35" s="277" t="s">
        <v>649</v>
      </c>
      <c r="K35" s="549"/>
    </row>
    <row s="3292" customFormat="1" customHeight="1" ht="22.5">
      <c r="A36" s="996" t="s">
        <v>566</v>
      </c>
      <c r="C36" s="1676"/>
      <c r="D36" s="1678"/>
      <c r="E36" s="1704" t="s">
        <v>90</v>
      </c>
      <c r="F36" s="713" t="s">
        <v>650</v>
      </c>
      <c r="G36" s="1683" t="s">
        <v>540</v>
      </c>
      <c r="H36" s="563"/>
      <c r="I36" s="563"/>
      <c r="J36" s="277" t="s">
        <v>651</v>
      </c>
      <c r="K36" s="549"/>
      <c r="L36" s="1676"/>
      <c r="M36" s="1676"/>
      <c r="R36" s="1676"/>
      <c r="U36" s="550"/>
      <c r="AA36" s="1672"/>
      <c r="AB36" s="1672"/>
      <c r="AC36" s="1672"/>
      <c r="AD36" s="1672"/>
      <c r="AE36" s="1672"/>
    </row>
    <row s="3292" customFormat="1" customHeight="1" ht="22.5">
      <c r="A37" s="996"/>
      <c r="C37" s="1676"/>
      <c r="D37" s="1678"/>
      <c r="E37" s="1704" t="s">
        <v>319</v>
      </c>
      <c r="F37" s="961" t="s">
        <v>652</v>
      </c>
      <c r="G37" s="1694"/>
      <c r="H37" s="563"/>
      <c r="I37" s="563"/>
      <c r="J37" s="277"/>
      <c r="K37" s="549"/>
      <c r="L37" s="1676"/>
      <c r="M37" s="1676"/>
      <c r="R37" s="1676"/>
      <c r="U37" s="550"/>
      <c r="AA37" s="1672"/>
      <c r="AB37" s="1672"/>
      <c r="AC37" s="1672"/>
      <c r="AD37" s="1672"/>
      <c r="AE37" s="1672"/>
    </row>
    <row s="3292" customFormat="1" customHeight="1" ht="18.75">
      <c r="A38" s="994"/>
      <c r="C38" s="1676"/>
      <c r="D38" s="581"/>
      <c r="E38" s="1704" t="s">
        <v>91</v>
      </c>
      <c r="F38" s="713" t="s">
        <v>653</v>
      </c>
      <c r="G38" s="1683" t="s">
        <v>540</v>
      </c>
      <c r="H38" s="563"/>
      <c r="I38" s="563"/>
      <c r="J38" s="277" t="s">
        <v>654</v>
      </c>
      <c r="K38" s="549"/>
      <c r="L38" s="1676"/>
      <c r="M38" s="1676"/>
      <c r="R38" s="1676"/>
      <c r="U38" s="550"/>
      <c r="AA38" s="1672"/>
      <c r="AB38" s="1672"/>
      <c r="AC38" s="1672"/>
      <c r="AD38" s="1672"/>
      <c r="AE38" s="1672"/>
    </row>
    <row s="3292" customFormat="1" customHeight="1" ht="22.5">
      <c r="A39" s="994"/>
      <c r="C39" s="1676"/>
      <c r="D39" s="581"/>
      <c r="E39" s="1704" t="s">
        <v>655</v>
      </c>
      <c r="F39" s="961" t="s">
        <v>656</v>
      </c>
      <c r="G39" s="1694" t="s">
        <v>540</v>
      </c>
      <c r="H39" s="563"/>
      <c r="I39" s="563"/>
      <c r="J39" s="277" t="s">
        <v>657</v>
      </c>
      <c r="K39" s="549"/>
      <c r="L39" s="1676"/>
      <c r="M39" s="1676"/>
      <c r="R39" s="1676"/>
      <c r="U39" s="550"/>
      <c r="AA39" s="1672"/>
      <c r="AB39" s="1672"/>
      <c r="AC39" s="1672"/>
      <c r="AD39" s="1672"/>
      <c r="AE39" s="1672"/>
    </row>
    <row s="3292" customFormat="1" customHeight="1" ht="22.5">
      <c r="A40" s="994"/>
      <c r="C40" s="1676"/>
      <c r="D40" s="1678"/>
      <c r="E40" s="1704" t="s">
        <v>658</v>
      </c>
      <c r="F40" s="1690" t="s">
        <v>659</v>
      </c>
      <c r="G40" s="1683" t="s">
        <v>540</v>
      </c>
      <c r="H40" s="563"/>
      <c r="I40" s="563"/>
      <c r="J40" s="277" t="s">
        <v>660</v>
      </c>
      <c r="K40" s="549"/>
      <c r="L40" s="1676"/>
      <c r="M40" s="1676"/>
      <c r="R40" s="1676"/>
      <c r="U40" s="550"/>
      <c r="AA40" s="1672"/>
      <c r="AB40" s="1672"/>
      <c r="AC40" s="1672"/>
      <c r="AD40" s="1672"/>
      <c r="AE40" s="1672"/>
    </row>
    <row s="3292" customFormat="1" customHeight="1" ht="22.5">
      <c r="A41" s="994"/>
      <c r="C41" s="1676"/>
      <c r="D41" s="1678"/>
      <c r="E41" s="1704" t="s">
        <v>661</v>
      </c>
      <c r="F41" s="1690" t="s">
        <v>662</v>
      </c>
      <c r="G41" s="1683" t="s">
        <v>540</v>
      </c>
      <c r="H41" s="563"/>
      <c r="I41" s="563"/>
      <c r="J41" s="277" t="s">
        <v>663</v>
      </c>
      <c r="K41" s="549"/>
      <c r="L41" s="1676"/>
      <c r="M41" s="1676"/>
      <c r="R41" s="1676"/>
      <c r="U41" s="550"/>
      <c r="AA41" s="1672"/>
      <c r="AB41" s="1672"/>
      <c r="AC41" s="1672"/>
      <c r="AD41" s="1672"/>
      <c r="AE41" s="1672"/>
    </row>
    <row s="3292" customFormat="1" customHeight="1" ht="22.5">
      <c r="A42" s="994"/>
      <c r="C42" s="1676"/>
      <c r="D42" s="1678"/>
      <c r="E42" s="1704" t="s">
        <v>664</v>
      </c>
      <c r="F42" s="1690" t="s">
        <v>665</v>
      </c>
      <c r="G42" s="1683" t="s">
        <v>540</v>
      </c>
      <c r="H42" s="563"/>
      <c r="I42" s="563"/>
      <c r="J42" s="277" t="s">
        <v>666</v>
      </c>
      <c r="K42" s="549"/>
      <c r="L42" s="1676"/>
      <c r="M42" s="1676"/>
      <c r="R42" s="1676"/>
      <c r="U42" s="550"/>
      <c r="AA42" s="1672"/>
      <c r="AB42" s="1672"/>
      <c r="AC42" s="1672"/>
      <c r="AD42" s="1672"/>
      <c r="AE42" s="1672"/>
    </row>
    <row s="3292" customFormat="1" customHeight="1" ht="33.75">
      <c r="A43" s="994"/>
      <c r="C43" s="1676" t="s">
        <v>576</v>
      </c>
      <c r="D43" s="1678"/>
      <c r="E43" s="1704" t="s">
        <v>112</v>
      </c>
      <c r="F43" s="713" t="s">
        <v>667</v>
      </c>
      <c r="G43" s="1686" t="s">
        <v>668</v>
      </c>
      <c r="H43" s="407"/>
      <c r="I43" s="407"/>
      <c r="J43" s="277" t="s">
        <v>669</v>
      </c>
      <c r="K43" s="549"/>
      <c r="L43" s="1676"/>
      <c r="M43" s="1676"/>
      <c r="R43" s="1676"/>
      <c r="U43" s="550"/>
      <c r="AA43" s="1672"/>
      <c r="AB43" s="1672"/>
      <c r="AC43" s="1672"/>
      <c r="AD43" s="1672"/>
      <c r="AE43" s="1672"/>
    </row>
    <row s="3292" customFormat="1" customHeight="1" ht="22.5">
      <c r="A44" s="994"/>
      <c r="C44" s="1676"/>
      <c r="D44" s="1678"/>
      <c r="E44" s="1704" t="s">
        <v>92</v>
      </c>
      <c r="F44" s="713" t="s">
        <v>670</v>
      </c>
      <c r="G44" s="1683" t="s">
        <v>671</v>
      </c>
      <c r="H44" s="551"/>
      <c r="I44" s="551"/>
      <c r="J44" s="277" t="s">
        <v>672</v>
      </c>
      <c r="K44" s="549"/>
      <c r="L44" s="1676"/>
      <c r="M44" s="1676"/>
      <c r="R44" s="1676"/>
      <c r="U44" s="550"/>
      <c r="AA44" s="1672"/>
      <c r="AB44" s="1672"/>
      <c r="AC44" s="1672"/>
      <c r="AD44" s="1672"/>
      <c r="AE44" s="1672"/>
    </row>
    <row s="3292" customFormat="1" customHeight="1" ht="22.5">
      <c r="A45" s="994"/>
      <c r="C45" s="1676"/>
      <c r="D45" s="1678"/>
      <c r="E45" s="1704" t="s">
        <v>93</v>
      </c>
      <c r="F45" s="713" t="s">
        <v>673</v>
      </c>
      <c r="G45" s="1694" t="s">
        <v>674</v>
      </c>
      <c r="H45" s="551"/>
      <c r="I45" s="551"/>
      <c r="J45" s="277" t="s">
        <v>675</v>
      </c>
      <c r="K45" s="549"/>
      <c r="L45" s="1676"/>
      <c r="M45" s="1676"/>
      <c r="R45" s="1676"/>
      <c r="U45" s="550"/>
      <c r="AA45" s="1672"/>
      <c r="AB45" s="1672"/>
      <c r="AC45" s="1672"/>
      <c r="AD45" s="1672"/>
      <c r="AE45" s="1672"/>
    </row>
    <row s="3292" customFormat="1" customHeight="1" ht="18.75">
      <c r="A46" s="994"/>
      <c r="C46" s="1676"/>
      <c r="D46" s="1678"/>
      <c r="E46" s="1704" t="s">
        <v>113</v>
      </c>
      <c r="F46" s="713" t="s">
        <v>676</v>
      </c>
      <c r="G46" s="1683" t="s">
        <v>578</v>
      </c>
      <c r="H46" s="583"/>
      <c r="I46" s="583"/>
      <c r="J46" s="277"/>
      <c r="K46" s="549"/>
      <c r="L46" s="1676"/>
      <c r="M46" s="1676"/>
      <c r="R46" s="1676"/>
      <c r="U46" s="550"/>
      <c r="AA46" s="1672"/>
      <c r="AB46" s="1672"/>
      <c r="AC46" s="1672"/>
      <c r="AD46" s="1672"/>
      <c r="AE46" s="1672"/>
    </row>
    <row customHeight="1" ht="11.25">
      <c r="D47" s="1678"/>
    </row>
    <row customHeight="1" ht="26.25">
      <c r="D48" s="1678"/>
      <c r="E48" s="1273"/>
      <c r="F48" s="2106"/>
      <c r="G48" s="2106"/>
      <c r="H48" s="2106"/>
      <c r="I48" s="2106"/>
      <c r="J48" s="2106"/>
    </row>
    <row s="3878" customFormat="1" customHeight="1" ht="37.5">
      <c r="A49" s="994"/>
      <c r="B49" s="1676"/>
      <c r="C49" s="1676"/>
      <c r="D49" s="347"/>
      <c r="F49" s="2106"/>
      <c r="G49" s="2106"/>
      <c r="H49" s="2106"/>
      <c r="I49" s="2106"/>
      <c r="J49" s="2106"/>
      <c r="K49" s="1168"/>
      <c r="L49" s="1676"/>
      <c r="M49" s="1676"/>
      <c r="N49" s="1168"/>
      <c r="O49" s="1168"/>
      <c r="P49" s="1168"/>
      <c r="Q49" s="1168"/>
      <c r="R49" s="1676"/>
      <c r="S49" s="1168"/>
      <c r="T49" s="1168"/>
      <c r="U49" s="550"/>
      <c r="V49" s="1168"/>
      <c r="W49" s="1168"/>
      <c r="X49" s="1168"/>
      <c r="Y49" s="1168"/>
      <c r="Z49" s="1168"/>
      <c r="AA49" s="1672"/>
      <c r="AB49" s="572"/>
      <c r="AC49" s="572"/>
      <c r="AD49" s="572"/>
      <c r="AE49" s="572"/>
    </row>
    <row s="3878" customFormat="1" customHeight="1" ht="11.25">
      <c r="A50" s="994"/>
      <c r="B50" s="1676"/>
      <c r="C50" s="1676"/>
      <c r="D50" s="347"/>
      <c r="K50" s="1168"/>
      <c r="L50" s="1676"/>
      <c r="M50" s="1676"/>
      <c r="N50" s="1168"/>
      <c r="O50" s="1168"/>
      <c r="P50" s="1168"/>
      <c r="Q50" s="1168"/>
      <c r="R50" s="1676"/>
      <c r="S50" s="1168"/>
      <c r="T50" s="1168"/>
      <c r="U50" s="550"/>
      <c r="V50" s="1168"/>
      <c r="W50" s="1168"/>
      <c r="X50" s="1168"/>
      <c r="Y50" s="1168"/>
      <c r="Z50" s="1168"/>
      <c r="AA50" s="1672"/>
      <c r="AB50" s="572"/>
      <c r="AC50" s="572"/>
      <c r="AD50" s="572"/>
      <c r="AE50" s="572"/>
    </row>
    <row s="3878" customFormat="1" customHeight="1" ht="11.25">
      <c r="A51" s="994"/>
      <c r="B51" s="1676"/>
      <c r="C51" s="1676"/>
      <c r="D51" s="347"/>
      <c r="K51" s="1168"/>
      <c r="L51" s="1676"/>
      <c r="M51" s="1676"/>
      <c r="N51" s="1168"/>
      <c r="O51" s="1168"/>
      <c r="P51" s="1168"/>
      <c r="Q51" s="1168"/>
      <c r="R51" s="1676"/>
      <c r="S51" s="1168"/>
      <c r="T51" s="1168"/>
      <c r="U51" s="550"/>
      <c r="V51" s="1168"/>
      <c r="W51" s="1168"/>
      <c r="X51" s="1168"/>
      <c r="Y51" s="1168"/>
      <c r="Z51" s="1168"/>
      <c r="AA51" s="1672"/>
      <c r="AB51" s="572"/>
      <c r="AC51" s="572"/>
      <c r="AD51" s="572"/>
      <c r="AE51" s="572"/>
    </row>
    <row s="3878" customFormat="1" customHeight="1" ht="11.25">
      <c r="A52" s="994"/>
      <c r="B52" s="1676"/>
      <c r="C52" s="1676"/>
      <c r="D52" s="347"/>
      <c r="H52" s="572"/>
      <c r="I52" s="572"/>
      <c r="K52" s="1168"/>
      <c r="L52" s="1676"/>
      <c r="M52" s="1676"/>
      <c r="N52" s="1168"/>
      <c r="O52" s="1168"/>
      <c r="P52" s="1168"/>
      <c r="Q52" s="1168"/>
      <c r="R52" s="1676"/>
      <c r="S52" s="1168"/>
      <c r="T52" s="1168"/>
      <c r="U52" s="550"/>
      <c r="V52" s="1168"/>
      <c r="W52" s="1168"/>
      <c r="X52" s="1168"/>
      <c r="Y52" s="1168"/>
      <c r="Z52" s="1168"/>
      <c r="AA52" s="1672"/>
      <c r="AB52" s="572"/>
      <c r="AC52" s="572"/>
      <c r="AD52" s="572"/>
      <c r="AE52" s="572"/>
    </row>
    <row s="3878" customFormat="1" customHeight="1" ht="11.25">
      <c r="A53" s="994"/>
      <c r="B53" s="1676"/>
      <c r="C53" s="1676"/>
      <c r="D53" s="347"/>
      <c r="K53" s="1168"/>
      <c r="L53" s="1676"/>
      <c r="M53" s="1676"/>
      <c r="N53" s="1168"/>
      <c r="O53" s="1168"/>
      <c r="P53" s="1168"/>
      <c r="Q53" s="1168"/>
      <c r="R53" s="1676"/>
      <c r="S53" s="1168"/>
      <c r="T53" s="1168"/>
      <c r="U53" s="550"/>
      <c r="V53" s="1168"/>
      <c r="W53" s="1168"/>
      <c r="X53" s="1168"/>
      <c r="Y53" s="1168"/>
      <c r="Z53" s="1168"/>
      <c r="AA53" s="1672"/>
      <c r="AB53" s="572"/>
      <c r="AC53" s="572"/>
      <c r="AD53" s="572"/>
      <c r="AE53" s="572"/>
    </row>
    <row s="3878" customFormat="1" customHeight="1" ht="11.25">
      <c r="A54" s="994"/>
      <c r="B54" s="1676"/>
      <c r="C54" s="1676"/>
      <c r="D54" s="347"/>
      <c r="K54" s="1168"/>
      <c r="L54" s="1676"/>
      <c r="M54" s="1676"/>
      <c r="N54" s="1168"/>
      <c r="O54" s="1168"/>
      <c r="P54" s="1168"/>
      <c r="Q54" s="1168"/>
      <c r="R54" s="1676"/>
      <c r="S54" s="1168"/>
      <c r="T54" s="1168"/>
      <c r="U54" s="550"/>
      <c r="V54" s="1168"/>
      <c r="W54" s="1168"/>
      <c r="X54" s="1168"/>
      <c r="Y54" s="1168"/>
      <c r="Z54" s="1168"/>
      <c r="AA54" s="1672"/>
      <c r="AB54" s="572"/>
      <c r="AC54" s="572"/>
      <c r="AD54" s="572"/>
      <c r="AE54" s="572"/>
    </row>
    <row s="3878" customFormat="1" customHeight="1" ht="11.25">
      <c r="A55" s="994"/>
      <c r="B55" s="1676"/>
      <c r="C55" s="1676"/>
      <c r="D55" s="347"/>
      <c r="K55" s="1168"/>
      <c r="L55" s="1676"/>
      <c r="M55" s="1676"/>
      <c r="N55" s="1168"/>
      <c r="O55" s="1168"/>
      <c r="P55" s="1168"/>
      <c r="Q55" s="1168"/>
      <c r="R55" s="1676"/>
      <c r="S55" s="1168"/>
      <c r="T55" s="1168"/>
      <c r="U55" s="550"/>
      <c r="V55" s="1168"/>
      <c r="W55" s="1168"/>
      <c r="X55" s="1168"/>
      <c r="Y55" s="1168"/>
      <c r="Z55" s="1168"/>
      <c r="AA55" s="1672"/>
      <c r="AB55" s="572"/>
      <c r="AC55" s="572"/>
      <c r="AD55" s="572"/>
      <c r="AE55" s="572"/>
    </row>
    <row s="3878" customFormat="1" customHeight="1" ht="11.25">
      <c r="A56" s="994"/>
      <c r="B56" s="1676"/>
      <c r="C56" s="1676"/>
      <c r="D56" s="347"/>
      <c r="K56" s="1168"/>
      <c r="L56" s="1676"/>
      <c r="M56" s="1676"/>
      <c r="N56" s="1168"/>
      <c r="O56" s="1168"/>
      <c r="P56" s="1168"/>
      <c r="Q56" s="1168"/>
      <c r="R56" s="1676"/>
      <c r="S56" s="1168"/>
      <c r="T56" s="1168"/>
      <c r="U56" s="550"/>
      <c r="V56" s="1168"/>
      <c r="W56" s="1168"/>
      <c r="X56" s="1168"/>
      <c r="Y56" s="1168"/>
      <c r="Z56" s="1168"/>
      <c r="AA56" s="1672"/>
      <c r="AB56" s="572"/>
      <c r="AC56" s="572"/>
      <c r="AD56" s="572"/>
      <c r="AE56" s="572"/>
    </row>
    <row s="3878" customFormat="1" customHeight="1" ht="11.25">
      <c r="A57" s="994"/>
      <c r="B57" s="1676"/>
      <c r="C57" s="1676"/>
      <c r="D57" s="347"/>
      <c r="K57" s="1168"/>
      <c r="L57" s="1676"/>
      <c r="M57" s="1676"/>
      <c r="N57" s="1168"/>
      <c r="O57" s="1168"/>
      <c r="P57" s="1168"/>
      <c r="Q57" s="1168"/>
      <c r="R57" s="1676"/>
      <c r="S57" s="1168"/>
      <c r="T57" s="1168"/>
      <c r="U57" s="550"/>
      <c r="V57" s="1168"/>
      <c r="W57" s="1168"/>
      <c r="X57" s="1168"/>
      <c r="Y57" s="1168"/>
      <c r="Z57" s="1168"/>
      <c r="AA57" s="1672"/>
      <c r="AB57" s="572"/>
      <c r="AC57" s="572"/>
      <c r="AD57" s="572"/>
      <c r="AE57" s="572"/>
    </row>
    <row s="3878" customFormat="1" customHeight="1" ht="11.25">
      <c r="A58" s="994"/>
      <c r="B58" s="1676"/>
      <c r="C58" s="1676"/>
      <c r="D58" s="347"/>
      <c r="K58" s="1168"/>
      <c r="L58" s="1676"/>
      <c r="M58" s="1676"/>
      <c r="N58" s="1168"/>
      <c r="O58" s="1168"/>
      <c r="P58" s="1168"/>
      <c r="Q58" s="1168"/>
      <c r="R58" s="1676"/>
      <c r="S58" s="1168"/>
      <c r="T58" s="1168"/>
      <c r="U58" s="550"/>
      <c r="V58" s="1168"/>
      <c r="W58" s="1168"/>
      <c r="X58" s="1168"/>
      <c r="Y58" s="1168"/>
      <c r="Z58" s="1168"/>
      <c r="AA58" s="1672"/>
      <c r="AB58" s="572"/>
      <c r="AC58" s="572"/>
      <c r="AD58" s="572"/>
      <c r="AE58" s="572"/>
    </row>
    <row s="3878" customFormat="1" customHeight="1" ht="11.25">
      <c r="A59" s="994"/>
      <c r="B59" s="1676"/>
      <c r="C59" s="1676"/>
      <c r="D59" s="347"/>
      <c r="K59" s="1168"/>
      <c r="L59" s="1676"/>
      <c r="M59" s="1676"/>
      <c r="N59" s="1168"/>
      <c r="O59" s="1168"/>
      <c r="P59" s="1168"/>
      <c r="Q59" s="1168"/>
      <c r="R59" s="1676"/>
      <c r="S59" s="1168"/>
      <c r="T59" s="1168"/>
      <c r="U59" s="550"/>
      <c r="V59" s="1168"/>
      <c r="W59" s="1168"/>
      <c r="X59" s="1168"/>
      <c r="Y59" s="1168"/>
      <c r="Z59" s="1168"/>
      <c r="AA59" s="1672"/>
      <c r="AB59" s="572"/>
      <c r="AC59" s="572"/>
      <c r="AD59" s="572"/>
      <c r="AE59" s="572"/>
    </row>
    <row s="3878" customFormat="1" customHeight="1" ht="11.25">
      <c r="A60" s="994"/>
      <c r="B60" s="1676"/>
      <c r="C60" s="1676"/>
      <c r="D60" s="347"/>
      <c r="K60" s="1168"/>
      <c r="L60" s="1676"/>
      <c r="M60" s="1676"/>
      <c r="N60" s="1168"/>
      <c r="O60" s="1168"/>
      <c r="P60" s="1168"/>
      <c r="Q60" s="1168"/>
      <c r="R60" s="1676"/>
      <c r="S60" s="1168"/>
      <c r="T60" s="1168"/>
      <c r="U60" s="550"/>
      <c r="V60" s="1168"/>
      <c r="W60" s="1168"/>
      <c r="X60" s="1168"/>
      <c r="Y60" s="1168"/>
      <c r="Z60" s="1168"/>
      <c r="AA60" s="1672"/>
      <c r="AB60" s="572"/>
      <c r="AC60" s="572"/>
      <c r="AD60" s="572"/>
      <c r="AE60" s="572"/>
    </row>
    <row s="3878" customFormat="1" customHeight="1" ht="11.25">
      <c r="A61" s="994"/>
      <c r="B61" s="1676"/>
      <c r="C61" s="1676"/>
      <c r="D61" s="347"/>
      <c r="K61" s="1168"/>
      <c r="L61" s="1676"/>
      <c r="M61" s="1676"/>
      <c r="N61" s="1168"/>
      <c r="O61" s="1168"/>
      <c r="P61" s="1168"/>
      <c r="Q61" s="1168"/>
      <c r="R61" s="1676"/>
      <c r="S61" s="1168"/>
      <c r="T61" s="1168"/>
      <c r="U61" s="550"/>
      <c r="V61" s="1168"/>
      <c r="W61" s="1168"/>
      <c r="X61" s="1168"/>
      <c r="Y61" s="1168"/>
      <c r="Z61" s="1168"/>
      <c r="AA61" s="1672"/>
      <c r="AB61" s="572"/>
      <c r="AC61" s="572"/>
      <c r="AD61" s="572"/>
      <c r="AE61" s="572"/>
    </row>
    <row s="3878" customFormat="1" customHeight="1" ht="11.25">
      <c r="A62" s="994"/>
      <c r="B62" s="1676"/>
      <c r="C62" s="1676"/>
      <c r="D62" s="347"/>
      <c r="K62" s="1168"/>
      <c r="L62" s="1676"/>
      <c r="M62" s="1676"/>
      <c r="N62" s="1168"/>
      <c r="O62" s="1168"/>
      <c r="P62" s="1168"/>
      <c r="Q62" s="1168"/>
      <c r="R62" s="1676"/>
      <c r="S62" s="1168"/>
      <c r="T62" s="1168"/>
      <c r="U62" s="550"/>
      <c r="V62" s="1168"/>
      <c r="W62" s="1168"/>
      <c r="X62" s="1168"/>
      <c r="Y62" s="1168"/>
      <c r="Z62" s="1168"/>
      <c r="AA62" s="1672"/>
      <c r="AB62" s="572"/>
      <c r="AC62" s="572"/>
      <c r="AD62" s="572"/>
      <c r="AE62" s="572"/>
    </row>
    <row s="3878" customFormat="1" customHeight="1" ht="11.25">
      <c r="A63" s="994"/>
      <c r="B63" s="1676"/>
      <c r="C63" s="1676"/>
      <c r="D63" s="347"/>
      <c r="K63" s="1168"/>
      <c r="L63" s="1676"/>
      <c r="M63" s="1676"/>
      <c r="N63" s="1168"/>
      <c r="O63" s="1168"/>
      <c r="P63" s="1168"/>
      <c r="Q63" s="1168"/>
      <c r="R63" s="1676"/>
      <c r="S63" s="1168"/>
      <c r="T63" s="1168"/>
      <c r="U63" s="550"/>
      <c r="V63" s="1168"/>
      <c r="W63" s="1168"/>
      <c r="X63" s="1168"/>
      <c r="Y63" s="1168"/>
      <c r="Z63" s="1168"/>
      <c r="AA63" s="1672"/>
      <c r="AB63" s="572"/>
      <c r="AC63" s="572"/>
      <c r="AD63" s="572"/>
      <c r="AE63" s="572"/>
    </row>
    <row s="3878" customFormat="1" customHeight="1" ht="11.25">
      <c r="A64" s="994"/>
      <c r="B64" s="1676"/>
      <c r="C64" s="1676"/>
      <c r="D64" s="347"/>
      <c r="K64" s="1168"/>
      <c r="L64" s="1676"/>
      <c r="M64" s="1676"/>
      <c r="N64" s="1168"/>
      <c r="O64" s="1168"/>
      <c r="P64" s="1168"/>
      <c r="Q64" s="1168"/>
      <c r="R64" s="1676"/>
      <c r="S64" s="1168"/>
      <c r="T64" s="1168"/>
      <c r="U64" s="550"/>
      <c r="V64" s="1168"/>
      <c r="W64" s="1168"/>
      <c r="X64" s="1168"/>
      <c r="Y64" s="1168"/>
      <c r="Z64" s="1168"/>
      <c r="AA64" s="1672"/>
      <c r="AB64" s="572"/>
      <c r="AC64" s="572"/>
      <c r="AD64" s="572"/>
      <c r="AE64" s="572"/>
    </row>
    <row s="3878" customFormat="1" customHeight="1" ht="11.25">
      <c r="A65" s="994"/>
      <c r="B65" s="1676"/>
      <c r="C65" s="1676"/>
      <c r="D65" s="347"/>
      <c r="K65" s="1168"/>
      <c r="L65" s="1676"/>
      <c r="M65" s="1676"/>
      <c r="N65" s="1168"/>
      <c r="O65" s="1168"/>
      <c r="P65" s="1168"/>
      <c r="Q65" s="1168"/>
      <c r="R65" s="1676"/>
      <c r="S65" s="1168"/>
      <c r="T65" s="1168"/>
      <c r="U65" s="550"/>
      <c r="V65" s="1168"/>
      <c r="W65" s="1168"/>
      <c r="X65" s="1168"/>
      <c r="Y65" s="1168"/>
      <c r="Z65" s="1168"/>
      <c r="AA65" s="1672"/>
      <c r="AB65" s="572"/>
      <c r="AC65" s="572"/>
      <c r="AD65" s="572"/>
      <c r="AE65" s="572"/>
    </row>
    <row s="3878" customFormat="1" customHeight="1" ht="11.25">
      <c r="A66" s="994"/>
      <c r="B66" s="1676"/>
      <c r="C66" s="1676"/>
      <c r="D66" s="347"/>
      <c r="K66" s="1168"/>
      <c r="L66" s="1676"/>
      <c r="M66" s="1676"/>
      <c r="N66" s="1168"/>
      <c r="O66" s="1168"/>
      <c r="P66" s="1168"/>
      <c r="Q66" s="1168"/>
      <c r="R66" s="1676"/>
      <c r="S66" s="1168"/>
      <c r="T66" s="1168"/>
      <c r="U66" s="550"/>
      <c r="V66" s="1168"/>
      <c r="W66" s="1168"/>
      <c r="X66" s="1168"/>
      <c r="Y66" s="1168"/>
      <c r="Z66" s="1168"/>
      <c r="AA66" s="1672"/>
      <c r="AB66" s="572"/>
      <c r="AC66" s="572"/>
      <c r="AD66" s="572"/>
      <c r="AE66" s="572"/>
    </row>
    <row s="3878" customFormat="1" customHeight="1" ht="11.25">
      <c r="A67" s="994"/>
      <c r="B67" s="1676"/>
      <c r="C67" s="1676"/>
      <c r="D67" s="347"/>
      <c r="K67" s="1168"/>
      <c r="L67" s="1676"/>
      <c r="M67" s="1676"/>
      <c r="N67" s="1168"/>
      <c r="O67" s="1168"/>
      <c r="P67" s="1168"/>
      <c r="Q67" s="1168"/>
      <c r="R67" s="1676"/>
      <c r="S67" s="1168"/>
      <c r="T67" s="1168"/>
      <c r="U67" s="550"/>
      <c r="V67" s="1168"/>
      <c r="W67" s="1168"/>
      <c r="X67" s="1168"/>
      <c r="Y67" s="1168"/>
      <c r="Z67" s="1168"/>
      <c r="AA67" s="1672"/>
      <c r="AB67" s="572"/>
      <c r="AC67" s="572"/>
      <c r="AD67" s="572"/>
      <c r="AE67" s="572"/>
    </row>
    <row s="3878" customFormat="1" customHeight="1" ht="11.25">
      <c r="A68" s="994"/>
      <c r="B68" s="1676"/>
      <c r="C68" s="1676"/>
      <c r="D68" s="347"/>
      <c r="K68" s="1168"/>
      <c r="L68" s="1676"/>
      <c r="M68" s="1676"/>
      <c r="N68" s="1168"/>
      <c r="O68" s="1168"/>
      <c r="P68" s="1168"/>
      <c r="Q68" s="1168"/>
      <c r="R68" s="1676"/>
      <c r="S68" s="1168"/>
      <c r="T68" s="1168"/>
      <c r="U68" s="550"/>
      <c r="V68" s="1168"/>
      <c r="W68" s="1168"/>
      <c r="X68" s="1168"/>
      <c r="Y68" s="1168"/>
      <c r="Z68" s="1168"/>
      <c r="AA68" s="1672"/>
      <c r="AB68" s="572"/>
      <c r="AC68" s="572"/>
      <c r="AD68" s="572"/>
      <c r="AE68" s="572"/>
    </row>
    <row s="3878" customFormat="1" customHeight="1" ht="11.25">
      <c r="A69" s="994"/>
      <c r="B69" s="1676"/>
      <c r="C69" s="1676"/>
      <c r="D69" s="347"/>
      <c r="K69" s="1168"/>
      <c r="L69" s="1676"/>
      <c r="M69" s="1676"/>
      <c r="N69" s="1168"/>
      <c r="O69" s="1168"/>
      <c r="P69" s="1168"/>
      <c r="Q69" s="1168"/>
      <c r="R69" s="1676"/>
      <c r="S69" s="1168"/>
      <c r="T69" s="1168"/>
      <c r="U69" s="550"/>
      <c r="V69" s="1168"/>
      <c r="W69" s="1168"/>
      <c r="X69" s="1168"/>
      <c r="Y69" s="1168"/>
      <c r="Z69" s="1168"/>
      <c r="AA69" s="1672"/>
      <c r="AB69" s="572"/>
      <c r="AC69" s="572"/>
      <c r="AD69" s="572"/>
      <c r="AE69" s="572"/>
    </row>
    <row s="3878" customFormat="1" customHeight="1" ht="11.25">
      <c r="A70" s="994"/>
      <c r="B70" s="1676"/>
      <c r="C70" s="1676"/>
      <c r="D70" s="347"/>
      <c r="K70" s="1168"/>
      <c r="L70" s="1676"/>
      <c r="M70" s="1676"/>
      <c r="N70" s="1168"/>
      <c r="O70" s="1168"/>
      <c r="P70" s="1168"/>
      <c r="Q70" s="1168"/>
      <c r="R70" s="1676"/>
      <c r="S70" s="1168"/>
      <c r="T70" s="1168"/>
      <c r="U70" s="550"/>
      <c r="V70" s="1168"/>
      <c r="W70" s="1168"/>
      <c r="X70" s="1168"/>
      <c r="Y70" s="1168"/>
      <c r="Z70" s="1168"/>
      <c r="AA70" s="1672"/>
      <c r="AB70" s="572"/>
      <c r="AC70" s="572"/>
      <c r="AD70" s="572"/>
      <c r="AE70" s="572"/>
    </row>
    <row s="3878" customFormat="1" customHeight="1" ht="11.25">
      <c r="A71" s="994"/>
      <c r="B71" s="1676"/>
      <c r="C71" s="1676"/>
      <c r="D71" s="347"/>
      <c r="K71" s="1168"/>
      <c r="L71" s="1676"/>
      <c r="M71" s="1676"/>
      <c r="N71" s="1168"/>
      <c r="O71" s="1168"/>
      <c r="P71" s="1168"/>
      <c r="Q71" s="1168"/>
      <c r="R71" s="1676"/>
      <c r="S71" s="1168"/>
      <c r="T71" s="1168"/>
      <c r="U71" s="550"/>
      <c r="V71" s="1168"/>
      <c r="W71" s="1168"/>
      <c r="X71" s="1168"/>
      <c r="Y71" s="1168"/>
      <c r="Z71" s="1168"/>
      <c r="AA71" s="1672"/>
      <c r="AB71" s="572"/>
      <c r="AC71" s="572"/>
      <c r="AD71" s="572"/>
      <c r="AE71" s="572"/>
    </row>
    <row s="3878" customFormat="1" customHeight="1" ht="11.25">
      <c r="A72" s="994"/>
      <c r="B72" s="1676"/>
      <c r="C72" s="1676"/>
      <c r="D72" s="347"/>
      <c r="K72" s="1168"/>
      <c r="L72" s="1676"/>
      <c r="M72" s="1676"/>
      <c r="N72" s="1168"/>
      <c r="O72" s="1168"/>
      <c r="P72" s="1168"/>
      <c r="Q72" s="1168"/>
      <c r="R72" s="1676"/>
      <c r="S72" s="1168"/>
      <c r="T72" s="1168"/>
      <c r="U72" s="550"/>
      <c r="V72" s="1168"/>
      <c r="W72" s="1168"/>
      <c r="X72" s="1168"/>
      <c r="Y72" s="1168"/>
      <c r="Z72" s="1168"/>
      <c r="AA72" s="1672"/>
      <c r="AB72" s="572"/>
      <c r="AC72" s="572"/>
      <c r="AD72" s="572"/>
      <c r="AE72" s="572"/>
    </row>
    <row s="3878" customFormat="1" customHeight="1" ht="11.25">
      <c r="A73" s="994"/>
      <c r="B73" s="1676"/>
      <c r="C73" s="1676"/>
      <c r="D73" s="347"/>
      <c r="K73" s="1168"/>
      <c r="L73" s="1676"/>
      <c r="M73" s="1676"/>
      <c r="N73" s="1168"/>
      <c r="O73" s="1168"/>
      <c r="P73" s="1168"/>
      <c r="Q73" s="1168"/>
      <c r="R73" s="1676"/>
      <c r="S73" s="1168"/>
      <c r="T73" s="1168"/>
      <c r="U73" s="550"/>
      <c r="V73" s="1168"/>
      <c r="W73" s="1168"/>
      <c r="X73" s="1168"/>
      <c r="Y73" s="1168"/>
      <c r="Z73" s="1168"/>
      <c r="AA73" s="1672"/>
      <c r="AB73" s="572"/>
      <c r="AC73" s="572"/>
      <c r="AD73" s="572"/>
      <c r="AE73" s="572"/>
    </row>
    <row s="3878" customFormat="1" customHeight="1" ht="11.25">
      <c r="A74" s="994"/>
      <c r="B74" s="1676"/>
      <c r="C74" s="1676"/>
      <c r="D74" s="347"/>
      <c r="K74" s="1168"/>
      <c r="L74" s="1676"/>
      <c r="M74" s="1676"/>
      <c r="N74" s="1168"/>
      <c r="O74" s="1168"/>
      <c r="P74" s="1168"/>
      <c r="Q74" s="1168"/>
      <c r="R74" s="1676"/>
      <c r="S74" s="1168"/>
      <c r="T74" s="1168"/>
      <c r="U74" s="550"/>
      <c r="V74" s="1168"/>
      <c r="W74" s="1168"/>
      <c r="X74" s="1168"/>
      <c r="Y74" s="1168"/>
      <c r="Z74" s="1168"/>
      <c r="AA74" s="1672"/>
      <c r="AB74" s="572"/>
      <c r="AC74" s="572"/>
      <c r="AD74" s="572"/>
      <c r="AE74" s="572"/>
    </row>
    <row s="3878" customFormat="1" customHeight="1" ht="11.25">
      <c r="A75" s="994"/>
      <c r="B75" s="1676"/>
      <c r="C75" s="1676"/>
      <c r="D75" s="347"/>
      <c r="K75" s="1168"/>
      <c r="L75" s="1676"/>
      <c r="M75" s="1676"/>
      <c r="N75" s="1168"/>
      <c r="O75" s="1168"/>
      <c r="P75" s="1168"/>
      <c r="Q75" s="1168"/>
      <c r="R75" s="1676"/>
      <c r="S75" s="1168"/>
      <c r="T75" s="1168"/>
      <c r="U75" s="550"/>
      <c r="V75" s="1168"/>
      <c r="W75" s="1168"/>
      <c r="X75" s="1168"/>
      <c r="Y75" s="1168"/>
      <c r="Z75" s="1168"/>
      <c r="AA75" s="1672"/>
      <c r="AB75" s="572"/>
      <c r="AC75" s="572"/>
      <c r="AD75" s="572"/>
      <c r="AE75" s="572"/>
    </row>
    <row s="3878" customFormat="1" customHeight="1" ht="11.25">
      <c r="A76" s="994"/>
      <c r="B76" s="1676"/>
      <c r="C76" s="1676"/>
      <c r="D76" s="347"/>
      <c r="K76" s="1168"/>
      <c r="L76" s="1676"/>
      <c r="M76" s="1676"/>
      <c r="N76" s="1168"/>
      <c r="O76" s="1168"/>
      <c r="P76" s="1168"/>
      <c r="Q76" s="1168"/>
      <c r="R76" s="1676"/>
      <c r="S76" s="1168"/>
      <c r="T76" s="1168"/>
      <c r="U76" s="550"/>
      <c r="V76" s="1168"/>
      <c r="W76" s="1168"/>
      <c r="X76" s="1168"/>
      <c r="Y76" s="1168"/>
      <c r="Z76" s="1168"/>
      <c r="AA76" s="1672"/>
      <c r="AB76" s="572"/>
      <c r="AC76" s="572"/>
      <c r="AD76" s="572"/>
      <c r="AE76" s="572"/>
    </row>
    <row s="3878" customFormat="1" customHeight="1" ht="11.25">
      <c r="A77" s="994"/>
      <c r="B77" s="1676"/>
      <c r="C77" s="1676"/>
      <c r="D77" s="347"/>
      <c r="K77" s="1168"/>
      <c r="L77" s="1676"/>
      <c r="M77" s="1676"/>
      <c r="N77" s="1168"/>
      <c r="O77" s="1168"/>
      <c r="P77" s="1168"/>
      <c r="Q77" s="1168"/>
      <c r="R77" s="1676"/>
      <c r="S77" s="1168"/>
      <c r="T77" s="1168"/>
      <c r="U77" s="550"/>
      <c r="V77" s="1168"/>
      <c r="W77" s="1168"/>
      <c r="X77" s="1168"/>
      <c r="Y77" s="1168"/>
      <c r="Z77" s="1168"/>
      <c r="AA77" s="1672"/>
      <c r="AB77" s="572"/>
      <c r="AC77" s="572"/>
      <c r="AD77" s="572"/>
      <c r="AE77" s="572"/>
    </row>
    <row s="3878" customFormat="1" customHeight="1" ht="11.25">
      <c r="A78" s="994"/>
      <c r="B78" s="1676"/>
      <c r="C78" s="1676"/>
      <c r="D78" s="347"/>
      <c r="K78" s="1168"/>
      <c r="L78" s="1676"/>
      <c r="M78" s="1676"/>
      <c r="N78" s="1168"/>
      <c r="O78" s="1168"/>
      <c r="P78" s="1168"/>
      <c r="Q78" s="1168"/>
      <c r="R78" s="1676"/>
      <c r="S78" s="1168"/>
      <c r="T78" s="1168"/>
      <c r="U78" s="550"/>
      <c r="V78" s="1168"/>
      <c r="W78" s="1168"/>
      <c r="X78" s="1168"/>
      <c r="Y78" s="1168"/>
      <c r="Z78" s="1168"/>
      <c r="AA78" s="1672"/>
      <c r="AB78" s="572"/>
      <c r="AC78" s="572"/>
      <c r="AD78" s="572"/>
      <c r="AE78" s="572"/>
    </row>
    <row s="3878" customFormat="1" customHeight="1" ht="11.25">
      <c r="A79" s="994"/>
      <c r="B79" s="1676"/>
      <c r="C79" s="1676"/>
      <c r="D79" s="347"/>
      <c r="K79" s="1168"/>
      <c r="L79" s="1676"/>
      <c r="M79" s="1676"/>
      <c r="N79" s="1168"/>
      <c r="O79" s="1168"/>
      <c r="P79" s="1168"/>
      <c r="Q79" s="1168"/>
      <c r="R79" s="1676"/>
      <c r="S79" s="1168"/>
      <c r="T79" s="1168"/>
      <c r="U79" s="550"/>
      <c r="V79" s="1168"/>
      <c r="W79" s="1168"/>
      <c r="X79" s="1168"/>
      <c r="Y79" s="1168"/>
      <c r="Z79" s="1168"/>
      <c r="AA79" s="1672"/>
      <c r="AB79" s="572"/>
      <c r="AC79" s="572"/>
      <c r="AD79" s="572"/>
      <c r="AE79" s="572"/>
    </row>
    <row s="3878" customFormat="1" customHeight="1" ht="11.25">
      <c r="A80" s="994"/>
      <c r="B80" s="1676"/>
      <c r="C80" s="1676"/>
      <c r="D80" s="347"/>
      <c r="K80" s="1168"/>
      <c r="L80" s="1676"/>
      <c r="M80" s="1676"/>
      <c r="N80" s="1168"/>
      <c r="O80" s="1168"/>
      <c r="P80" s="1168"/>
      <c r="Q80" s="1168"/>
      <c r="R80" s="1676"/>
      <c r="S80" s="1168"/>
      <c r="T80" s="1168"/>
      <c r="U80" s="550"/>
      <c r="V80" s="1168"/>
      <c r="W80" s="1168"/>
      <c r="X80" s="1168"/>
      <c r="Y80" s="1168"/>
      <c r="Z80" s="1168"/>
      <c r="AA80" s="1672"/>
      <c r="AB80" s="572"/>
      <c r="AC80" s="572"/>
      <c r="AD80" s="572"/>
      <c r="AE80" s="572"/>
    </row>
    <row s="3878" customFormat="1" customHeight="1" ht="11.25">
      <c r="A81" s="994"/>
      <c r="B81" s="1676"/>
      <c r="C81" s="1676"/>
      <c r="D81" s="347"/>
      <c r="K81" s="1168"/>
      <c r="L81" s="1676"/>
      <c r="M81" s="1676"/>
      <c r="N81" s="1168"/>
      <c r="O81" s="1168"/>
      <c r="P81" s="1168"/>
      <c r="Q81" s="1168"/>
      <c r="R81" s="1676"/>
      <c r="S81" s="1168"/>
      <c r="T81" s="1168"/>
      <c r="U81" s="550"/>
      <c r="V81" s="1168"/>
      <c r="W81" s="1168"/>
      <c r="X81" s="1168"/>
      <c r="Y81" s="1168"/>
      <c r="Z81" s="1168"/>
      <c r="AA81" s="1672"/>
      <c r="AB81" s="572"/>
      <c r="AC81" s="572"/>
      <c r="AD81" s="572"/>
      <c r="AE81" s="572"/>
    </row>
    <row s="3878" customFormat="1" customHeight="1" ht="11.25">
      <c r="A82" s="994"/>
      <c r="B82" s="1676"/>
      <c r="C82" s="1676"/>
      <c r="D82" s="347"/>
      <c r="K82" s="1168"/>
      <c r="L82" s="1676"/>
      <c r="M82" s="1676"/>
      <c r="N82" s="1168"/>
      <c r="O82" s="1168"/>
      <c r="P82" s="1168"/>
      <c r="Q82" s="1168"/>
      <c r="R82" s="1676"/>
      <c r="S82" s="1168"/>
      <c r="T82" s="1168"/>
      <c r="U82" s="550"/>
      <c r="V82" s="1168"/>
      <c r="W82" s="1168"/>
      <c r="X82" s="1168"/>
      <c r="Y82" s="1168"/>
      <c r="Z82" s="1168"/>
      <c r="AA82" s="1672"/>
      <c r="AB82" s="572"/>
      <c r="AC82" s="572"/>
      <c r="AD82" s="572"/>
      <c r="AE82" s="572"/>
    </row>
    <row s="3878" customFormat="1" customHeight="1" ht="11.25">
      <c r="A83" s="994"/>
      <c r="B83" s="1676"/>
      <c r="C83" s="1676"/>
      <c r="D83" s="347"/>
      <c r="K83" s="1168"/>
      <c r="L83" s="1676"/>
      <c r="M83" s="1676"/>
      <c r="N83" s="1168"/>
      <c r="O83" s="1168"/>
      <c r="P83" s="1168"/>
      <c r="Q83" s="1168"/>
      <c r="R83" s="1676"/>
      <c r="S83" s="1168"/>
      <c r="T83" s="1168"/>
      <c r="U83" s="550"/>
      <c r="V83" s="1168"/>
      <c r="W83" s="1168"/>
      <c r="X83" s="1168"/>
      <c r="Y83" s="1168"/>
      <c r="Z83" s="1168"/>
      <c r="AA83" s="1672"/>
      <c r="AB83" s="572"/>
      <c r="AC83" s="572"/>
      <c r="AD83" s="572"/>
      <c r="AE83" s="572"/>
    </row>
    <row s="3878" customFormat="1" customHeight="1" ht="11.25">
      <c r="A84" s="994"/>
      <c r="B84" s="1676"/>
      <c r="C84" s="1676"/>
      <c r="D84" s="347"/>
      <c r="K84" s="1168"/>
      <c r="L84" s="1676"/>
      <c r="M84" s="1676"/>
      <c r="N84" s="1168"/>
      <c r="O84" s="1168"/>
      <c r="P84" s="1168"/>
      <c r="Q84" s="1168"/>
      <c r="R84" s="1676"/>
      <c r="S84" s="1168"/>
      <c r="T84" s="1168"/>
      <c r="U84" s="550"/>
      <c r="V84" s="1168"/>
      <c r="W84" s="1168"/>
      <c r="X84" s="1168"/>
      <c r="Y84" s="1168"/>
      <c r="Z84" s="1168"/>
      <c r="AA84" s="1672"/>
      <c r="AB84" s="572"/>
      <c r="AC84" s="572"/>
      <c r="AD84" s="572"/>
      <c r="AE84" s="572"/>
    </row>
    <row s="3878" customFormat="1" customHeight="1" ht="11.25">
      <c r="A85" s="994"/>
      <c r="B85" s="1676"/>
      <c r="C85" s="1676"/>
      <c r="D85" s="347"/>
      <c r="K85" s="1168"/>
      <c r="L85" s="1676"/>
      <c r="M85" s="1676"/>
      <c r="N85" s="1168"/>
      <c r="O85" s="1168"/>
      <c r="P85" s="1168"/>
      <c r="Q85" s="1168"/>
      <c r="R85" s="1676"/>
      <c r="S85" s="1168"/>
      <c r="T85" s="1168"/>
      <c r="U85" s="550"/>
      <c r="V85" s="1168"/>
      <c r="W85" s="1168"/>
      <c r="X85" s="1168"/>
      <c r="Y85" s="1168"/>
      <c r="Z85" s="1168"/>
      <c r="AA85" s="1672"/>
      <c r="AB85" s="572"/>
      <c r="AC85" s="572"/>
      <c r="AD85" s="572"/>
      <c r="AE85" s="572"/>
    </row>
    <row s="3878" customFormat="1" customHeight="1" ht="11.25">
      <c r="A86" s="994"/>
      <c r="B86" s="1676"/>
      <c r="C86" s="1676"/>
      <c r="D86" s="347"/>
      <c r="K86" s="1168"/>
      <c r="L86" s="1676"/>
      <c r="M86" s="1676"/>
      <c r="N86" s="1168"/>
      <c r="O86" s="1168"/>
      <c r="P86" s="1168"/>
      <c r="Q86" s="1168"/>
      <c r="R86" s="1676"/>
      <c r="S86" s="1168"/>
      <c r="T86" s="1168"/>
      <c r="U86" s="550"/>
      <c r="V86" s="1168"/>
      <c r="W86" s="1168"/>
      <c r="X86" s="1168"/>
      <c r="Y86" s="1168"/>
      <c r="Z86" s="1168"/>
      <c r="AA86" s="1672"/>
      <c r="AB86" s="572"/>
      <c r="AC86" s="572"/>
      <c r="AD86" s="572"/>
      <c r="AE86" s="572"/>
    </row>
    <row s="3878" customFormat="1" customHeight="1" ht="11.25">
      <c r="A87" s="994"/>
      <c r="B87" s="1676"/>
      <c r="C87" s="1676"/>
      <c r="D87" s="347"/>
      <c r="K87" s="1168"/>
      <c r="L87" s="1676"/>
      <c r="M87" s="1676"/>
      <c r="N87" s="1168"/>
      <c r="O87" s="1168"/>
      <c r="P87" s="1168"/>
      <c r="Q87" s="1168"/>
      <c r="R87" s="1676"/>
      <c r="S87" s="1168"/>
      <c r="T87" s="1168"/>
      <c r="U87" s="550"/>
      <c r="V87" s="1168"/>
      <c r="W87" s="1168"/>
      <c r="X87" s="1168"/>
      <c r="Y87" s="1168"/>
      <c r="Z87" s="1168"/>
      <c r="AA87" s="1672"/>
      <c r="AB87" s="572"/>
      <c r="AC87" s="572"/>
      <c r="AD87" s="572"/>
      <c r="AE87" s="572"/>
    </row>
    <row s="3878" customFormat="1" customHeight="1" ht="11.25">
      <c r="A88" s="994"/>
      <c r="B88" s="1676"/>
      <c r="C88" s="1676"/>
      <c r="D88" s="347"/>
      <c r="K88" s="1168"/>
      <c r="L88" s="1676"/>
      <c r="M88" s="1676"/>
      <c r="N88" s="1168"/>
      <c r="O88" s="1168"/>
      <c r="P88" s="1168"/>
      <c r="Q88" s="1168"/>
      <c r="R88" s="1676"/>
      <c r="S88" s="1168"/>
      <c r="T88" s="1168"/>
      <c r="U88" s="550"/>
      <c r="V88" s="1168"/>
      <c r="W88" s="1168"/>
      <c r="X88" s="1168"/>
      <c r="Y88" s="1168"/>
      <c r="Z88" s="1168"/>
      <c r="AA88" s="1672"/>
      <c r="AB88" s="572"/>
      <c r="AC88" s="572"/>
      <c r="AD88" s="572"/>
      <c r="AE88" s="572"/>
    </row>
    <row s="3878" customFormat="1" customHeight="1" ht="11.25">
      <c r="A89" s="994"/>
      <c r="B89" s="1676"/>
      <c r="C89" s="1676"/>
      <c r="D89" s="347"/>
      <c r="K89" s="1168"/>
      <c r="L89" s="1676"/>
      <c r="M89" s="1676"/>
      <c r="N89" s="1168"/>
      <c r="O89" s="1168"/>
      <c r="P89" s="1168"/>
      <c r="Q89" s="1168"/>
      <c r="R89" s="1676"/>
      <c r="S89" s="1168"/>
      <c r="T89" s="1168"/>
      <c r="U89" s="550"/>
      <c r="V89" s="1168"/>
      <c r="W89" s="1168"/>
      <c r="X89" s="1168"/>
      <c r="Y89" s="1168"/>
      <c r="Z89" s="1168"/>
      <c r="AA89" s="1672"/>
      <c r="AB89" s="572"/>
      <c r="AC89" s="572"/>
      <c r="AD89" s="572"/>
      <c r="AE89" s="572"/>
    </row>
    <row s="3878" customFormat="1" customHeight="1" ht="11.25">
      <c r="A90" s="994"/>
      <c r="B90" s="1676"/>
      <c r="C90" s="1676"/>
      <c r="D90" s="347"/>
      <c r="K90" s="1168"/>
      <c r="L90" s="1676"/>
      <c r="M90" s="1676"/>
      <c r="N90" s="1168"/>
      <c r="O90" s="1168"/>
      <c r="P90" s="1168"/>
      <c r="Q90" s="1168"/>
      <c r="R90" s="1676"/>
      <c r="S90" s="1168"/>
      <c r="T90" s="1168"/>
      <c r="U90" s="550"/>
      <c r="V90" s="1168"/>
      <c r="W90" s="1168"/>
      <c r="X90" s="1168"/>
      <c r="Y90" s="1168"/>
      <c r="Z90" s="1168"/>
      <c r="AA90" s="1672"/>
      <c r="AB90" s="572"/>
      <c r="AC90" s="572"/>
      <c r="AD90" s="572"/>
      <c r="AE90" s="572"/>
    </row>
    <row s="3878" customFormat="1" customHeight="1" ht="11.25">
      <c r="A91" s="994"/>
      <c r="B91" s="1676"/>
      <c r="C91" s="1676"/>
      <c r="D91" s="347"/>
      <c r="K91" s="1168"/>
      <c r="L91" s="1676"/>
      <c r="M91" s="1676"/>
      <c r="N91" s="1168"/>
      <c r="O91" s="1168"/>
      <c r="P91" s="1168"/>
      <c r="Q91" s="1168"/>
      <c r="R91" s="1676"/>
      <c r="S91" s="1168"/>
      <c r="T91" s="1168"/>
      <c r="U91" s="550"/>
      <c r="V91" s="1168"/>
      <c r="W91" s="1168"/>
      <c r="X91" s="1168"/>
      <c r="Y91" s="1168"/>
      <c r="Z91" s="1168"/>
      <c r="AA91" s="1672"/>
      <c r="AB91" s="572"/>
      <c r="AC91" s="572"/>
      <c r="AD91" s="572"/>
      <c r="AE91" s="572"/>
    </row>
    <row s="3878" customFormat="1" customHeight="1" ht="11.25">
      <c r="A92" s="994"/>
      <c r="B92" s="1676"/>
      <c r="C92" s="1676"/>
      <c r="D92" s="347"/>
      <c r="K92" s="1168"/>
      <c r="L92" s="1676"/>
      <c r="M92" s="1676"/>
      <c r="N92" s="1168"/>
      <c r="O92" s="1168"/>
      <c r="P92" s="1168"/>
      <c r="Q92" s="1168"/>
      <c r="R92" s="1676"/>
      <c r="S92" s="1168"/>
      <c r="T92" s="1168"/>
      <c r="U92" s="550"/>
      <c r="V92" s="1168"/>
      <c r="W92" s="1168"/>
      <c r="X92" s="1168"/>
      <c r="Y92" s="1168"/>
      <c r="Z92" s="1168"/>
      <c r="AA92" s="1672"/>
      <c r="AB92" s="572"/>
      <c r="AC92" s="572"/>
      <c r="AD92" s="572"/>
      <c r="AE92" s="572"/>
    </row>
    <row s="3878" customFormat="1" customHeight="1" ht="11.25">
      <c r="A93" s="994"/>
      <c r="B93" s="1676"/>
      <c r="C93" s="1676"/>
      <c r="D93" s="347"/>
      <c r="K93" s="1168"/>
      <c r="L93" s="1676"/>
      <c r="M93" s="1676"/>
      <c r="N93" s="1168"/>
      <c r="O93" s="1168"/>
      <c r="P93" s="1168"/>
      <c r="Q93" s="1168"/>
      <c r="R93" s="1676"/>
      <c r="S93" s="1168"/>
      <c r="T93" s="1168"/>
      <c r="U93" s="550"/>
      <c r="V93" s="1168"/>
      <c r="W93" s="1168"/>
      <c r="X93" s="1168"/>
      <c r="Y93" s="1168"/>
      <c r="Z93" s="1168"/>
      <c r="AA93" s="1672"/>
      <c r="AB93" s="572"/>
      <c r="AC93" s="572"/>
      <c r="AD93" s="572"/>
      <c r="AE93" s="572"/>
    </row>
    <row s="3878" customFormat="1" customHeight="1" ht="11.25">
      <c r="A94" s="994"/>
      <c r="B94" s="1676"/>
      <c r="C94" s="1676"/>
      <c r="D94" s="347"/>
      <c r="K94" s="1168"/>
      <c r="L94" s="1676"/>
      <c r="M94" s="1676"/>
      <c r="N94" s="1168"/>
      <c r="O94" s="1168"/>
      <c r="P94" s="1168"/>
      <c r="Q94" s="1168"/>
      <c r="R94" s="1676"/>
      <c r="S94" s="1168"/>
      <c r="T94" s="1168"/>
      <c r="U94" s="550"/>
      <c r="V94" s="1168"/>
      <c r="W94" s="1168"/>
      <c r="X94" s="1168"/>
      <c r="Y94" s="1168"/>
      <c r="Z94" s="1168"/>
      <c r="AA94" s="1672"/>
      <c r="AB94" s="572"/>
      <c r="AC94" s="572"/>
      <c r="AD94" s="572"/>
      <c r="AE94" s="572"/>
    </row>
    <row s="3878" customFormat="1" customHeight="1" ht="11.25">
      <c r="A95" s="994"/>
      <c r="B95" s="1676"/>
      <c r="C95" s="1676"/>
      <c r="D95" s="347"/>
      <c r="K95" s="1168"/>
      <c r="L95" s="1676"/>
      <c r="M95" s="1676"/>
      <c r="N95" s="1168"/>
      <c r="O95" s="1168"/>
      <c r="P95" s="1168"/>
      <c r="Q95" s="1168"/>
      <c r="R95" s="1676"/>
      <c r="S95" s="1168"/>
      <c r="T95" s="1168"/>
      <c r="U95" s="550"/>
      <c r="V95" s="1168"/>
      <c r="W95" s="1168"/>
      <c r="X95" s="1168"/>
      <c r="Y95" s="1168"/>
      <c r="Z95" s="1168"/>
      <c r="AA95" s="1672"/>
      <c r="AB95" s="572"/>
      <c r="AC95" s="572"/>
      <c r="AD95" s="572"/>
      <c r="AE95" s="572"/>
    </row>
    <row s="3878" customFormat="1" customHeight="1" ht="11.25">
      <c r="A96" s="994"/>
      <c r="B96" s="1676"/>
      <c r="C96" s="1676"/>
      <c r="D96" s="347"/>
      <c r="K96" s="1168"/>
      <c r="L96" s="1676"/>
      <c r="M96" s="1676"/>
      <c r="N96" s="1168"/>
      <c r="O96" s="1168"/>
      <c r="P96" s="1168"/>
      <c r="Q96" s="1168"/>
      <c r="R96" s="1676"/>
      <c r="S96" s="1168"/>
      <c r="T96" s="1168"/>
      <c r="U96" s="550"/>
      <c r="V96" s="1168"/>
      <c r="W96" s="1168"/>
      <c r="X96" s="1168"/>
      <c r="Y96" s="1168"/>
      <c r="Z96" s="1168"/>
      <c r="AA96" s="1672"/>
      <c r="AB96" s="572"/>
      <c r="AC96" s="572"/>
      <c r="AD96" s="572"/>
      <c r="AE96" s="572"/>
    </row>
    <row s="3878" customFormat="1" customHeight="1" ht="11.25">
      <c r="A97" s="994"/>
      <c r="B97" s="1676"/>
      <c r="C97" s="1676"/>
      <c r="D97" s="347"/>
      <c r="K97" s="1168"/>
      <c r="L97" s="1676"/>
      <c r="M97" s="1676"/>
      <c r="N97" s="1168"/>
      <c r="O97" s="1168"/>
      <c r="P97" s="1168"/>
      <c r="Q97" s="1168"/>
      <c r="R97" s="1676"/>
      <c r="S97" s="1168"/>
      <c r="T97" s="1168"/>
      <c r="U97" s="550"/>
      <c r="V97" s="1168"/>
      <c r="W97" s="1168"/>
      <c r="X97" s="1168"/>
      <c r="Y97" s="1168"/>
      <c r="Z97" s="1168"/>
      <c r="AA97" s="1672"/>
      <c r="AB97" s="572"/>
      <c r="AC97" s="572"/>
      <c r="AD97" s="572"/>
      <c r="AE97" s="572"/>
    </row>
    <row s="3878" customFormat="1" customHeight="1" ht="11.25">
      <c r="A98" s="994"/>
      <c r="B98" s="1676"/>
      <c r="C98" s="1676"/>
      <c r="D98" s="347"/>
      <c r="K98" s="1168"/>
      <c r="L98" s="1676"/>
      <c r="M98" s="1676"/>
      <c r="N98" s="1168"/>
      <c r="O98" s="1168"/>
      <c r="P98" s="1168"/>
      <c r="Q98" s="1168"/>
      <c r="R98" s="1676"/>
      <c r="S98" s="1168"/>
      <c r="T98" s="1168"/>
      <c r="U98" s="550"/>
      <c r="V98" s="1168"/>
      <c r="W98" s="1168"/>
      <c r="X98" s="1168"/>
      <c r="Y98" s="1168"/>
      <c r="Z98" s="1168"/>
      <c r="AA98" s="1672"/>
      <c r="AB98" s="572"/>
      <c r="AC98" s="572"/>
      <c r="AD98" s="572"/>
      <c r="AE98" s="572"/>
    </row>
    <row s="3878" customFormat="1" customHeight="1" ht="11.25">
      <c r="A99" s="994"/>
      <c r="B99" s="1676"/>
      <c r="C99" s="1676"/>
      <c r="D99" s="347"/>
      <c r="K99" s="1168"/>
      <c r="L99" s="1676"/>
      <c r="M99" s="1676"/>
      <c r="N99" s="1168"/>
      <c r="O99" s="1168"/>
      <c r="P99" s="1168"/>
      <c r="Q99" s="1168"/>
      <c r="R99" s="1676"/>
      <c r="S99" s="1168"/>
      <c r="T99" s="1168"/>
      <c r="U99" s="550"/>
      <c r="V99" s="1168"/>
      <c r="W99" s="1168"/>
      <c r="X99" s="1168"/>
      <c r="Y99" s="1168"/>
      <c r="Z99" s="1168"/>
      <c r="AA99" s="1672"/>
      <c r="AB99" s="572"/>
      <c r="AC99" s="572"/>
      <c r="AD99" s="572"/>
      <c r="AE99" s="572"/>
    </row>
    <row s="3878" customFormat="1" customHeight="1" ht="11.25">
      <c r="A100" s="994"/>
      <c r="B100" s="1676"/>
      <c r="C100" s="1676"/>
      <c r="D100" s="347"/>
      <c r="K100" s="1168"/>
      <c r="L100" s="1676"/>
      <c r="M100" s="1676"/>
      <c r="N100" s="1168"/>
      <c r="O100" s="1168"/>
      <c r="P100" s="1168"/>
      <c r="Q100" s="1168"/>
      <c r="R100" s="1676"/>
      <c r="S100" s="1168"/>
      <c r="T100" s="1168"/>
      <c r="U100" s="550"/>
      <c r="V100" s="1168"/>
      <c r="W100" s="1168"/>
      <c r="X100" s="1168"/>
      <c r="Y100" s="1168"/>
      <c r="Z100" s="1168"/>
      <c r="AA100" s="1672"/>
      <c r="AB100" s="572"/>
      <c r="AC100" s="572"/>
      <c r="AD100" s="572"/>
      <c r="AE100" s="572"/>
    </row>
    <row s="3878" customFormat="1" customHeight="1" ht="11.25">
      <c r="A101" s="994"/>
      <c r="B101" s="1676"/>
      <c r="C101" s="1676"/>
      <c r="D101" s="347"/>
      <c r="K101" s="1168"/>
      <c r="L101" s="1676"/>
      <c r="M101" s="1676"/>
      <c r="N101" s="1168"/>
      <c r="O101" s="1168"/>
      <c r="P101" s="1168"/>
      <c r="Q101" s="1168"/>
      <c r="R101" s="1676"/>
      <c r="S101" s="1168"/>
      <c r="T101" s="1168"/>
      <c r="U101" s="550"/>
      <c r="V101" s="1168"/>
      <c r="W101" s="1168"/>
      <c r="X101" s="1168"/>
      <c r="Y101" s="1168"/>
      <c r="Z101" s="1168"/>
      <c r="AA101" s="1672"/>
      <c r="AB101" s="572"/>
      <c r="AC101" s="572"/>
      <c r="AD101" s="572"/>
      <c r="AE101" s="572"/>
    </row>
    <row s="3878" customFormat="1" customHeight="1" ht="11.25">
      <c r="A102" s="994"/>
      <c r="B102" s="1676"/>
      <c r="C102" s="1676"/>
      <c r="D102" s="347"/>
      <c r="K102" s="1168"/>
      <c r="L102" s="1676"/>
      <c r="M102" s="1676"/>
      <c r="N102" s="1168"/>
      <c r="O102" s="1168"/>
      <c r="P102" s="1168"/>
      <c r="Q102" s="1168"/>
      <c r="R102" s="1676"/>
      <c r="S102" s="1168"/>
      <c r="T102" s="1168"/>
      <c r="U102" s="550"/>
      <c r="V102" s="1168"/>
      <c r="W102" s="1168"/>
      <c r="X102" s="1168"/>
      <c r="Y102" s="1168"/>
      <c r="Z102" s="1168"/>
      <c r="AA102" s="1672"/>
      <c r="AB102" s="572"/>
      <c r="AC102" s="572"/>
      <c r="AD102" s="572"/>
      <c r="AE102" s="572"/>
    </row>
    <row s="3878" customFormat="1" customHeight="1" ht="11.25">
      <c r="A103" s="994"/>
      <c r="B103" s="1676"/>
      <c r="C103" s="1676"/>
      <c r="D103" s="347"/>
      <c r="K103" s="1168"/>
      <c r="L103" s="1676"/>
      <c r="M103" s="1676"/>
      <c r="N103" s="1168"/>
      <c r="O103" s="1168"/>
      <c r="P103" s="1168"/>
      <c r="Q103" s="1168"/>
      <c r="R103" s="1676"/>
      <c r="S103" s="1168"/>
      <c r="T103" s="1168"/>
      <c r="U103" s="550"/>
      <c r="V103" s="1168"/>
      <c r="W103" s="1168"/>
      <c r="X103" s="1168"/>
      <c r="Y103" s="1168"/>
      <c r="Z103" s="1168"/>
      <c r="AA103" s="1672"/>
      <c r="AB103" s="572"/>
      <c r="AC103" s="572"/>
      <c r="AD103" s="572"/>
      <c r="AE103" s="572"/>
    </row>
    <row s="3878" customFormat="1" customHeight="1" ht="11.25">
      <c r="A104" s="994"/>
      <c r="B104" s="1676"/>
      <c r="C104" s="1676"/>
      <c r="D104" s="347"/>
      <c r="K104" s="1168"/>
      <c r="L104" s="1676"/>
      <c r="M104" s="1676"/>
      <c r="N104" s="1168"/>
      <c r="O104" s="1168"/>
      <c r="P104" s="1168"/>
      <c r="Q104" s="1168"/>
      <c r="R104" s="1676"/>
      <c r="S104" s="1168"/>
      <c r="T104" s="1168"/>
      <c r="U104" s="550"/>
      <c r="V104" s="1168"/>
      <c r="W104" s="1168"/>
      <c r="X104" s="1168"/>
      <c r="Y104" s="1168"/>
      <c r="Z104" s="1168"/>
      <c r="AA104" s="1672"/>
      <c r="AB104" s="572"/>
      <c r="AC104" s="572"/>
      <c r="AD104" s="572"/>
      <c r="AE104" s="572"/>
    </row>
    <row s="3878" customFormat="1" customHeight="1" ht="11.25">
      <c r="A105" s="994"/>
      <c r="B105" s="1676"/>
      <c r="C105" s="1676"/>
      <c r="D105" s="347"/>
      <c r="K105" s="1168"/>
      <c r="L105" s="1676"/>
      <c r="M105" s="1676"/>
      <c r="N105" s="1168"/>
      <c r="O105" s="1168"/>
      <c r="P105" s="1168"/>
      <c r="Q105" s="1168"/>
      <c r="R105" s="1676"/>
      <c r="S105" s="1168"/>
      <c r="T105" s="1168"/>
      <c r="U105" s="550"/>
      <c r="V105" s="1168"/>
      <c r="W105" s="1168"/>
      <c r="X105" s="1168"/>
      <c r="Y105" s="1168"/>
      <c r="Z105" s="1168"/>
      <c r="AA105" s="1672"/>
      <c r="AB105" s="572"/>
      <c r="AC105" s="572"/>
      <c r="AD105" s="572"/>
      <c r="AE105" s="572"/>
    </row>
    <row s="3878" customFormat="1" customHeight="1" ht="11.25">
      <c r="A106" s="994"/>
      <c r="B106" s="1676"/>
      <c r="C106" s="1676"/>
      <c r="D106" s="347"/>
      <c r="K106" s="1168"/>
      <c r="L106" s="1676"/>
      <c r="M106" s="1676"/>
      <c r="N106" s="1168"/>
      <c r="O106" s="1168"/>
      <c r="P106" s="1168"/>
      <c r="Q106" s="1168"/>
      <c r="R106" s="1676"/>
      <c r="S106" s="1168"/>
      <c r="T106" s="1168"/>
      <c r="U106" s="550"/>
      <c r="V106" s="1168"/>
      <c r="W106" s="1168"/>
      <c r="X106" s="1168"/>
      <c r="Y106" s="1168"/>
      <c r="Z106" s="1168"/>
      <c r="AA106" s="1672"/>
      <c r="AB106" s="572"/>
      <c r="AC106" s="572"/>
      <c r="AD106" s="572"/>
      <c r="AE106" s="572"/>
    </row>
    <row s="3878" customFormat="1" customHeight="1" ht="11.25">
      <c r="A107" s="994"/>
      <c r="B107" s="1676"/>
      <c r="C107" s="1676"/>
      <c r="D107" s="347"/>
      <c r="K107" s="1168"/>
      <c r="L107" s="1676"/>
      <c r="M107" s="1676"/>
      <c r="N107" s="1168"/>
      <c r="O107" s="1168"/>
      <c r="P107" s="1168"/>
      <c r="Q107" s="1168"/>
      <c r="R107" s="1676"/>
      <c r="S107" s="1168"/>
      <c r="T107" s="1168"/>
      <c r="U107" s="550"/>
      <c r="V107" s="1168"/>
      <c r="W107" s="1168"/>
      <c r="X107" s="1168"/>
      <c r="Y107" s="1168"/>
      <c r="Z107" s="1168"/>
      <c r="AA107" s="1672"/>
      <c r="AB107" s="572"/>
      <c r="AC107" s="572"/>
      <c r="AD107" s="572"/>
      <c r="AE107" s="572"/>
    </row>
    <row s="3878" customFormat="1" customHeight="1" ht="11.25">
      <c r="A108" s="994"/>
      <c r="B108" s="1676"/>
      <c r="C108" s="1676"/>
      <c r="D108" s="347"/>
      <c r="K108" s="1168"/>
      <c r="L108" s="1676"/>
      <c r="M108" s="1676"/>
      <c r="N108" s="1168"/>
      <c r="O108" s="1168"/>
      <c r="P108" s="1168"/>
      <c r="Q108" s="1168"/>
      <c r="R108" s="1676"/>
      <c r="S108" s="1168"/>
      <c r="T108" s="1168"/>
      <c r="U108" s="550"/>
      <c r="V108" s="1168"/>
      <c r="W108" s="1168"/>
      <c r="X108" s="1168"/>
      <c r="Y108" s="1168"/>
      <c r="Z108" s="1168"/>
      <c r="AA108" s="1672"/>
      <c r="AB108" s="572"/>
      <c r="AC108" s="572"/>
      <c r="AD108" s="572"/>
      <c r="AE108" s="572"/>
    </row>
    <row s="3878" customFormat="1" customHeight="1" ht="11.25">
      <c r="A109" s="994"/>
      <c r="B109" s="1676"/>
      <c r="C109" s="1676"/>
      <c r="D109" s="347"/>
      <c r="K109" s="1168"/>
      <c r="L109" s="1676"/>
      <c r="M109" s="1676"/>
      <c r="N109" s="1168"/>
      <c r="O109" s="1168"/>
      <c r="P109" s="1168"/>
      <c r="Q109" s="1168"/>
      <c r="R109" s="1676"/>
      <c r="S109" s="1168"/>
      <c r="T109" s="1168"/>
      <c r="U109" s="550"/>
      <c r="V109" s="1168"/>
      <c r="W109" s="1168"/>
      <c r="X109" s="1168"/>
      <c r="Y109" s="1168"/>
      <c r="Z109" s="1168"/>
      <c r="AA109" s="1672"/>
      <c r="AB109" s="572"/>
      <c r="AC109" s="572"/>
      <c r="AD109" s="572"/>
      <c r="AE109" s="572"/>
    </row>
    <row s="3878" customFormat="1" customHeight="1" ht="11.25">
      <c r="A110" s="994"/>
      <c r="B110" s="1676"/>
      <c r="C110" s="1676"/>
      <c r="D110" s="347"/>
      <c r="K110" s="1168"/>
      <c r="L110" s="1676"/>
      <c r="M110" s="1676"/>
      <c r="N110" s="1168"/>
      <c r="O110" s="1168"/>
      <c r="P110" s="1168"/>
      <c r="Q110" s="1168"/>
      <c r="R110" s="1676"/>
      <c r="S110" s="1168"/>
      <c r="T110" s="1168"/>
      <c r="U110" s="550"/>
      <c r="V110" s="1168"/>
      <c r="W110" s="1168"/>
      <c r="X110" s="1168"/>
      <c r="Y110" s="1168"/>
      <c r="Z110" s="1168"/>
      <c r="AA110" s="1672"/>
      <c r="AB110" s="572"/>
      <c r="AC110" s="572"/>
      <c r="AD110" s="572"/>
      <c r="AE110" s="572"/>
    </row>
    <row s="3878" customFormat="1" customHeight="1" ht="11.25">
      <c r="A111" s="994"/>
      <c r="B111" s="1676"/>
      <c r="C111" s="1676"/>
      <c r="D111" s="347"/>
      <c r="K111" s="1168"/>
      <c r="L111" s="1676"/>
      <c r="M111" s="1676"/>
      <c r="N111" s="1168"/>
      <c r="O111" s="1168"/>
      <c r="P111" s="1168"/>
      <c r="Q111" s="1168"/>
      <c r="R111" s="1676"/>
      <c r="S111" s="1168"/>
      <c r="T111" s="1168"/>
      <c r="U111" s="550"/>
      <c r="V111" s="1168"/>
      <c r="W111" s="1168"/>
      <c r="X111" s="1168"/>
      <c r="Y111" s="1168"/>
      <c r="Z111" s="1168"/>
      <c r="AA111" s="1672"/>
      <c r="AB111" s="572"/>
      <c r="AC111" s="572"/>
      <c r="AD111" s="572"/>
      <c r="AE111" s="572"/>
    </row>
    <row s="3878" customFormat="1" customHeight="1" ht="11.25">
      <c r="A112" s="994"/>
      <c r="B112" s="1676"/>
      <c r="C112" s="1676"/>
      <c r="D112" s="347"/>
      <c r="K112" s="1168"/>
      <c r="L112" s="1676"/>
      <c r="M112" s="1676"/>
      <c r="N112" s="1168"/>
      <c r="O112" s="1168"/>
      <c r="P112" s="1168"/>
      <c r="Q112" s="1168"/>
      <c r="R112" s="1676"/>
      <c r="S112" s="1168"/>
      <c r="T112" s="1168"/>
      <c r="U112" s="550"/>
      <c r="V112" s="1168"/>
      <c r="W112" s="1168"/>
      <c r="X112" s="1168"/>
      <c r="Y112" s="1168"/>
      <c r="Z112" s="1168"/>
      <c r="AA112" s="1672"/>
      <c r="AB112" s="572"/>
      <c r="AC112" s="572"/>
      <c r="AD112" s="572"/>
      <c r="AE112" s="572"/>
    </row>
    <row s="3878" customFormat="1" customHeight="1" ht="11.25">
      <c r="A113" s="994"/>
      <c r="B113" s="1676"/>
      <c r="C113" s="1676"/>
      <c r="D113" s="347"/>
      <c r="K113" s="1168"/>
      <c r="L113" s="1676"/>
      <c r="M113" s="1676"/>
      <c r="N113" s="1168"/>
      <c r="O113" s="1168"/>
      <c r="P113" s="1168"/>
      <c r="Q113" s="1168"/>
      <c r="R113" s="1676"/>
      <c r="S113" s="1168"/>
      <c r="T113" s="1168"/>
      <c r="U113" s="550"/>
      <c r="V113" s="1168"/>
      <c r="W113" s="1168"/>
      <c r="X113" s="1168"/>
      <c r="Y113" s="1168"/>
      <c r="Z113" s="1168"/>
      <c r="AA113" s="1672"/>
      <c r="AB113" s="572"/>
      <c r="AC113" s="572"/>
      <c r="AD113" s="572"/>
      <c r="AE113" s="572"/>
    </row>
    <row s="3878" customFormat="1" customHeight="1" ht="11.25">
      <c r="A114" s="994"/>
      <c r="B114" s="1676"/>
      <c r="C114" s="1676"/>
      <c r="D114" s="347"/>
      <c r="K114" s="1168"/>
      <c r="L114" s="1676"/>
      <c r="M114" s="1676"/>
      <c r="N114" s="1168"/>
      <c r="O114" s="1168"/>
      <c r="P114" s="1168"/>
      <c r="Q114" s="1168"/>
      <c r="R114" s="1676"/>
      <c r="S114" s="1168"/>
      <c r="T114" s="1168"/>
      <c r="U114" s="550"/>
      <c r="V114" s="1168"/>
      <c r="W114" s="1168"/>
      <c r="X114" s="1168"/>
      <c r="Y114" s="1168"/>
      <c r="Z114" s="1168"/>
      <c r="AA114" s="1672"/>
      <c r="AB114" s="572"/>
      <c r="AC114" s="572"/>
      <c r="AD114" s="572"/>
      <c r="AE114" s="572"/>
    </row>
    <row s="3878" customFormat="1" customHeight="1" ht="11.25">
      <c r="A115" s="994"/>
      <c r="B115" s="1676"/>
      <c r="C115" s="1676"/>
      <c r="D115" s="347"/>
      <c r="K115" s="1168"/>
      <c r="L115" s="1676"/>
      <c r="M115" s="1676"/>
      <c r="N115" s="1168"/>
      <c r="O115" s="1168"/>
      <c r="P115" s="1168"/>
      <c r="Q115" s="1168"/>
      <c r="R115" s="1676"/>
      <c r="S115" s="1168"/>
      <c r="T115" s="1168"/>
      <c r="U115" s="550"/>
      <c r="V115" s="1168"/>
      <c r="W115" s="1168"/>
      <c r="X115" s="1168"/>
      <c r="Y115" s="1168"/>
      <c r="Z115" s="1168"/>
      <c r="AA115" s="1672"/>
      <c r="AB115" s="572"/>
      <c r="AC115" s="572"/>
      <c r="AD115" s="572"/>
      <c r="AE115" s="572"/>
    </row>
    <row s="3878" customFormat="1" customHeight="1" ht="11.25">
      <c r="A116" s="994"/>
      <c r="B116" s="1676"/>
      <c r="C116" s="1676"/>
      <c r="D116" s="347"/>
      <c r="K116" s="1168"/>
      <c r="L116" s="1676"/>
      <c r="M116" s="1676"/>
      <c r="N116" s="1168"/>
      <c r="O116" s="1168"/>
      <c r="P116" s="1168"/>
      <c r="Q116" s="1168"/>
      <c r="R116" s="1676"/>
      <c r="S116" s="1168"/>
      <c r="T116" s="1168"/>
      <c r="U116" s="550"/>
      <c r="V116" s="1168"/>
      <c r="W116" s="1168"/>
      <c r="X116" s="1168"/>
      <c r="Y116" s="1168"/>
      <c r="Z116" s="1168"/>
      <c r="AA116" s="1672"/>
      <c r="AB116" s="572"/>
      <c r="AC116" s="572"/>
      <c r="AD116" s="572"/>
      <c r="AE116" s="572"/>
    </row>
    <row s="3878" customFormat="1" customHeight="1" ht="11.25">
      <c r="A117" s="994"/>
      <c r="B117" s="1676"/>
      <c r="C117" s="1676"/>
      <c r="D117" s="347"/>
      <c r="K117" s="1168"/>
      <c r="L117" s="1676"/>
      <c r="M117" s="1676"/>
      <c r="N117" s="1168"/>
      <c r="O117" s="1168"/>
      <c r="P117" s="1168"/>
      <c r="Q117" s="1168"/>
      <c r="R117" s="1676"/>
      <c r="S117" s="1168"/>
      <c r="T117" s="1168"/>
      <c r="U117" s="550"/>
      <c r="V117" s="1168"/>
      <c r="W117" s="1168"/>
      <c r="X117" s="1168"/>
      <c r="Y117" s="1168"/>
      <c r="Z117" s="1168"/>
      <c r="AA117" s="1672"/>
      <c r="AB117" s="572"/>
      <c r="AC117" s="572"/>
      <c r="AD117" s="572"/>
      <c r="AE117" s="572"/>
    </row>
    <row s="3878" customFormat="1" customHeight="1" ht="11.25">
      <c r="A118" s="994"/>
      <c r="B118" s="1676"/>
      <c r="C118" s="1676"/>
      <c r="D118" s="347"/>
      <c r="K118" s="1168"/>
      <c r="L118" s="1676"/>
      <c r="M118" s="1676"/>
      <c r="N118" s="1168"/>
      <c r="O118" s="1168"/>
      <c r="P118" s="1168"/>
      <c r="Q118" s="1168"/>
      <c r="R118" s="1676"/>
      <c r="S118" s="1168"/>
      <c r="T118" s="1168"/>
      <c r="U118" s="550"/>
      <c r="V118" s="1168"/>
      <c r="W118" s="1168"/>
      <c r="X118" s="1168"/>
      <c r="Y118" s="1168"/>
      <c r="Z118" s="1168"/>
      <c r="AA118" s="1672"/>
      <c r="AB118" s="572"/>
      <c r="AC118" s="572"/>
      <c r="AD118" s="572"/>
      <c r="AE118" s="572"/>
    </row>
    <row s="3878" customFormat="1" customHeight="1" ht="11.25">
      <c r="A119" s="994"/>
      <c r="B119" s="1676"/>
      <c r="C119" s="1676"/>
      <c r="D119" s="347"/>
      <c r="K119" s="1168"/>
      <c r="L119" s="1676"/>
      <c r="M119" s="1676"/>
      <c r="N119" s="1168"/>
      <c r="O119" s="1168"/>
      <c r="P119" s="1168"/>
      <c r="Q119" s="1168"/>
      <c r="R119" s="1676"/>
      <c r="S119" s="1168"/>
      <c r="T119" s="1168"/>
      <c r="U119" s="550"/>
      <c r="V119" s="1168"/>
      <c r="W119" s="1168"/>
      <c r="X119" s="1168"/>
      <c r="Y119" s="1168"/>
      <c r="Z119" s="1168"/>
      <c r="AA119" s="1672"/>
      <c r="AB119" s="572"/>
      <c r="AC119" s="572"/>
      <c r="AD119" s="572"/>
      <c r="AE119" s="572"/>
    </row>
    <row s="3878" customFormat="1" customHeight="1" ht="11.25">
      <c r="A120" s="994"/>
      <c r="B120" s="1676"/>
      <c r="C120" s="1676"/>
      <c r="D120" s="347"/>
      <c r="K120" s="1168"/>
      <c r="L120" s="1676"/>
      <c r="M120" s="1676"/>
      <c r="N120" s="1168"/>
      <c r="O120" s="1168"/>
      <c r="P120" s="1168"/>
      <c r="Q120" s="1168"/>
      <c r="R120" s="1676"/>
      <c r="S120" s="1168"/>
      <c r="T120" s="1168"/>
      <c r="U120" s="550"/>
      <c r="V120" s="1168"/>
      <c r="W120" s="1168"/>
      <c r="X120" s="1168"/>
      <c r="Y120" s="1168"/>
      <c r="Z120" s="1168"/>
      <c r="AA120" s="1672"/>
      <c r="AB120" s="572"/>
      <c r="AC120" s="572"/>
      <c r="AD120" s="572"/>
      <c r="AE120" s="572"/>
    </row>
    <row s="3878" customFormat="1" customHeight="1" ht="11.25">
      <c r="A121" s="994"/>
      <c r="B121" s="1676"/>
      <c r="C121" s="1676"/>
      <c r="D121" s="347"/>
      <c r="K121" s="1168"/>
      <c r="L121" s="1676"/>
      <c r="M121" s="1676"/>
      <c r="N121" s="1168"/>
      <c r="O121" s="1168"/>
      <c r="P121" s="1168"/>
      <c r="Q121" s="1168"/>
      <c r="R121" s="1676"/>
      <c r="S121" s="1168"/>
      <c r="T121" s="1168"/>
      <c r="U121" s="550"/>
      <c r="V121" s="1168"/>
      <c r="W121" s="1168"/>
      <c r="X121" s="1168"/>
      <c r="Y121" s="1168"/>
      <c r="Z121" s="1168"/>
      <c r="AA121" s="1672"/>
      <c r="AB121" s="572"/>
      <c r="AC121" s="572"/>
      <c r="AD121" s="572"/>
      <c r="AE121" s="572"/>
    </row>
    <row s="3878" customFormat="1" customHeight="1" ht="11.25">
      <c r="A122" s="994"/>
      <c r="B122" s="1676"/>
      <c r="C122" s="1676"/>
      <c r="D122" s="347"/>
      <c r="K122" s="1168"/>
      <c r="L122" s="1676"/>
      <c r="M122" s="1676"/>
      <c r="N122" s="1168"/>
      <c r="O122" s="1168"/>
      <c r="P122" s="1168"/>
      <c r="Q122" s="1168"/>
      <c r="R122" s="1676"/>
      <c r="S122" s="1168"/>
      <c r="T122" s="1168"/>
      <c r="U122" s="550"/>
      <c r="V122" s="1168"/>
      <c r="W122" s="1168"/>
      <c r="X122" s="1168"/>
      <c r="Y122" s="1168"/>
      <c r="Z122" s="1168"/>
      <c r="AA122" s="1672"/>
      <c r="AB122" s="572"/>
      <c r="AC122" s="572"/>
      <c r="AD122" s="572"/>
      <c r="AE122" s="572"/>
    </row>
    <row s="3878" customFormat="1" customHeight="1" ht="11.25">
      <c r="A123" s="994"/>
      <c r="B123" s="1676"/>
      <c r="C123" s="1676"/>
      <c r="D123" s="347"/>
      <c r="K123" s="1168"/>
      <c r="L123" s="1676"/>
      <c r="M123" s="1676"/>
      <c r="N123" s="1168"/>
      <c r="O123" s="1168"/>
      <c r="P123" s="1168"/>
      <c r="Q123" s="1168"/>
      <c r="R123" s="1676"/>
      <c r="S123" s="1168"/>
      <c r="T123" s="1168"/>
      <c r="U123" s="550"/>
      <c r="V123" s="1168"/>
      <c r="W123" s="1168"/>
      <c r="X123" s="1168"/>
      <c r="Y123" s="1168"/>
      <c r="Z123" s="1168"/>
      <c r="AA123" s="1672"/>
      <c r="AB123" s="572"/>
      <c r="AC123" s="572"/>
      <c r="AD123" s="572"/>
      <c r="AE123" s="572"/>
    </row>
    <row s="3878" customFormat="1" customHeight="1" ht="11.25">
      <c r="A124" s="994"/>
      <c r="B124" s="1676"/>
      <c r="C124" s="1676"/>
      <c r="D124" s="347"/>
      <c r="K124" s="1168"/>
      <c r="L124" s="1676"/>
      <c r="M124" s="1676"/>
      <c r="N124" s="1168"/>
      <c r="O124" s="1168"/>
      <c r="P124" s="1168"/>
      <c r="Q124" s="1168"/>
      <c r="R124" s="1676"/>
      <c r="S124" s="1168"/>
      <c r="T124" s="1168"/>
      <c r="U124" s="550"/>
      <c r="V124" s="1168"/>
      <c r="W124" s="1168"/>
      <c r="X124" s="1168"/>
      <c r="Y124" s="1168"/>
      <c r="Z124" s="1168"/>
      <c r="AA124" s="1672"/>
      <c r="AB124" s="572"/>
      <c r="AC124" s="572"/>
      <c r="AD124" s="572"/>
      <c r="AE124" s="572"/>
    </row>
    <row s="3878" customFormat="1" customHeight="1" ht="11.25">
      <c r="A125" s="994"/>
      <c r="B125" s="1676"/>
      <c r="C125" s="1676"/>
      <c r="D125" s="347"/>
      <c r="K125" s="1168"/>
      <c r="L125" s="1676"/>
      <c r="M125" s="1676"/>
      <c r="N125" s="1168"/>
      <c r="O125" s="1168"/>
      <c r="P125" s="1168"/>
      <c r="Q125" s="1168"/>
      <c r="R125" s="1676"/>
      <c r="S125" s="1168"/>
      <c r="T125" s="1168"/>
      <c r="U125" s="550"/>
      <c r="V125" s="1168"/>
      <c r="W125" s="1168"/>
      <c r="X125" s="1168"/>
      <c r="Y125" s="1168"/>
      <c r="Z125" s="1168"/>
      <c r="AA125" s="1672"/>
      <c r="AB125" s="572"/>
      <c r="AC125" s="572"/>
      <c r="AD125" s="572"/>
      <c r="AE125" s="572"/>
    </row>
    <row s="3878" customFormat="1" customHeight="1" ht="11.25">
      <c r="A126" s="994"/>
      <c r="B126" s="1676"/>
      <c r="C126" s="1676"/>
      <c r="D126" s="347"/>
      <c r="K126" s="1168"/>
      <c r="L126" s="1676"/>
      <c r="M126" s="1676"/>
      <c r="N126" s="1168"/>
      <c r="O126" s="1168"/>
      <c r="P126" s="1168"/>
      <c r="Q126" s="1168"/>
      <c r="R126" s="1676"/>
      <c r="S126" s="1168"/>
      <c r="T126" s="1168"/>
      <c r="U126" s="550"/>
      <c r="V126" s="1168"/>
      <c r="W126" s="1168"/>
      <c r="X126" s="1168"/>
      <c r="Y126" s="1168"/>
      <c r="Z126" s="1168"/>
      <c r="AA126" s="1672"/>
      <c r="AB126" s="572"/>
      <c r="AC126" s="572"/>
      <c r="AD126" s="572"/>
      <c r="AE126" s="572"/>
    </row>
    <row s="3878" customFormat="1" customHeight="1" ht="11.25">
      <c r="A127" s="994"/>
      <c r="B127" s="1676"/>
      <c r="C127" s="1676"/>
      <c r="D127" s="347"/>
      <c r="K127" s="1168"/>
      <c r="L127" s="1676"/>
      <c r="M127" s="1676"/>
      <c r="N127" s="1168"/>
      <c r="O127" s="1168"/>
      <c r="P127" s="1168"/>
      <c r="Q127" s="1168"/>
      <c r="R127" s="1676"/>
      <c r="S127" s="1168"/>
      <c r="T127" s="1168"/>
      <c r="U127" s="550"/>
      <c r="V127" s="1168"/>
      <c r="W127" s="1168"/>
      <c r="X127" s="1168"/>
      <c r="Y127" s="1168"/>
      <c r="Z127" s="1168"/>
      <c r="AA127" s="1672"/>
      <c r="AB127" s="572"/>
      <c r="AC127" s="572"/>
      <c r="AD127" s="572"/>
      <c r="AE127" s="572"/>
    </row>
    <row s="3878" customFormat="1" customHeight="1" ht="11.25">
      <c r="A128" s="994"/>
      <c r="B128" s="1676"/>
      <c r="C128" s="1676"/>
      <c r="D128" s="347"/>
      <c r="K128" s="1168"/>
      <c r="L128" s="1676"/>
      <c r="M128" s="1676"/>
      <c r="N128" s="1168"/>
      <c r="O128" s="1168"/>
      <c r="P128" s="1168"/>
      <c r="Q128" s="1168"/>
      <c r="R128" s="1676"/>
      <c r="S128" s="1168"/>
      <c r="T128" s="1168"/>
      <c r="U128" s="550"/>
      <c r="V128" s="1168"/>
      <c r="W128" s="1168"/>
      <c r="X128" s="1168"/>
      <c r="Y128" s="1168"/>
      <c r="Z128" s="1168"/>
      <c r="AA128" s="1672"/>
      <c r="AB128" s="572"/>
      <c r="AC128" s="572"/>
      <c r="AD128" s="572"/>
      <c r="AE128" s="572"/>
    </row>
    <row s="3878" customFormat="1" customHeight="1" ht="11.25">
      <c r="A129" s="994"/>
      <c r="B129" s="1676"/>
      <c r="C129" s="1676"/>
      <c r="D129" s="347"/>
      <c r="K129" s="1168"/>
      <c r="L129" s="1676"/>
      <c r="M129" s="1676"/>
      <c r="N129" s="1168"/>
      <c r="O129" s="1168"/>
      <c r="P129" s="1168"/>
      <c r="Q129" s="1168"/>
      <c r="R129" s="1676"/>
      <c r="S129" s="1168"/>
      <c r="T129" s="1168"/>
      <c r="U129" s="550"/>
      <c r="V129" s="1168"/>
      <c r="W129" s="1168"/>
      <c r="X129" s="1168"/>
      <c r="Y129" s="1168"/>
      <c r="Z129" s="1168"/>
      <c r="AA129" s="1672"/>
      <c r="AB129" s="572"/>
      <c r="AC129" s="572"/>
      <c r="AD129" s="572"/>
      <c r="AE129" s="572"/>
    </row>
    <row s="3878" customFormat="1" customHeight="1" ht="11.25">
      <c r="A130" s="994"/>
      <c r="B130" s="1676"/>
      <c r="C130" s="1676"/>
      <c r="D130" s="347"/>
      <c r="K130" s="1168"/>
      <c r="L130" s="1676"/>
      <c r="M130" s="1676"/>
      <c r="N130" s="1168"/>
      <c r="O130" s="1168"/>
      <c r="P130" s="1168"/>
      <c r="Q130" s="1168"/>
      <c r="R130" s="1676"/>
      <c r="S130" s="1168"/>
      <c r="T130" s="1168"/>
      <c r="U130" s="550"/>
      <c r="V130" s="1168"/>
      <c r="W130" s="1168"/>
      <c r="X130" s="1168"/>
      <c r="Y130" s="1168"/>
      <c r="Z130" s="1168"/>
      <c r="AA130" s="1672"/>
      <c r="AB130" s="572"/>
      <c r="AC130" s="572"/>
      <c r="AD130" s="572"/>
      <c r="AE130" s="572"/>
    </row>
    <row s="3878" customFormat="1" customHeight="1" ht="11.25">
      <c r="A131" s="994"/>
      <c r="B131" s="1676"/>
      <c r="C131" s="1676"/>
      <c r="D131" s="347"/>
      <c r="K131" s="1168"/>
      <c r="L131" s="1676"/>
      <c r="M131" s="1676"/>
      <c r="N131" s="1168"/>
      <c r="O131" s="1168"/>
      <c r="P131" s="1168"/>
      <c r="Q131" s="1168"/>
      <c r="R131" s="1676"/>
      <c r="S131" s="1168"/>
      <c r="T131" s="1168"/>
      <c r="U131" s="550"/>
      <c r="V131" s="1168"/>
      <c r="W131" s="1168"/>
      <c r="X131" s="1168"/>
      <c r="Y131" s="1168"/>
      <c r="Z131" s="1168"/>
      <c r="AA131" s="1672"/>
      <c r="AB131" s="572"/>
      <c r="AC131" s="572"/>
      <c r="AD131" s="572"/>
      <c r="AE131" s="572"/>
    </row>
    <row s="3878" customFormat="1" customHeight="1" ht="11.25">
      <c r="A132" s="994"/>
      <c r="B132" s="1676"/>
      <c r="C132" s="1676"/>
      <c r="D132" s="347"/>
      <c r="K132" s="1168"/>
      <c r="L132" s="1676"/>
      <c r="M132" s="1676"/>
      <c r="N132" s="1168"/>
      <c r="O132" s="1168"/>
      <c r="P132" s="1168"/>
      <c r="Q132" s="1168"/>
      <c r="R132" s="1676"/>
      <c r="S132" s="1168"/>
      <c r="T132" s="1168"/>
      <c r="U132" s="550"/>
      <c r="V132" s="1168"/>
      <c r="W132" s="1168"/>
      <c r="X132" s="1168"/>
      <c r="Y132" s="1168"/>
      <c r="Z132" s="1168"/>
      <c r="AA132" s="1672"/>
      <c r="AB132" s="572"/>
      <c r="AC132" s="572"/>
      <c r="AD132" s="572"/>
      <c r="AE132" s="572"/>
    </row>
    <row s="3878" customFormat="1" customHeight="1" ht="11.25">
      <c r="A133" s="994"/>
      <c r="B133" s="1676"/>
      <c r="C133" s="1676"/>
      <c r="D133" s="347"/>
      <c r="K133" s="1168"/>
      <c r="L133" s="1676"/>
      <c r="M133" s="1676"/>
      <c r="N133" s="1168"/>
      <c r="O133" s="1168"/>
      <c r="P133" s="1168"/>
      <c r="Q133" s="1168"/>
      <c r="R133" s="1676"/>
      <c r="S133" s="1168"/>
      <c r="T133" s="1168"/>
      <c r="U133" s="550"/>
      <c r="V133" s="1168"/>
      <c r="W133" s="1168"/>
      <c r="X133" s="1168"/>
      <c r="Y133" s="1168"/>
      <c r="Z133" s="1168"/>
      <c r="AA133" s="1672"/>
      <c r="AB133" s="572"/>
      <c r="AC133" s="572"/>
      <c r="AD133" s="572"/>
      <c r="AE133" s="572"/>
    </row>
    <row s="3878" customFormat="1" customHeight="1" ht="11.25">
      <c r="A134" s="994"/>
      <c r="B134" s="1676"/>
      <c r="C134" s="1676"/>
      <c r="D134" s="347"/>
      <c r="K134" s="1168"/>
      <c r="L134" s="1676"/>
      <c r="M134" s="1676"/>
      <c r="N134" s="1168"/>
      <c r="O134" s="1168"/>
      <c r="P134" s="1168"/>
      <c r="Q134" s="1168"/>
      <c r="R134" s="1676"/>
      <c r="S134" s="1168"/>
      <c r="T134" s="1168"/>
      <c r="U134" s="550"/>
      <c r="V134" s="1168"/>
      <c r="W134" s="1168"/>
      <c r="X134" s="1168"/>
      <c r="Y134" s="1168"/>
      <c r="Z134" s="1168"/>
      <c r="AA134" s="1672"/>
      <c r="AB134" s="572"/>
      <c r="AC134" s="572"/>
      <c r="AD134" s="572"/>
      <c r="AE134" s="572"/>
    </row>
    <row s="3878" customFormat="1" customHeight="1" ht="11.25">
      <c r="A135" s="994"/>
      <c r="B135" s="1676"/>
      <c r="C135" s="1676"/>
      <c r="D135" s="347"/>
      <c r="K135" s="1168"/>
      <c r="L135" s="1676"/>
      <c r="M135" s="1676"/>
      <c r="N135" s="1168"/>
      <c r="O135" s="1168"/>
      <c r="P135" s="1168"/>
      <c r="Q135" s="1168"/>
      <c r="R135" s="1676"/>
      <c r="S135" s="1168"/>
      <c r="T135" s="1168"/>
      <c r="U135" s="550"/>
      <c r="V135" s="1168"/>
      <c r="W135" s="1168"/>
      <c r="X135" s="1168"/>
      <c r="Y135" s="1168"/>
      <c r="Z135" s="1168"/>
      <c r="AA135" s="1672"/>
      <c r="AB135" s="572"/>
      <c r="AC135" s="572"/>
      <c r="AD135" s="572"/>
      <c r="AE135" s="572"/>
    </row>
    <row s="3878" customFormat="1" customHeight="1" ht="11.25">
      <c r="A136" s="994"/>
      <c r="B136" s="1676"/>
      <c r="C136" s="1676"/>
      <c r="D136" s="347"/>
      <c r="K136" s="1168"/>
      <c r="L136" s="1676"/>
      <c r="M136" s="1676"/>
      <c r="N136" s="1168"/>
      <c r="O136" s="1168"/>
      <c r="P136" s="1168"/>
      <c r="Q136" s="1168"/>
      <c r="R136" s="1676"/>
      <c r="S136" s="1168"/>
      <c r="T136" s="1168"/>
      <c r="U136" s="550"/>
      <c r="V136" s="1168"/>
      <c r="W136" s="1168"/>
      <c r="X136" s="1168"/>
      <c r="Y136" s="1168"/>
      <c r="Z136" s="1168"/>
      <c r="AA136" s="1672"/>
      <c r="AB136" s="572"/>
      <c r="AC136" s="572"/>
      <c r="AD136" s="572"/>
      <c r="AE136" s="572"/>
    </row>
    <row s="3878" customFormat="1" customHeight="1" ht="11.25">
      <c r="A137" s="994"/>
      <c r="B137" s="1676"/>
      <c r="C137" s="1676"/>
      <c r="D137" s="347"/>
      <c r="K137" s="1168"/>
      <c r="L137" s="1676"/>
      <c r="M137" s="1676"/>
      <c r="N137" s="1168"/>
      <c r="O137" s="1168"/>
      <c r="P137" s="1168"/>
      <c r="Q137" s="1168"/>
      <c r="R137" s="1676"/>
      <c r="S137" s="1168"/>
      <c r="T137" s="1168"/>
      <c r="U137" s="550"/>
      <c r="V137" s="1168"/>
      <c r="W137" s="1168"/>
      <c r="X137" s="1168"/>
      <c r="Y137" s="1168"/>
      <c r="Z137" s="1168"/>
      <c r="AA137" s="1672"/>
      <c r="AB137" s="572"/>
      <c r="AC137" s="572"/>
      <c r="AD137" s="572"/>
      <c r="AE137" s="572"/>
    </row>
    <row s="3878" customFormat="1" customHeight="1" ht="11.25">
      <c r="A138" s="994"/>
      <c r="B138" s="1676"/>
      <c r="C138" s="1676"/>
      <c r="D138" s="347"/>
      <c r="K138" s="1168"/>
      <c r="L138" s="1676"/>
      <c r="M138" s="1676"/>
      <c r="N138" s="1168"/>
      <c r="O138" s="1168"/>
      <c r="P138" s="1168"/>
      <c r="Q138" s="1168"/>
      <c r="R138" s="1676"/>
      <c r="S138" s="1168"/>
      <c r="T138" s="1168"/>
      <c r="U138" s="550"/>
      <c r="V138" s="1168"/>
      <c r="W138" s="1168"/>
      <c r="X138" s="1168"/>
      <c r="Y138" s="1168"/>
      <c r="Z138" s="1168"/>
      <c r="AA138" s="1672"/>
      <c r="AB138" s="572"/>
      <c r="AC138" s="572"/>
      <c r="AD138" s="572"/>
      <c r="AE138" s="572"/>
    </row>
    <row s="3878" customFormat="1" customHeight="1" ht="11.25">
      <c r="A139" s="994"/>
      <c r="B139" s="1676"/>
      <c r="C139" s="1676"/>
      <c r="D139" s="347"/>
      <c r="K139" s="1168"/>
      <c r="L139" s="1676"/>
      <c r="M139" s="1676"/>
      <c r="N139" s="1168"/>
      <c r="O139" s="1168"/>
      <c r="P139" s="1168"/>
      <c r="Q139" s="1168"/>
      <c r="R139" s="1676"/>
      <c r="S139" s="1168"/>
      <c r="T139" s="1168"/>
      <c r="U139" s="550"/>
      <c r="V139" s="1168"/>
      <c r="W139" s="1168"/>
      <c r="X139" s="1168"/>
      <c r="Y139" s="1168"/>
      <c r="Z139" s="1168"/>
      <c r="AA139" s="1672"/>
      <c r="AB139" s="572"/>
      <c r="AC139" s="572"/>
      <c r="AD139" s="572"/>
      <c r="AE139" s="572"/>
    </row>
    <row s="3878" customFormat="1" customHeight="1" ht="11.25">
      <c r="A140" s="994"/>
      <c r="B140" s="1676"/>
      <c r="C140" s="1676"/>
      <c r="D140" s="347"/>
      <c r="K140" s="1168"/>
      <c r="L140" s="1676"/>
      <c r="M140" s="1676"/>
      <c r="N140" s="1168"/>
      <c r="O140" s="1168"/>
      <c r="P140" s="1168"/>
      <c r="Q140" s="1168"/>
      <c r="R140" s="1676"/>
      <c r="S140" s="1168"/>
      <c r="T140" s="1168"/>
      <c r="U140" s="550"/>
      <c r="V140" s="1168"/>
      <c r="W140" s="1168"/>
      <c r="X140" s="1168"/>
      <c r="Y140" s="1168"/>
      <c r="Z140" s="1168"/>
      <c r="AA140" s="1672"/>
      <c r="AB140" s="572"/>
      <c r="AC140" s="572"/>
      <c r="AD140" s="572"/>
      <c r="AE140" s="572"/>
    </row>
    <row s="3878" customFormat="1" customHeight="1" ht="11.25">
      <c r="A141" s="994"/>
      <c r="B141" s="1676"/>
      <c r="C141" s="1676"/>
      <c r="D141" s="347"/>
      <c r="K141" s="1168"/>
      <c r="L141" s="1676"/>
      <c r="M141" s="1676"/>
      <c r="N141" s="1168"/>
      <c r="O141" s="1168"/>
      <c r="P141" s="1168"/>
      <c r="Q141" s="1168"/>
      <c r="R141" s="1676"/>
      <c r="S141" s="1168"/>
      <c r="T141" s="1168"/>
      <c r="U141" s="550"/>
      <c r="V141" s="1168"/>
      <c r="W141" s="1168"/>
      <c r="X141" s="1168"/>
      <c r="Y141" s="1168"/>
      <c r="Z141" s="1168"/>
      <c r="AA141" s="1672"/>
      <c r="AB141" s="572"/>
      <c r="AC141" s="572"/>
      <c r="AD141" s="572"/>
      <c r="AE141" s="572"/>
    </row>
    <row s="3878" customFormat="1" customHeight="1" ht="11.25">
      <c r="A142" s="994"/>
      <c r="B142" s="1676"/>
      <c r="C142" s="1676"/>
      <c r="D142" s="347"/>
      <c r="K142" s="1168"/>
      <c r="L142" s="1676"/>
      <c r="M142" s="1676"/>
      <c r="N142" s="1168"/>
      <c r="O142" s="1168"/>
      <c r="P142" s="1168"/>
      <c r="Q142" s="1168"/>
      <c r="R142" s="1676"/>
      <c r="S142" s="1168"/>
      <c r="T142" s="1168"/>
      <c r="U142" s="550"/>
      <c r="V142" s="1168"/>
      <c r="W142" s="1168"/>
      <c r="X142" s="1168"/>
      <c r="Y142" s="1168"/>
      <c r="Z142" s="1168"/>
      <c r="AA142" s="1672"/>
      <c r="AB142" s="572"/>
      <c r="AC142" s="572"/>
      <c r="AD142" s="572"/>
      <c r="AE142" s="572"/>
    </row>
    <row s="3878" customFormat="1" customHeight="1" ht="11.25">
      <c r="A143" s="994"/>
      <c r="B143" s="1676"/>
      <c r="C143" s="1676"/>
      <c r="D143" s="347"/>
      <c r="K143" s="1168"/>
      <c r="L143" s="1676"/>
      <c r="M143" s="1676"/>
      <c r="N143" s="1168"/>
      <c r="O143" s="1168"/>
      <c r="P143" s="1168"/>
      <c r="Q143" s="1168"/>
      <c r="R143" s="1676"/>
      <c r="S143" s="1168"/>
      <c r="T143" s="1168"/>
      <c r="U143" s="550"/>
      <c r="V143" s="1168"/>
      <c r="W143" s="1168"/>
      <c r="X143" s="1168"/>
      <c r="Y143" s="1168"/>
      <c r="Z143" s="1168"/>
      <c r="AA143" s="1672"/>
      <c r="AB143" s="572"/>
      <c r="AC143" s="572"/>
      <c r="AD143" s="572"/>
      <c r="AE143" s="572"/>
    </row>
    <row s="3878" customFormat="1" customHeight="1" ht="11.25">
      <c r="A144" s="994"/>
      <c r="B144" s="1676"/>
      <c r="C144" s="1676"/>
      <c r="D144" s="347"/>
      <c r="K144" s="1168"/>
      <c r="L144" s="1676"/>
      <c r="M144" s="1676"/>
      <c r="N144" s="1168"/>
      <c r="O144" s="1168"/>
      <c r="P144" s="1168"/>
      <c r="Q144" s="1168"/>
      <c r="R144" s="1676"/>
      <c r="S144" s="1168"/>
      <c r="T144" s="1168"/>
      <c r="U144" s="550"/>
      <c r="V144" s="1168"/>
      <c r="W144" s="1168"/>
      <c r="X144" s="1168"/>
      <c r="Y144" s="1168"/>
      <c r="Z144" s="1168"/>
      <c r="AA144" s="1672"/>
      <c r="AB144" s="572"/>
      <c r="AC144" s="572"/>
      <c r="AD144" s="572"/>
      <c r="AE144" s="572"/>
    </row>
    <row s="3878" customFormat="1" customHeight="1" ht="11.25">
      <c r="A145" s="994"/>
      <c r="B145" s="1676"/>
      <c r="C145" s="1676"/>
      <c r="D145" s="347"/>
      <c r="K145" s="1168"/>
      <c r="L145" s="1676"/>
      <c r="M145" s="1676"/>
      <c r="N145" s="1168"/>
      <c r="O145" s="1168"/>
      <c r="P145" s="1168"/>
      <c r="Q145" s="1168"/>
      <c r="R145" s="1676"/>
      <c r="S145" s="1168"/>
      <c r="T145" s="1168"/>
      <c r="U145" s="550"/>
      <c r="V145" s="1168"/>
      <c r="W145" s="1168"/>
      <c r="X145" s="1168"/>
      <c r="Y145" s="1168"/>
      <c r="Z145" s="1168"/>
      <c r="AA145" s="1672"/>
      <c r="AB145" s="572"/>
      <c r="AC145" s="572"/>
      <c r="AD145" s="572"/>
      <c r="AE145" s="572"/>
    </row>
    <row s="3878" customFormat="1" customHeight="1" ht="11.25">
      <c r="A146" s="994"/>
      <c r="B146" s="1676"/>
      <c r="C146" s="1676"/>
      <c r="D146" s="347"/>
      <c r="K146" s="1168"/>
      <c r="L146" s="1676"/>
      <c r="M146" s="1676"/>
      <c r="N146" s="1168"/>
      <c r="O146" s="1168"/>
      <c r="P146" s="1168"/>
      <c r="Q146" s="1168"/>
      <c r="R146" s="1676"/>
      <c r="S146" s="1168"/>
      <c r="T146" s="1168"/>
      <c r="U146" s="550"/>
      <c r="V146" s="1168"/>
      <c r="W146" s="1168"/>
      <c r="X146" s="1168"/>
      <c r="Y146" s="1168"/>
      <c r="Z146" s="1168"/>
      <c r="AA146" s="1672"/>
      <c r="AB146" s="572"/>
      <c r="AC146" s="572"/>
      <c r="AD146" s="572"/>
      <c r="AE146" s="572"/>
    </row>
    <row s="3878" customFormat="1" customHeight="1" ht="11.25">
      <c r="A147" s="994"/>
      <c r="B147" s="1676"/>
      <c r="C147" s="1676"/>
      <c r="D147" s="347"/>
      <c r="K147" s="1168"/>
      <c r="L147" s="1676"/>
      <c r="M147" s="1676"/>
      <c r="N147" s="1168"/>
      <c r="O147" s="1168"/>
      <c r="P147" s="1168"/>
      <c r="Q147" s="1168"/>
      <c r="R147" s="1676"/>
      <c r="S147" s="1168"/>
      <c r="T147" s="1168"/>
      <c r="U147" s="550"/>
      <c r="V147" s="1168"/>
      <c r="W147" s="1168"/>
      <c r="X147" s="1168"/>
      <c r="Y147" s="1168"/>
      <c r="Z147" s="1168"/>
      <c r="AA147" s="1672"/>
      <c r="AB147" s="572"/>
      <c r="AC147" s="572"/>
      <c r="AD147" s="572"/>
      <c r="AE147" s="572"/>
    </row>
    <row s="3878" customFormat="1" customHeight="1" ht="11.25">
      <c r="A148" s="994"/>
      <c r="B148" s="1676"/>
      <c r="C148" s="1676"/>
      <c r="D148" s="347"/>
      <c r="K148" s="1168"/>
      <c r="L148" s="1676"/>
      <c r="M148" s="1676"/>
      <c r="N148" s="1168"/>
      <c r="O148" s="1168"/>
      <c r="P148" s="1168"/>
      <c r="Q148" s="1168"/>
      <c r="R148" s="1676"/>
      <c r="S148" s="1168"/>
      <c r="T148" s="1168"/>
      <c r="U148" s="550"/>
      <c r="V148" s="1168"/>
      <c r="W148" s="1168"/>
      <c r="X148" s="1168"/>
      <c r="Y148" s="1168"/>
      <c r="Z148" s="1168"/>
      <c r="AA148" s="1672"/>
      <c r="AB148" s="572"/>
      <c r="AC148" s="572"/>
      <c r="AD148" s="572"/>
      <c r="AE148" s="572"/>
    </row>
    <row s="3878" customFormat="1" customHeight="1" ht="11.25">
      <c r="A149" s="994"/>
      <c r="B149" s="1676"/>
      <c r="C149" s="1676"/>
      <c r="D149" s="347"/>
      <c r="K149" s="1168"/>
      <c r="L149" s="1676"/>
      <c r="M149" s="1676"/>
      <c r="N149" s="1168"/>
      <c r="O149" s="1168"/>
      <c r="P149" s="1168"/>
      <c r="Q149" s="1168"/>
      <c r="R149" s="1676"/>
      <c r="S149" s="1168"/>
      <c r="T149" s="1168"/>
      <c r="U149" s="550"/>
      <c r="V149" s="1168"/>
      <c r="W149" s="1168"/>
      <c r="X149" s="1168"/>
      <c r="Y149" s="1168"/>
      <c r="Z149" s="1168"/>
      <c r="AA149" s="1672"/>
      <c r="AB149" s="572"/>
      <c r="AC149" s="572"/>
      <c r="AD149" s="572"/>
      <c r="AE149" s="572"/>
    </row>
    <row s="3878" customFormat="1" customHeight="1" ht="11.25">
      <c r="A150" s="994"/>
      <c r="B150" s="1676"/>
      <c r="C150" s="1676"/>
      <c r="D150" s="347"/>
      <c r="K150" s="1168"/>
      <c r="L150" s="1676"/>
      <c r="M150" s="1676"/>
      <c r="N150" s="1168"/>
      <c r="O150" s="1168"/>
      <c r="P150" s="1168"/>
      <c r="Q150" s="1168"/>
      <c r="R150" s="1676"/>
      <c r="S150" s="1168"/>
      <c r="T150" s="1168"/>
      <c r="U150" s="550"/>
      <c r="V150" s="1168"/>
      <c r="W150" s="1168"/>
      <c r="X150" s="1168"/>
      <c r="Y150" s="1168"/>
      <c r="Z150" s="1168"/>
      <c r="AA150" s="1672"/>
      <c r="AB150" s="572"/>
      <c r="AC150" s="572"/>
      <c r="AD150" s="572"/>
      <c r="AE150" s="572"/>
    </row>
    <row s="3878" customFormat="1" customHeight="1" ht="11.25">
      <c r="A151" s="994"/>
      <c r="B151" s="1676"/>
      <c r="C151" s="1676"/>
      <c r="D151" s="347"/>
      <c r="K151" s="1168"/>
      <c r="L151" s="1676"/>
      <c r="M151" s="1676"/>
      <c r="N151" s="1168"/>
      <c r="O151" s="1168"/>
      <c r="P151" s="1168"/>
      <c r="Q151" s="1168"/>
      <c r="R151" s="1676"/>
      <c r="S151" s="1168"/>
      <c r="T151" s="1168"/>
      <c r="U151" s="550"/>
      <c r="V151" s="1168"/>
      <c r="W151" s="1168"/>
      <c r="X151" s="1168"/>
      <c r="Y151" s="1168"/>
      <c r="Z151" s="1168"/>
      <c r="AA151" s="1672"/>
      <c r="AB151" s="572"/>
      <c r="AC151" s="572"/>
      <c r="AD151" s="572"/>
      <c r="AE151" s="572"/>
    </row>
    <row s="3878" customFormat="1" customHeight="1" ht="11.25">
      <c r="A152" s="994"/>
      <c r="B152" s="1676"/>
      <c r="C152" s="1676"/>
      <c r="D152" s="347"/>
      <c r="K152" s="1168"/>
      <c r="L152" s="1676"/>
      <c r="M152" s="1676"/>
      <c r="N152" s="1168"/>
      <c r="O152" s="1168"/>
      <c r="P152" s="1168"/>
      <c r="Q152" s="1168"/>
      <c r="R152" s="1676"/>
      <c r="S152" s="1168"/>
      <c r="T152" s="1168"/>
      <c r="U152" s="550"/>
      <c r="V152" s="1168"/>
      <c r="W152" s="1168"/>
      <c r="X152" s="1168"/>
      <c r="Y152" s="1168"/>
      <c r="Z152" s="1168"/>
      <c r="AA152" s="1672"/>
      <c r="AB152" s="572"/>
      <c r="AC152" s="572"/>
      <c r="AD152" s="572"/>
      <c r="AE152" s="572"/>
    </row>
    <row s="3878" customFormat="1" customHeight="1" ht="11.25">
      <c r="A153" s="994"/>
      <c r="B153" s="1676"/>
      <c r="C153" s="1676"/>
      <c r="D153" s="347"/>
      <c r="K153" s="1168"/>
      <c r="L153" s="1676"/>
      <c r="M153" s="1676"/>
      <c r="N153" s="1168"/>
      <c r="O153" s="1168"/>
      <c r="P153" s="1168"/>
      <c r="Q153" s="1168"/>
      <c r="R153" s="1676"/>
      <c r="S153" s="1168"/>
      <c r="T153" s="1168"/>
      <c r="U153" s="550"/>
      <c r="V153" s="1168"/>
      <c r="W153" s="1168"/>
      <c r="X153" s="1168"/>
      <c r="Y153" s="1168"/>
      <c r="Z153" s="1168"/>
      <c r="AA153" s="1672"/>
      <c r="AB153" s="572"/>
      <c r="AC153" s="572"/>
      <c r="AD153" s="572"/>
      <c r="AE153" s="572"/>
    </row>
    <row s="3878" customFormat="1" customHeight="1" ht="11.25">
      <c r="A154" s="994"/>
      <c r="B154" s="1676"/>
      <c r="C154" s="1676"/>
      <c r="D154" s="347"/>
      <c r="K154" s="1168"/>
      <c r="L154" s="1676"/>
      <c r="M154" s="1676"/>
      <c r="N154" s="1168"/>
      <c r="O154" s="1168"/>
      <c r="P154" s="1168"/>
      <c r="Q154" s="1168"/>
      <c r="R154" s="1676"/>
      <c r="S154" s="1168"/>
      <c r="T154" s="1168"/>
      <c r="U154" s="550"/>
      <c r="V154" s="1168"/>
      <c r="W154" s="1168"/>
      <c r="X154" s="1168"/>
      <c r="Y154" s="1168"/>
      <c r="Z154" s="1168"/>
      <c r="AA154" s="1672"/>
      <c r="AB154" s="572"/>
      <c r="AC154" s="572"/>
      <c r="AD154" s="572"/>
      <c r="AE154" s="572"/>
    </row>
    <row s="3878" customFormat="1" customHeight="1" ht="11.25">
      <c r="A155" s="994"/>
      <c r="B155" s="1676"/>
      <c r="C155" s="1676"/>
      <c r="D155" s="347"/>
      <c r="K155" s="1168"/>
      <c r="L155" s="1676"/>
      <c r="M155" s="1676"/>
      <c r="N155" s="1168"/>
      <c r="O155" s="1168"/>
      <c r="P155" s="1168"/>
      <c r="Q155" s="1168"/>
      <c r="R155" s="1676"/>
      <c r="S155" s="1168"/>
      <c r="T155" s="1168"/>
      <c r="U155" s="550"/>
      <c r="V155" s="1168"/>
      <c r="W155" s="1168"/>
      <c r="X155" s="1168"/>
      <c r="Y155" s="1168"/>
      <c r="Z155" s="1168"/>
      <c r="AA155" s="1672"/>
      <c r="AB155" s="572"/>
      <c r="AC155" s="572"/>
      <c r="AD155" s="572"/>
      <c r="AE155" s="572"/>
    </row>
    <row s="3878" customFormat="1" customHeight="1" ht="11.25">
      <c r="A156" s="994"/>
      <c r="B156" s="1676"/>
      <c r="C156" s="1676"/>
      <c r="D156" s="347"/>
      <c r="K156" s="1168"/>
      <c r="L156" s="1676"/>
      <c r="M156" s="1676"/>
      <c r="N156" s="1168"/>
      <c r="O156" s="1168"/>
      <c r="P156" s="1168"/>
      <c r="Q156" s="1168"/>
      <c r="R156" s="1676"/>
      <c r="S156" s="1168"/>
      <c r="T156" s="1168"/>
      <c r="U156" s="550"/>
      <c r="V156" s="1168"/>
      <c r="W156" s="1168"/>
      <c r="X156" s="1168"/>
      <c r="Y156" s="1168"/>
      <c r="Z156" s="1168"/>
      <c r="AA156" s="1672"/>
      <c r="AB156" s="572"/>
      <c r="AC156" s="572"/>
      <c r="AD156" s="572"/>
      <c r="AE156" s="572"/>
    </row>
    <row s="3878" customFormat="1" customHeight="1" ht="11.25">
      <c r="A157" s="994"/>
      <c r="B157" s="1676"/>
      <c r="C157" s="1676"/>
      <c r="D157" s="347"/>
      <c r="K157" s="1168"/>
      <c r="L157" s="1676"/>
      <c r="M157" s="1676"/>
      <c r="N157" s="1168"/>
      <c r="O157" s="1168"/>
      <c r="P157" s="1168"/>
      <c r="Q157" s="1168"/>
      <c r="R157" s="1676"/>
      <c r="S157" s="1168"/>
      <c r="T157" s="1168"/>
      <c r="U157" s="550"/>
      <c r="V157" s="1168"/>
      <c r="W157" s="1168"/>
      <c r="X157" s="1168"/>
      <c r="Y157" s="1168"/>
      <c r="Z157" s="1168"/>
      <c r="AA157" s="1672"/>
      <c r="AB157" s="572"/>
      <c r="AC157" s="572"/>
      <c r="AD157" s="572"/>
      <c r="AE157" s="572"/>
    </row>
    <row s="3878" customFormat="1" customHeight="1" ht="11.25">
      <c r="A158" s="994"/>
      <c r="B158" s="1676"/>
      <c r="C158" s="1676"/>
      <c r="D158" s="347"/>
      <c r="K158" s="1168"/>
      <c r="L158" s="1676"/>
      <c r="M158" s="1676"/>
      <c r="N158" s="1168"/>
      <c r="O158" s="1168"/>
      <c r="P158" s="1168"/>
      <c r="Q158" s="1168"/>
      <c r="R158" s="1676"/>
      <c r="S158" s="1168"/>
      <c r="T158" s="1168"/>
      <c r="U158" s="550"/>
      <c r="V158" s="1168"/>
      <c r="W158" s="1168"/>
      <c r="X158" s="1168"/>
      <c r="Y158" s="1168"/>
      <c r="Z158" s="1168"/>
      <c r="AA158" s="1672"/>
      <c r="AB158" s="572"/>
      <c r="AC158" s="572"/>
      <c r="AD158" s="572"/>
      <c r="AE158" s="572"/>
    </row>
    <row s="3878" customFormat="1" customHeight="1" ht="11.25">
      <c r="A159" s="994"/>
      <c r="B159" s="1676"/>
      <c r="C159" s="1676"/>
      <c r="D159" s="347"/>
      <c r="K159" s="1168"/>
      <c r="L159" s="1676"/>
      <c r="M159" s="1676"/>
      <c r="N159" s="1168"/>
      <c r="O159" s="1168"/>
      <c r="P159" s="1168"/>
      <c r="Q159" s="1168"/>
      <c r="R159" s="1676"/>
      <c r="S159" s="1168"/>
      <c r="T159" s="1168"/>
      <c r="U159" s="550"/>
      <c r="V159" s="1168"/>
      <c r="W159" s="1168"/>
      <c r="X159" s="1168"/>
      <c r="Y159" s="1168"/>
      <c r="Z159" s="1168"/>
      <c r="AA159" s="1672"/>
      <c r="AB159" s="572"/>
      <c r="AC159" s="572"/>
      <c r="AD159" s="572"/>
      <c r="AE159" s="572"/>
    </row>
    <row s="3878" customFormat="1" customHeight="1" ht="11.25">
      <c r="A160" s="994"/>
      <c r="B160" s="1676"/>
      <c r="C160" s="1676"/>
      <c r="D160" s="347"/>
      <c r="K160" s="1168"/>
      <c r="L160" s="1676"/>
      <c r="M160" s="1676"/>
      <c r="N160" s="1168"/>
      <c r="O160" s="1168"/>
      <c r="P160" s="1168"/>
      <c r="Q160" s="1168"/>
      <c r="R160" s="1676"/>
      <c r="S160" s="1168"/>
      <c r="T160" s="1168"/>
      <c r="U160" s="550"/>
      <c r="V160" s="1168"/>
      <c r="W160" s="1168"/>
      <c r="X160" s="1168"/>
      <c r="Y160" s="1168"/>
      <c r="Z160" s="1168"/>
      <c r="AA160" s="1672"/>
      <c r="AB160" s="572"/>
      <c r="AC160" s="572"/>
      <c r="AD160" s="572"/>
      <c r="AE160" s="572"/>
    </row>
    <row s="3878" customFormat="1" customHeight="1" ht="11.25">
      <c r="A161" s="994"/>
      <c r="B161" s="1676"/>
      <c r="C161" s="1676"/>
      <c r="D161" s="347"/>
      <c r="K161" s="1168"/>
      <c r="L161" s="1676"/>
      <c r="M161" s="1676"/>
      <c r="N161" s="1168"/>
      <c r="O161" s="1168"/>
      <c r="P161" s="1168"/>
      <c r="Q161" s="1168"/>
      <c r="R161" s="1676"/>
      <c r="S161" s="1168"/>
      <c r="T161" s="1168"/>
      <c r="U161" s="550"/>
      <c r="V161" s="1168"/>
      <c r="W161" s="1168"/>
      <c r="X161" s="1168"/>
      <c r="Y161" s="1168"/>
      <c r="Z161" s="1168"/>
      <c r="AA161" s="1672"/>
      <c r="AB161" s="572"/>
      <c r="AC161" s="572"/>
      <c r="AD161" s="572"/>
      <c r="AE161" s="572"/>
    </row>
    <row s="3878" customFormat="1" customHeight="1" ht="11.25">
      <c r="A162" s="994"/>
      <c r="B162" s="1676"/>
      <c r="C162" s="1676"/>
      <c r="D162" s="347"/>
      <c r="K162" s="1168"/>
      <c r="L162" s="1676"/>
      <c r="M162" s="1676"/>
      <c r="N162" s="1168"/>
      <c r="O162" s="1168"/>
      <c r="P162" s="1168"/>
      <c r="Q162" s="1168"/>
      <c r="R162" s="1676"/>
      <c r="S162" s="1168"/>
      <c r="T162" s="1168"/>
      <c r="U162" s="550"/>
      <c r="V162" s="1168"/>
      <c r="W162" s="1168"/>
      <c r="X162" s="1168"/>
      <c r="Y162" s="1168"/>
      <c r="Z162" s="1168"/>
      <c r="AA162" s="1672"/>
      <c r="AB162" s="572"/>
      <c r="AC162" s="572"/>
      <c r="AD162" s="572"/>
      <c r="AE162" s="572"/>
    </row>
    <row s="3878" customFormat="1" customHeight="1" ht="11.25">
      <c r="A163" s="994"/>
      <c r="B163" s="1676"/>
      <c r="C163" s="1676"/>
      <c r="D163" s="347"/>
      <c r="K163" s="1168"/>
      <c r="L163" s="1676"/>
      <c r="M163" s="1676"/>
      <c r="N163" s="1168"/>
      <c r="O163" s="1168"/>
      <c r="P163" s="1168"/>
      <c r="Q163" s="1168"/>
      <c r="R163" s="1676"/>
      <c r="S163" s="1168"/>
      <c r="T163" s="1168"/>
      <c r="U163" s="550"/>
      <c r="V163" s="1168"/>
      <c r="W163" s="1168"/>
      <c r="X163" s="1168"/>
      <c r="Y163" s="1168"/>
      <c r="Z163" s="1168"/>
      <c r="AA163" s="1672"/>
      <c r="AB163" s="572"/>
      <c r="AC163" s="572"/>
      <c r="AD163" s="572"/>
      <c r="AE163" s="572"/>
    </row>
    <row s="3878" customFormat="1" customHeight="1" ht="11.25">
      <c r="A164" s="994"/>
      <c r="B164" s="1676"/>
      <c r="C164" s="1676"/>
      <c r="D164" s="347"/>
      <c r="K164" s="1168"/>
      <c r="L164" s="1676"/>
      <c r="M164" s="1676"/>
      <c r="N164" s="1168"/>
      <c r="O164" s="1168"/>
      <c r="P164" s="1168"/>
      <c r="Q164" s="1168"/>
      <c r="R164" s="1676"/>
      <c r="S164" s="1168"/>
      <c r="T164" s="1168"/>
      <c r="U164" s="550"/>
      <c r="V164" s="1168"/>
      <c r="W164" s="1168"/>
      <c r="X164" s="1168"/>
      <c r="Y164" s="1168"/>
      <c r="Z164" s="1168"/>
      <c r="AA164" s="1672"/>
      <c r="AB164" s="572"/>
      <c r="AC164" s="572"/>
      <c r="AD164" s="572"/>
      <c r="AE164" s="572"/>
    </row>
    <row s="3878" customFormat="1" customHeight="1" ht="11.25">
      <c r="A165" s="994"/>
      <c r="B165" s="1676"/>
      <c r="C165" s="1676"/>
      <c r="D165" s="347"/>
      <c r="K165" s="1168"/>
      <c r="L165" s="1676"/>
      <c r="M165" s="1676"/>
      <c r="N165" s="1168"/>
      <c r="O165" s="1168"/>
      <c r="P165" s="1168"/>
      <c r="Q165" s="1168"/>
      <c r="R165" s="1676"/>
      <c r="S165" s="1168"/>
      <c r="T165" s="1168"/>
      <c r="U165" s="550"/>
      <c r="V165" s="1168"/>
      <c r="W165" s="1168"/>
      <c r="X165" s="1168"/>
      <c r="Y165" s="1168"/>
      <c r="Z165" s="1168"/>
      <c r="AA165" s="1672"/>
      <c r="AB165" s="572"/>
      <c r="AC165" s="572"/>
      <c r="AD165" s="572"/>
      <c r="AE165" s="572"/>
    </row>
    <row s="3878" customFormat="1" customHeight="1" ht="11.25">
      <c r="A166" s="994"/>
      <c r="B166" s="1676"/>
      <c r="C166" s="1676"/>
      <c r="D166" s="347"/>
      <c r="K166" s="1168"/>
      <c r="L166" s="1676"/>
      <c r="M166" s="1676"/>
      <c r="N166" s="1168"/>
      <c r="O166" s="1168"/>
      <c r="P166" s="1168"/>
      <c r="Q166" s="1168"/>
      <c r="R166" s="1676"/>
      <c r="S166" s="1168"/>
      <c r="T166" s="1168"/>
      <c r="U166" s="550"/>
      <c r="V166" s="1168"/>
      <c r="W166" s="1168"/>
      <c r="X166" s="1168"/>
      <c r="Y166" s="1168"/>
      <c r="Z166" s="1168"/>
      <c r="AA166" s="1672"/>
      <c r="AB166" s="572"/>
      <c r="AC166" s="572"/>
      <c r="AD166" s="572"/>
      <c r="AE166" s="572"/>
    </row>
    <row s="3878" customFormat="1" customHeight="1" ht="11.25">
      <c r="A167" s="994"/>
      <c r="B167" s="1676"/>
      <c r="C167" s="1676"/>
      <c r="D167" s="347"/>
      <c r="K167" s="1168"/>
      <c r="L167" s="1676"/>
      <c r="M167" s="1676"/>
      <c r="N167" s="1168"/>
      <c r="O167" s="1168"/>
      <c r="P167" s="1168"/>
      <c r="Q167" s="1168"/>
      <c r="R167" s="1676"/>
      <c r="S167" s="1168"/>
      <c r="T167" s="1168"/>
      <c r="U167" s="550"/>
      <c r="V167" s="1168"/>
      <c r="W167" s="1168"/>
      <c r="X167" s="1168"/>
      <c r="Y167" s="1168"/>
      <c r="Z167" s="1168"/>
      <c r="AA167" s="1672"/>
      <c r="AB167" s="572"/>
      <c r="AC167" s="572"/>
      <c r="AD167" s="572"/>
      <c r="AE167" s="572"/>
    </row>
    <row s="3878" customFormat="1" customHeight="1" ht="11.25">
      <c r="A168" s="994"/>
      <c r="B168" s="1676"/>
      <c r="C168" s="1676"/>
      <c r="D168" s="347"/>
      <c r="K168" s="1168"/>
      <c r="L168" s="1676"/>
      <c r="M168" s="1676"/>
      <c r="N168" s="1168"/>
      <c r="O168" s="1168"/>
      <c r="P168" s="1168"/>
      <c r="Q168" s="1168"/>
      <c r="R168" s="1676"/>
      <c r="S168" s="1168"/>
      <c r="T168" s="1168"/>
      <c r="U168" s="550"/>
      <c r="V168" s="1168"/>
      <c r="W168" s="1168"/>
      <c r="X168" s="1168"/>
      <c r="Y168" s="1168"/>
      <c r="Z168" s="1168"/>
      <c r="AA168" s="1672"/>
      <c r="AB168" s="572"/>
      <c r="AC168" s="572"/>
      <c r="AD168" s="572"/>
      <c r="AE168" s="572"/>
    </row>
    <row s="3878" customFormat="1" customHeight="1" ht="11.25">
      <c r="A169" s="994"/>
      <c r="B169" s="1676"/>
      <c r="C169" s="1676"/>
      <c r="D169" s="347"/>
      <c r="K169" s="1168"/>
      <c r="L169" s="1676"/>
      <c r="M169" s="1676"/>
      <c r="N169" s="1168"/>
      <c r="O169" s="1168"/>
      <c r="P169" s="1168"/>
      <c r="Q169" s="1168"/>
      <c r="R169" s="1676"/>
      <c r="S169" s="1168"/>
      <c r="T169" s="1168"/>
      <c r="U169" s="550"/>
      <c r="V169" s="1168"/>
      <c r="W169" s="1168"/>
      <c r="X169" s="1168"/>
      <c r="Y169" s="1168"/>
      <c r="Z169" s="1168"/>
      <c r="AA169" s="1672"/>
      <c r="AB169" s="572"/>
      <c r="AC169" s="572"/>
      <c r="AD169" s="572"/>
      <c r="AE169" s="572"/>
    </row>
    <row s="3878" customFormat="1" customHeight="1" ht="11.25">
      <c r="A170" s="994"/>
      <c r="B170" s="1676"/>
      <c r="C170" s="1676"/>
      <c r="D170" s="347"/>
      <c r="K170" s="1168"/>
      <c r="L170" s="1676"/>
      <c r="M170" s="1676"/>
      <c r="N170" s="1168"/>
      <c r="O170" s="1168"/>
      <c r="P170" s="1168"/>
      <c r="Q170" s="1168"/>
      <c r="R170" s="1676"/>
      <c r="S170" s="1168"/>
      <c r="T170" s="1168"/>
      <c r="U170" s="550"/>
      <c r="V170" s="1168"/>
      <c r="W170" s="1168"/>
      <c r="X170" s="1168"/>
      <c r="Y170" s="1168"/>
      <c r="Z170" s="1168"/>
      <c r="AA170" s="1672"/>
      <c r="AB170" s="572"/>
      <c r="AC170" s="572"/>
      <c r="AD170" s="572"/>
      <c r="AE170" s="572"/>
    </row>
    <row s="3878" customFormat="1" customHeight="1" ht="11.25">
      <c r="A171" s="994"/>
      <c r="B171" s="1676"/>
      <c r="C171" s="1676"/>
      <c r="D171" s="347"/>
      <c r="K171" s="1168"/>
      <c r="L171" s="1676"/>
      <c r="M171" s="1676"/>
      <c r="N171" s="1168"/>
      <c r="O171" s="1168"/>
      <c r="P171" s="1168"/>
      <c r="Q171" s="1168"/>
      <c r="R171" s="1676"/>
      <c r="S171" s="1168"/>
      <c r="T171" s="1168"/>
      <c r="U171" s="550"/>
      <c r="V171" s="1168"/>
      <c r="W171" s="1168"/>
      <c r="X171" s="1168"/>
      <c r="Y171" s="1168"/>
      <c r="Z171" s="1168"/>
      <c r="AA171" s="1672"/>
      <c r="AB171" s="572"/>
      <c r="AC171" s="572"/>
      <c r="AD171" s="572"/>
      <c r="AE171" s="572"/>
    </row>
    <row s="3878" customFormat="1" customHeight="1" ht="11.25">
      <c r="A172" s="994"/>
      <c r="B172" s="1676"/>
      <c r="C172" s="1676"/>
      <c r="D172" s="347"/>
      <c r="K172" s="1168"/>
      <c r="L172" s="1676"/>
      <c r="M172" s="1676"/>
      <c r="N172" s="1168"/>
      <c r="O172" s="1168"/>
      <c r="P172" s="1168"/>
      <c r="Q172" s="1168"/>
      <c r="R172" s="1676"/>
      <c r="S172" s="1168"/>
      <c r="T172" s="1168"/>
      <c r="U172" s="550"/>
      <c r="V172" s="1168"/>
      <c r="W172" s="1168"/>
      <c r="X172" s="1168"/>
      <c r="Y172" s="1168"/>
      <c r="Z172" s="1168"/>
      <c r="AA172" s="1672"/>
      <c r="AB172" s="572"/>
      <c r="AC172" s="572"/>
      <c r="AD172" s="572"/>
      <c r="AE172" s="572"/>
    </row>
    <row s="3878" customFormat="1" customHeight="1" ht="11.25">
      <c r="A173" s="994"/>
      <c r="B173" s="1676"/>
      <c r="C173" s="1676"/>
      <c r="D173" s="347"/>
      <c r="K173" s="1168"/>
      <c r="L173" s="1676"/>
      <c r="M173" s="1676"/>
      <c r="N173" s="1168"/>
      <c r="O173" s="1168"/>
      <c r="P173" s="1168"/>
      <c r="Q173" s="1168"/>
      <c r="R173" s="1676"/>
      <c r="S173" s="1168"/>
      <c r="T173" s="1168"/>
      <c r="U173" s="550"/>
      <c r="V173" s="1168"/>
      <c r="W173" s="1168"/>
      <c r="X173" s="1168"/>
      <c r="Y173" s="1168"/>
      <c r="Z173" s="1168"/>
      <c r="AA173" s="1672"/>
      <c r="AB173" s="572"/>
      <c r="AC173" s="572"/>
      <c r="AD173" s="572"/>
      <c r="AE173" s="572"/>
    </row>
    <row s="3878" customFormat="1" customHeight="1" ht="11.25">
      <c r="A174" s="994"/>
      <c r="B174" s="1676"/>
      <c r="C174" s="1676"/>
      <c r="D174" s="347"/>
      <c r="K174" s="1168"/>
      <c r="L174" s="1676"/>
      <c r="M174" s="1676"/>
      <c r="N174" s="1168"/>
      <c r="O174" s="1168"/>
      <c r="P174" s="1168"/>
      <c r="Q174" s="1168"/>
      <c r="R174" s="1676"/>
      <c r="S174" s="1168"/>
      <c r="T174" s="1168"/>
      <c r="U174" s="550"/>
      <c r="V174" s="1168"/>
      <c r="W174" s="1168"/>
      <c r="X174" s="1168"/>
      <c r="Y174" s="1168"/>
      <c r="Z174" s="1168"/>
      <c r="AA174" s="1672"/>
      <c r="AB174" s="572"/>
      <c r="AC174" s="572"/>
      <c r="AD174" s="572"/>
      <c r="AE174" s="572"/>
    </row>
    <row s="3878" customFormat="1" customHeight="1" ht="11.25">
      <c r="A175" s="994"/>
      <c r="B175" s="1676"/>
      <c r="C175" s="1676"/>
      <c r="D175" s="347"/>
      <c r="K175" s="1168"/>
      <c r="L175" s="1676"/>
      <c r="M175" s="1676"/>
      <c r="N175" s="1168"/>
      <c r="O175" s="1168"/>
      <c r="P175" s="1168"/>
      <c r="Q175" s="1168"/>
      <c r="R175" s="1676"/>
      <c r="S175" s="1168"/>
      <c r="T175" s="1168"/>
      <c r="U175" s="550"/>
      <c r="V175" s="1168"/>
      <c r="W175" s="1168"/>
      <c r="X175" s="1168"/>
      <c r="Y175" s="1168"/>
      <c r="Z175" s="1168"/>
      <c r="AA175" s="1672"/>
      <c r="AB175" s="572"/>
      <c r="AC175" s="572"/>
      <c r="AD175" s="572"/>
      <c r="AE175" s="572"/>
    </row>
    <row s="3878" customFormat="1" customHeight="1" ht="11.25">
      <c r="A176" s="994"/>
      <c r="B176" s="1676"/>
      <c r="C176" s="1676"/>
      <c r="D176" s="347"/>
      <c r="K176" s="1168"/>
      <c r="L176" s="1676"/>
      <c r="M176" s="1676"/>
      <c r="N176" s="1168"/>
      <c r="O176" s="1168"/>
      <c r="P176" s="1168"/>
      <c r="Q176" s="1168"/>
      <c r="R176" s="1676"/>
      <c r="S176" s="1168"/>
      <c r="T176" s="1168"/>
      <c r="U176" s="550"/>
      <c r="V176" s="1168"/>
      <c r="W176" s="1168"/>
      <c r="X176" s="1168"/>
      <c r="Y176" s="1168"/>
      <c r="Z176" s="1168"/>
      <c r="AA176" s="1672"/>
      <c r="AB176" s="572"/>
      <c r="AC176" s="572"/>
      <c r="AD176" s="572"/>
      <c r="AE176" s="572"/>
    </row>
    <row s="3878" customFormat="1" customHeight="1" ht="11.25">
      <c r="A177" s="994"/>
      <c r="B177" s="1676"/>
      <c r="C177" s="1676"/>
      <c r="D177" s="347"/>
      <c r="K177" s="1168"/>
      <c r="L177" s="1676"/>
      <c r="M177" s="1676"/>
      <c r="N177" s="1168"/>
      <c r="O177" s="1168"/>
      <c r="P177" s="1168"/>
      <c r="Q177" s="1168"/>
      <c r="R177" s="1676"/>
      <c r="S177" s="1168"/>
      <c r="T177" s="1168"/>
      <c r="U177" s="550"/>
      <c r="V177" s="1168"/>
      <c r="W177" s="1168"/>
      <c r="X177" s="1168"/>
      <c r="Y177" s="1168"/>
      <c r="Z177" s="1168"/>
      <c r="AA177" s="1672"/>
      <c r="AB177" s="572"/>
      <c r="AC177" s="572"/>
      <c r="AD177" s="572"/>
      <c r="AE177" s="572"/>
    </row>
    <row s="3878" customFormat="1" customHeight="1" ht="11.25">
      <c r="A178" s="994"/>
      <c r="B178" s="1676"/>
      <c r="C178" s="1676"/>
      <c r="D178" s="347"/>
      <c r="K178" s="1168"/>
      <c r="L178" s="1676"/>
      <c r="M178" s="1676"/>
      <c r="N178" s="1168"/>
      <c r="O178" s="1168"/>
      <c r="P178" s="1168"/>
      <c r="Q178" s="1168"/>
      <c r="R178" s="1676"/>
      <c r="S178" s="1168"/>
      <c r="T178" s="1168"/>
      <c r="U178" s="550"/>
      <c r="V178" s="1168"/>
      <c r="W178" s="1168"/>
      <c r="X178" s="1168"/>
      <c r="Y178" s="1168"/>
      <c r="Z178" s="1168"/>
      <c r="AA178" s="1672"/>
      <c r="AB178" s="572"/>
      <c r="AC178" s="572"/>
      <c r="AD178" s="572"/>
      <c r="AE178" s="572"/>
    </row>
    <row s="3878" customFormat="1" customHeight="1" ht="11.25">
      <c r="A179" s="994"/>
      <c r="B179" s="1676"/>
      <c r="C179" s="1676"/>
      <c r="D179" s="347"/>
      <c r="K179" s="1168"/>
      <c r="L179" s="1676"/>
      <c r="M179" s="1676"/>
      <c r="N179" s="1168"/>
      <c r="O179" s="1168"/>
      <c r="P179" s="1168"/>
      <c r="Q179" s="1168"/>
      <c r="R179" s="1676"/>
      <c r="S179" s="1168"/>
      <c r="T179" s="1168"/>
      <c r="U179" s="550"/>
      <c r="V179" s="1168"/>
      <c r="W179" s="1168"/>
      <c r="X179" s="1168"/>
      <c r="Y179" s="1168"/>
      <c r="Z179" s="1168"/>
      <c r="AA179" s="1672"/>
      <c r="AB179" s="572"/>
      <c r="AC179" s="572"/>
      <c r="AD179" s="572"/>
      <c r="AE179" s="572"/>
    </row>
    <row s="3878" customFormat="1" customHeight="1" ht="11.25">
      <c r="A180" s="994"/>
      <c r="B180" s="1676"/>
      <c r="C180" s="1676"/>
      <c r="D180" s="347"/>
      <c r="K180" s="1168"/>
      <c r="L180" s="1676"/>
      <c r="M180" s="1676"/>
      <c r="N180" s="1168"/>
      <c r="O180" s="1168"/>
      <c r="P180" s="1168"/>
      <c r="Q180" s="1168"/>
      <c r="R180" s="1676"/>
      <c r="S180" s="1168"/>
      <c r="T180" s="1168"/>
      <c r="U180" s="550"/>
      <c r="V180" s="1168"/>
      <c r="W180" s="1168"/>
      <c r="X180" s="1168"/>
      <c r="Y180" s="1168"/>
      <c r="Z180" s="1168"/>
      <c r="AA180" s="1672"/>
      <c r="AB180" s="572"/>
      <c r="AC180" s="572"/>
      <c r="AD180" s="572"/>
      <c r="AE180" s="572"/>
    </row>
    <row s="3878" customFormat="1" customHeight="1" ht="11.25">
      <c r="A181" s="994"/>
      <c r="B181" s="1676"/>
      <c r="C181" s="1676"/>
      <c r="D181" s="347"/>
      <c r="K181" s="1168"/>
      <c r="L181" s="1676"/>
      <c r="M181" s="1676"/>
      <c r="N181" s="1168"/>
      <c r="O181" s="1168"/>
      <c r="P181" s="1168"/>
      <c r="Q181" s="1168"/>
      <c r="R181" s="1676"/>
      <c r="S181" s="1168"/>
      <c r="T181" s="1168"/>
      <c r="U181" s="550"/>
      <c r="V181" s="1168"/>
      <c r="W181" s="1168"/>
      <c r="X181" s="1168"/>
      <c r="Y181" s="1168"/>
      <c r="Z181" s="1168"/>
      <c r="AA181" s="1672"/>
      <c r="AB181" s="572"/>
      <c r="AC181" s="572"/>
      <c r="AD181" s="572"/>
      <c r="AE181" s="572"/>
    </row>
    <row s="3878" customFormat="1" customHeight="1" ht="11.25">
      <c r="A182" s="994"/>
      <c r="B182" s="1676"/>
      <c r="C182" s="1676"/>
      <c r="D182" s="347"/>
      <c r="K182" s="1168"/>
      <c r="L182" s="1676"/>
      <c r="M182" s="1676"/>
      <c r="N182" s="1168"/>
      <c r="O182" s="1168"/>
      <c r="P182" s="1168"/>
      <c r="Q182" s="1168"/>
      <c r="R182" s="1676"/>
      <c r="S182" s="1168"/>
      <c r="T182" s="1168"/>
      <c r="U182" s="550"/>
      <c r="V182" s="1168"/>
      <c r="W182" s="1168"/>
      <c r="X182" s="1168"/>
      <c r="Y182" s="1168"/>
      <c r="Z182" s="1168"/>
      <c r="AA182" s="1672"/>
      <c r="AB182" s="572"/>
      <c r="AC182" s="572"/>
      <c r="AD182" s="572"/>
      <c r="AE182" s="572"/>
    </row>
    <row s="3878" customFormat="1" customHeight="1" ht="11.25">
      <c r="A183" s="994"/>
      <c r="B183" s="1676"/>
      <c r="C183" s="1676"/>
      <c r="D183" s="347"/>
      <c r="K183" s="1168"/>
      <c r="L183" s="1676"/>
      <c r="M183" s="1676"/>
      <c r="N183" s="1168"/>
      <c r="O183" s="1168"/>
      <c r="P183" s="1168"/>
      <c r="Q183" s="1168"/>
      <c r="R183" s="1676"/>
      <c r="S183" s="1168"/>
      <c r="T183" s="1168"/>
      <c r="U183" s="550"/>
      <c r="V183" s="1168"/>
      <c r="W183" s="1168"/>
      <c r="X183" s="1168"/>
      <c r="Y183" s="1168"/>
      <c r="Z183" s="1168"/>
      <c r="AA183" s="1672"/>
      <c r="AB183" s="572"/>
      <c r="AC183" s="572"/>
      <c r="AD183" s="572"/>
      <c r="AE183" s="572"/>
    </row>
    <row s="3878" customFormat="1" customHeight="1" ht="11.25">
      <c r="A184" s="994"/>
      <c r="B184" s="1676"/>
      <c r="C184" s="1676"/>
      <c r="D184" s="347"/>
      <c r="K184" s="1168"/>
      <c r="L184" s="1676"/>
      <c r="M184" s="1676"/>
      <c r="N184" s="1168"/>
      <c r="O184" s="1168"/>
      <c r="P184" s="1168"/>
      <c r="Q184" s="1168"/>
      <c r="R184" s="1676"/>
      <c r="S184" s="1168"/>
      <c r="T184" s="1168"/>
      <c r="U184" s="550"/>
      <c r="V184" s="1168"/>
      <c r="W184" s="1168"/>
      <c r="X184" s="1168"/>
      <c r="Y184" s="1168"/>
      <c r="Z184" s="1168"/>
      <c r="AA184" s="1672"/>
      <c r="AB184" s="572"/>
      <c r="AC184" s="572"/>
      <c r="AD184" s="572"/>
      <c r="AE184" s="572"/>
    </row>
    <row s="3878" customFormat="1" customHeight="1" ht="11.25">
      <c r="A185" s="994"/>
      <c r="B185" s="1676"/>
      <c r="C185" s="1676"/>
      <c r="D185" s="347"/>
      <c r="K185" s="1168"/>
      <c r="L185" s="1676"/>
      <c r="M185" s="1676"/>
      <c r="N185" s="1168"/>
      <c r="O185" s="1168"/>
      <c r="P185" s="1168"/>
      <c r="Q185" s="1168"/>
      <c r="R185" s="1676"/>
      <c r="S185" s="1168"/>
      <c r="T185" s="1168"/>
      <c r="U185" s="550"/>
      <c r="V185" s="1168"/>
      <c r="W185" s="1168"/>
      <c r="X185" s="1168"/>
      <c r="Y185" s="1168"/>
      <c r="Z185" s="1168"/>
      <c r="AA185" s="1672"/>
      <c r="AB185" s="572"/>
      <c r="AC185" s="572"/>
      <c r="AD185" s="572"/>
      <c r="AE185" s="572"/>
    </row>
    <row s="3878" customFormat="1" customHeight="1" ht="11.25">
      <c r="A186" s="994"/>
      <c r="B186" s="1676"/>
      <c r="C186" s="1676"/>
      <c r="D186" s="347"/>
      <c r="K186" s="1168"/>
      <c r="L186" s="1676"/>
      <c r="M186" s="1676"/>
      <c r="N186" s="1168"/>
      <c r="O186" s="1168"/>
      <c r="P186" s="1168"/>
      <c r="Q186" s="1168"/>
      <c r="R186" s="1676"/>
      <c r="S186" s="1168"/>
      <c r="T186" s="1168"/>
      <c r="U186" s="550"/>
      <c r="V186" s="1168"/>
      <c r="W186" s="1168"/>
      <c r="X186" s="1168"/>
      <c r="Y186" s="1168"/>
      <c r="Z186" s="1168"/>
      <c r="AA186" s="1672"/>
      <c r="AB186" s="572"/>
      <c r="AC186" s="572"/>
      <c r="AD186" s="572"/>
      <c r="AE186" s="572"/>
    </row>
    <row s="3878" customFormat="1" customHeight="1" ht="11.25">
      <c r="A187" s="994"/>
      <c r="B187" s="1676"/>
      <c r="C187" s="1676"/>
      <c r="D187" s="347"/>
      <c r="K187" s="1168"/>
      <c r="L187" s="1676"/>
      <c r="M187" s="1676"/>
      <c r="N187" s="1168"/>
      <c r="O187" s="1168"/>
      <c r="P187" s="1168"/>
      <c r="Q187" s="1168"/>
      <c r="R187" s="1676"/>
      <c r="S187" s="1168"/>
      <c r="T187" s="1168"/>
      <c r="U187" s="550"/>
      <c r="V187" s="1168"/>
      <c r="W187" s="1168"/>
      <c r="X187" s="1168"/>
      <c r="Y187" s="1168"/>
      <c r="Z187" s="1168"/>
      <c r="AA187" s="1672"/>
      <c r="AB187" s="572"/>
      <c r="AC187" s="572"/>
      <c r="AD187" s="572"/>
      <c r="AE187" s="572"/>
    </row>
    <row s="3878" customFormat="1" customHeight="1" ht="11.25">
      <c r="A188" s="994"/>
      <c r="B188" s="1676"/>
      <c r="C188" s="1676"/>
      <c r="D188" s="347"/>
      <c r="K188" s="1168"/>
      <c r="L188" s="1676"/>
      <c r="M188" s="1676"/>
      <c r="N188" s="1168"/>
      <c r="O188" s="1168"/>
      <c r="P188" s="1168"/>
      <c r="Q188" s="1168"/>
      <c r="R188" s="1676"/>
      <c r="S188" s="1168"/>
      <c r="T188" s="1168"/>
      <c r="U188" s="550"/>
      <c r="V188" s="1168"/>
      <c r="W188" s="1168"/>
      <c r="X188" s="1168"/>
      <c r="Y188" s="1168"/>
      <c r="Z188" s="1168"/>
      <c r="AA188" s="1672"/>
      <c r="AB188" s="572"/>
      <c r="AC188" s="572"/>
      <c r="AD188" s="572"/>
      <c r="AE188" s="572"/>
    </row>
    <row s="3878" customFormat="1" customHeight="1" ht="11.25">
      <c r="A189" s="994"/>
      <c r="B189" s="1676"/>
      <c r="C189" s="1676"/>
      <c r="D189" s="347"/>
      <c r="K189" s="1168"/>
      <c r="L189" s="1676"/>
      <c r="M189" s="1676"/>
      <c r="N189" s="1168"/>
      <c r="O189" s="1168"/>
      <c r="P189" s="1168"/>
      <c r="Q189" s="1168"/>
      <c r="R189" s="1676"/>
      <c r="S189" s="1168"/>
      <c r="T189" s="1168"/>
      <c r="U189" s="550"/>
      <c r="V189" s="1168"/>
      <c r="W189" s="1168"/>
      <c r="X189" s="1168"/>
      <c r="Y189" s="1168"/>
      <c r="Z189" s="1168"/>
      <c r="AA189" s="1672"/>
      <c r="AB189" s="572"/>
      <c r="AC189" s="572"/>
      <c r="AD189" s="572"/>
      <c r="AE189" s="572"/>
    </row>
    <row s="3878" customFormat="1" customHeight="1" ht="11.25">
      <c r="A190" s="994"/>
      <c r="B190" s="1676"/>
      <c r="C190" s="1676"/>
      <c r="D190" s="347"/>
      <c r="K190" s="1168"/>
      <c r="L190" s="1676"/>
      <c r="M190" s="1676"/>
      <c r="N190" s="1168"/>
      <c r="O190" s="1168"/>
      <c r="P190" s="1168"/>
      <c r="Q190" s="1168"/>
      <c r="R190" s="1676"/>
      <c r="S190" s="1168"/>
      <c r="T190" s="1168"/>
      <c r="U190" s="550"/>
      <c r="V190" s="1168"/>
      <c r="W190" s="1168"/>
      <c r="X190" s="1168"/>
      <c r="Y190" s="1168"/>
      <c r="Z190" s="1168"/>
      <c r="AA190" s="1672"/>
      <c r="AB190" s="572"/>
      <c r="AC190" s="572"/>
      <c r="AD190" s="572"/>
      <c r="AE190" s="572"/>
    </row>
    <row s="3878" customFormat="1" customHeight="1" ht="11.25">
      <c r="A191" s="994"/>
      <c r="B191" s="1676"/>
      <c r="C191" s="1676"/>
      <c r="D191" s="347"/>
      <c r="K191" s="1168"/>
      <c r="L191" s="1676"/>
      <c r="M191" s="1676"/>
      <c r="N191" s="1168"/>
      <c r="O191" s="1168"/>
      <c r="P191" s="1168"/>
      <c r="Q191" s="1168"/>
      <c r="R191" s="1676"/>
      <c r="S191" s="1168"/>
      <c r="T191" s="1168"/>
      <c r="U191" s="550"/>
      <c r="V191" s="1168"/>
      <c r="W191" s="1168"/>
      <c r="X191" s="1168"/>
      <c r="Y191" s="1168"/>
      <c r="Z191" s="1168"/>
      <c r="AA191" s="1672"/>
      <c r="AB191" s="572"/>
      <c r="AC191" s="572"/>
      <c r="AD191" s="572"/>
      <c r="AE191" s="572"/>
    </row>
    <row s="3878" customFormat="1" customHeight="1" ht="11.25">
      <c r="A192" s="994"/>
      <c r="B192" s="1676"/>
      <c r="C192" s="1676"/>
      <c r="D192" s="347"/>
      <c r="K192" s="1168"/>
      <c r="L192" s="1676"/>
      <c r="M192" s="1676"/>
      <c r="N192" s="1168"/>
      <c r="O192" s="1168"/>
      <c r="P192" s="1168"/>
      <c r="Q192" s="1168"/>
      <c r="R192" s="1676"/>
      <c r="S192" s="1168"/>
      <c r="T192" s="1168"/>
      <c r="U192" s="550"/>
      <c r="V192" s="1168"/>
      <c r="W192" s="1168"/>
      <c r="X192" s="1168"/>
      <c r="Y192" s="1168"/>
      <c r="Z192" s="1168"/>
      <c r="AA192" s="1672"/>
      <c r="AB192" s="572"/>
      <c r="AC192" s="572"/>
      <c r="AD192" s="572"/>
      <c r="AE192" s="572"/>
    </row>
    <row s="3878" customFormat="1" customHeight="1" ht="11.25">
      <c r="A193" s="994"/>
      <c r="B193" s="1676"/>
      <c r="C193" s="1676"/>
      <c r="D193" s="347"/>
      <c r="K193" s="1168"/>
      <c r="L193" s="1676"/>
      <c r="M193" s="1676"/>
      <c r="N193" s="1168"/>
      <c r="O193" s="1168"/>
      <c r="P193" s="1168"/>
      <c r="Q193" s="1168"/>
      <c r="R193" s="1676"/>
      <c r="S193" s="1168"/>
      <c r="T193" s="1168"/>
      <c r="U193" s="550"/>
      <c r="V193" s="1168"/>
      <c r="W193" s="1168"/>
      <c r="X193" s="1168"/>
      <c r="Y193" s="1168"/>
      <c r="Z193" s="1168"/>
      <c r="AA193" s="1672"/>
      <c r="AB193" s="572"/>
      <c r="AC193" s="572"/>
      <c r="AD193" s="572"/>
      <c r="AE193" s="572"/>
    </row>
    <row s="3878" customFormat="1" customHeight="1" ht="11.25">
      <c r="A194" s="994"/>
      <c r="B194" s="1676"/>
      <c r="C194" s="1676"/>
      <c r="D194" s="347"/>
      <c r="K194" s="1168"/>
      <c r="L194" s="1676"/>
      <c r="M194" s="1676"/>
      <c r="N194" s="1168"/>
      <c r="O194" s="1168"/>
      <c r="P194" s="1168"/>
      <c r="Q194" s="1168"/>
      <c r="R194" s="1676"/>
      <c r="S194" s="1168"/>
      <c r="T194" s="1168"/>
      <c r="U194" s="550"/>
      <c r="V194" s="1168"/>
      <c r="W194" s="1168"/>
      <c r="X194" s="1168"/>
      <c r="Y194" s="1168"/>
      <c r="Z194" s="1168"/>
      <c r="AA194" s="1672"/>
      <c r="AB194" s="572"/>
      <c r="AC194" s="572"/>
      <c r="AD194" s="572"/>
      <c r="AE194" s="572"/>
    </row>
    <row s="3878" customFormat="1" customHeight="1" ht="11.25">
      <c r="A195" s="994"/>
      <c r="B195" s="1676"/>
      <c r="C195" s="1676"/>
      <c r="D195" s="347"/>
      <c r="K195" s="1168"/>
      <c r="L195" s="1676"/>
      <c r="M195" s="1676"/>
      <c r="N195" s="1168"/>
      <c r="O195" s="1168"/>
      <c r="P195" s="1168"/>
      <c r="Q195" s="1168"/>
      <c r="R195" s="1676"/>
      <c r="S195" s="1168"/>
      <c r="T195" s="1168"/>
      <c r="U195" s="550"/>
      <c r="V195" s="1168"/>
      <c r="W195" s="1168"/>
      <c r="X195" s="1168"/>
      <c r="Y195" s="1168"/>
      <c r="Z195" s="1168"/>
      <c r="AA195" s="1672"/>
      <c r="AB195" s="572"/>
      <c r="AC195" s="572"/>
      <c r="AD195" s="572"/>
      <c r="AE195" s="572"/>
    </row>
    <row s="3878" customFormat="1" customHeight="1" ht="11.25">
      <c r="A196" s="994"/>
      <c r="B196" s="1676"/>
      <c r="C196" s="1676"/>
      <c r="D196" s="347"/>
      <c r="K196" s="1168"/>
      <c r="L196" s="1676"/>
      <c r="M196" s="1676"/>
      <c r="N196" s="1168"/>
      <c r="O196" s="1168"/>
      <c r="P196" s="1168"/>
      <c r="Q196" s="1168"/>
      <c r="R196" s="1676"/>
      <c r="S196" s="1168"/>
      <c r="T196" s="1168"/>
      <c r="U196" s="550"/>
      <c r="V196" s="1168"/>
      <c r="W196" s="1168"/>
      <c r="X196" s="1168"/>
      <c r="Y196" s="1168"/>
      <c r="Z196" s="1168"/>
      <c r="AA196" s="1672"/>
      <c r="AB196" s="572"/>
      <c r="AC196" s="572"/>
      <c r="AD196" s="572"/>
      <c r="AE196" s="572"/>
    </row>
    <row s="3878" customFormat="1" customHeight="1" ht="11.25">
      <c r="A197" s="994"/>
      <c r="B197" s="1676"/>
      <c r="C197" s="1676"/>
      <c r="D197" s="347"/>
      <c r="K197" s="1168"/>
      <c r="L197" s="1676"/>
      <c r="M197" s="1676"/>
      <c r="N197" s="1168"/>
      <c r="O197" s="1168"/>
      <c r="P197" s="1168"/>
      <c r="Q197" s="1168"/>
      <c r="R197" s="1676"/>
      <c r="S197" s="1168"/>
      <c r="T197" s="1168"/>
      <c r="U197" s="550"/>
      <c r="V197" s="1168"/>
      <c r="W197" s="1168"/>
      <c r="X197" s="1168"/>
      <c r="Y197" s="1168"/>
      <c r="Z197" s="1168"/>
      <c r="AA197" s="1672"/>
      <c r="AB197" s="572"/>
      <c r="AC197" s="572"/>
      <c r="AD197" s="572"/>
      <c r="AE197" s="572"/>
    </row>
    <row s="3878" customFormat="1" customHeight="1" ht="11.25">
      <c r="A198" s="994"/>
      <c r="B198" s="1676"/>
      <c r="C198" s="1676"/>
      <c r="D198" s="347"/>
      <c r="K198" s="1168"/>
      <c r="L198" s="1676"/>
      <c r="M198" s="1676"/>
      <c r="N198" s="1168"/>
      <c r="O198" s="1168"/>
      <c r="P198" s="1168"/>
      <c r="Q198" s="1168"/>
      <c r="R198" s="1676"/>
      <c r="S198" s="1168"/>
      <c r="T198" s="1168"/>
      <c r="U198" s="550"/>
      <c r="V198" s="1168"/>
      <c r="W198" s="1168"/>
      <c r="X198" s="1168"/>
      <c r="Y198" s="1168"/>
      <c r="Z198" s="1168"/>
      <c r="AA198" s="1672"/>
      <c r="AB198" s="572"/>
      <c r="AC198" s="572"/>
      <c r="AD198" s="572"/>
      <c r="AE198" s="572"/>
    </row>
    <row s="3878" customFormat="1" customHeight="1" ht="11.25">
      <c r="A199" s="994"/>
      <c r="B199" s="1676"/>
      <c r="C199" s="1676"/>
      <c r="D199" s="347"/>
      <c r="K199" s="1168"/>
      <c r="L199" s="1676"/>
      <c r="M199" s="1676"/>
      <c r="N199" s="1168"/>
      <c r="O199" s="1168"/>
      <c r="P199" s="1168"/>
      <c r="Q199" s="1168"/>
      <c r="R199" s="1676"/>
      <c r="S199" s="1168"/>
      <c r="T199" s="1168"/>
      <c r="U199" s="550"/>
      <c r="V199" s="1168"/>
      <c r="W199" s="1168"/>
      <c r="X199" s="1168"/>
      <c r="Y199" s="1168"/>
      <c r="Z199" s="1168"/>
      <c r="AA199" s="1672"/>
      <c r="AB199" s="572"/>
      <c r="AC199" s="572"/>
      <c r="AD199" s="572"/>
      <c r="AE199" s="572"/>
    </row>
    <row s="3878" customFormat="1" customHeight="1" ht="11.25">
      <c r="A200" s="994"/>
      <c r="B200" s="1676"/>
      <c r="C200" s="1676"/>
      <c r="D200" s="347"/>
      <c r="K200" s="1168"/>
      <c r="L200" s="1676"/>
      <c r="M200" s="1676"/>
      <c r="N200" s="1168"/>
      <c r="O200" s="1168"/>
      <c r="P200" s="1168"/>
      <c r="Q200" s="1168"/>
      <c r="R200" s="1676"/>
      <c r="S200" s="1168"/>
      <c r="T200" s="1168"/>
      <c r="U200" s="550"/>
      <c r="V200" s="1168"/>
      <c r="W200" s="1168"/>
      <c r="X200" s="1168"/>
      <c r="Y200" s="1168"/>
      <c r="Z200" s="1168"/>
      <c r="AA200" s="1672"/>
      <c r="AB200" s="572"/>
      <c r="AC200" s="572"/>
      <c r="AD200" s="572"/>
      <c r="AE200" s="572"/>
    </row>
    <row s="3878" customFormat="1" customHeight="1" ht="11.25">
      <c r="A201" s="994"/>
      <c r="B201" s="1676"/>
      <c r="C201" s="1676"/>
      <c r="D201" s="347"/>
      <c r="K201" s="1168"/>
      <c r="L201" s="1676"/>
      <c r="M201" s="1676"/>
      <c r="N201" s="1168"/>
      <c r="O201" s="1168"/>
      <c r="P201" s="1168"/>
      <c r="Q201" s="1168"/>
      <c r="R201" s="1676"/>
      <c r="S201" s="1168"/>
      <c r="T201" s="1168"/>
      <c r="U201" s="550"/>
      <c r="V201" s="1168"/>
      <c r="W201" s="1168"/>
      <c r="X201" s="1168"/>
      <c r="Y201" s="1168"/>
      <c r="Z201" s="1168"/>
      <c r="AA201" s="1672"/>
      <c r="AB201" s="572"/>
      <c r="AC201" s="572"/>
      <c r="AD201" s="572"/>
      <c r="AE201" s="572"/>
    </row>
    <row s="3878" customFormat="1" customHeight="1" ht="11.25">
      <c r="A202" s="994"/>
      <c r="B202" s="1676"/>
      <c r="C202" s="1676"/>
      <c r="D202" s="347"/>
      <c r="K202" s="1168"/>
      <c r="L202" s="1676"/>
      <c r="M202" s="1676"/>
      <c r="N202" s="1168"/>
      <c r="O202" s="1168"/>
      <c r="P202" s="1168"/>
      <c r="Q202" s="1168"/>
      <c r="R202" s="1676"/>
      <c r="S202" s="1168"/>
      <c r="T202" s="1168"/>
      <c r="U202" s="550"/>
      <c r="V202" s="1168"/>
      <c r="W202" s="1168"/>
      <c r="X202" s="1168"/>
      <c r="Y202" s="1168"/>
      <c r="Z202" s="1168"/>
      <c r="AA202" s="1672"/>
      <c r="AB202" s="572"/>
      <c r="AC202" s="572"/>
      <c r="AD202" s="572"/>
      <c r="AE202" s="572"/>
    </row>
    <row s="3878" customFormat="1" customHeight="1" ht="11.25">
      <c r="A203" s="994"/>
      <c r="B203" s="1676"/>
      <c r="C203" s="1676"/>
      <c r="D203" s="347"/>
      <c r="K203" s="1168"/>
      <c r="L203" s="1676"/>
      <c r="M203" s="1676"/>
      <c r="N203" s="1168"/>
      <c r="O203" s="1168"/>
      <c r="P203" s="1168"/>
      <c r="Q203" s="1168"/>
      <c r="R203" s="1676"/>
      <c r="S203" s="1168"/>
      <c r="T203" s="1168"/>
      <c r="U203" s="550"/>
      <c r="V203" s="1168"/>
      <c r="W203" s="1168"/>
      <c r="X203" s="1168"/>
      <c r="Y203" s="1168"/>
      <c r="Z203" s="1168"/>
      <c r="AA203" s="1672"/>
      <c r="AB203" s="572"/>
      <c r="AC203" s="572"/>
      <c r="AD203" s="572"/>
      <c r="AE203" s="572"/>
    </row>
    <row s="3878" customFormat="1" customHeight="1" ht="11.25">
      <c r="A204" s="994"/>
      <c r="B204" s="1676"/>
      <c r="C204" s="1676"/>
      <c r="D204" s="347"/>
      <c r="K204" s="1168"/>
      <c r="L204" s="1676"/>
      <c r="M204" s="1676"/>
      <c r="N204" s="1168"/>
      <c r="O204" s="1168"/>
      <c r="P204" s="1168"/>
      <c r="Q204" s="1168"/>
      <c r="R204" s="1676"/>
      <c r="S204" s="1168"/>
      <c r="T204" s="1168"/>
      <c r="U204" s="550"/>
      <c r="V204" s="1168"/>
      <c r="W204" s="1168"/>
      <c r="X204" s="1168"/>
      <c r="Y204" s="1168"/>
      <c r="Z204" s="1168"/>
      <c r="AA204" s="1672"/>
      <c r="AB204" s="572"/>
      <c r="AC204" s="572"/>
      <c r="AD204" s="572"/>
      <c r="AE204" s="572"/>
    </row>
    <row r="208" customHeight="1" ht="11.25">
      <c r="A208" s="997"/>
      <c r="B208" s="1671"/>
      <c r="D208" s="1671"/>
      <c r="K208" s="1671"/>
      <c r="N208" s="1671"/>
      <c r="O208" s="1671"/>
      <c r="P208" s="1671"/>
      <c r="Q208" s="1671"/>
      <c r="S208" s="1671"/>
      <c r="T208" s="1671"/>
      <c r="U208" s="1671"/>
      <c r="V208" s="1671"/>
      <c r="W208" s="1671"/>
      <c r="X208" s="1671"/>
      <c r="Y208" s="1671"/>
      <c r="Z208" s="1671"/>
      <c r="AA208" s="1671"/>
      <c r="AB208" s="1671"/>
      <c r="AC208" s="1671"/>
      <c r="AD208" s="1671"/>
      <c r="AE208" s="1671"/>
    </row>
    <row customHeight="1" ht="11.25">
      <c r="A209" s="997"/>
      <c r="B209" s="1671"/>
      <c r="D209" s="1671"/>
      <c r="K209" s="1671"/>
      <c r="N209" s="1671"/>
      <c r="O209" s="1671"/>
      <c r="P209" s="1671"/>
      <c r="Q209" s="1671"/>
      <c r="S209" s="1671"/>
      <c r="T209" s="1671"/>
      <c r="U209" s="1671"/>
      <c r="V209" s="1671"/>
      <c r="W209" s="1671"/>
      <c r="X209" s="1671"/>
      <c r="Y209" s="1671"/>
      <c r="Z209" s="1671"/>
      <c r="AA209" s="1671"/>
      <c r="AB209" s="1671"/>
      <c r="AC209" s="1671"/>
      <c r="AD209" s="1671"/>
      <c r="AE209" s="1671"/>
    </row>
    <row customHeight="1" ht="11.25">
      <c r="A210" s="997"/>
      <c r="B210" s="1671"/>
      <c r="D210" s="1671"/>
      <c r="K210" s="1671"/>
      <c r="N210" s="1671"/>
      <c r="O210" s="1671"/>
      <c r="P210" s="1671"/>
      <c r="Q210" s="1671"/>
      <c r="S210" s="1671"/>
      <c r="T210" s="1671"/>
      <c r="U210" s="1671"/>
      <c r="V210" s="1671"/>
      <c r="W210" s="1671"/>
      <c r="X210" s="1671"/>
      <c r="Y210" s="1671"/>
      <c r="Z210" s="1671"/>
      <c r="AA210" s="1671"/>
      <c r="AB210" s="1671"/>
      <c r="AC210" s="1671"/>
      <c r="AD210" s="1671"/>
      <c r="AE210" s="1671"/>
    </row>
    <row customHeight="1" ht="11.25">
      <c r="A211" s="997"/>
      <c r="B211" s="1671"/>
      <c r="D211" s="1671"/>
      <c r="K211" s="1671"/>
      <c r="N211" s="1671"/>
      <c r="O211" s="1671"/>
      <c r="P211" s="1671"/>
      <c r="Q211" s="1671"/>
      <c r="S211" s="1671"/>
      <c r="T211" s="1671"/>
      <c r="U211" s="1671"/>
      <c r="V211" s="1671"/>
      <c r="W211" s="1671"/>
      <c r="X211" s="1671"/>
      <c r="Y211" s="1671"/>
      <c r="Z211" s="1671"/>
      <c r="AA211" s="1671"/>
      <c r="AB211" s="1671"/>
      <c r="AC211" s="1671"/>
      <c r="AD211" s="1671"/>
      <c r="AE211" s="1671"/>
    </row>
    <row customHeight="1" ht="11.25">
      <c r="A212" s="997"/>
      <c r="B212" s="1671"/>
      <c r="D212" s="1671"/>
      <c r="K212" s="1671"/>
      <c r="N212" s="1671"/>
      <c r="O212" s="1671"/>
      <c r="P212" s="1671"/>
      <c r="Q212" s="1671"/>
      <c r="S212" s="1671"/>
      <c r="T212" s="1671"/>
      <c r="U212" s="1671"/>
      <c r="V212" s="1671"/>
      <c r="W212" s="1671"/>
      <c r="X212" s="1671"/>
      <c r="Y212" s="1671"/>
      <c r="Z212" s="1671"/>
      <c r="AA212" s="1671"/>
      <c r="AB212" s="1671"/>
      <c r="AC212" s="1671"/>
      <c r="AD212" s="1671"/>
      <c r="AE212" s="1671"/>
    </row>
    <row customHeight="1" ht="11.25">
      <c r="A213" s="997"/>
      <c r="B213" s="1671"/>
      <c r="D213" s="1671"/>
      <c r="K213" s="1671"/>
      <c r="N213" s="1671"/>
      <c r="O213" s="1671"/>
      <c r="P213" s="1671"/>
      <c r="Q213" s="1671"/>
      <c r="S213" s="1671"/>
      <c r="T213" s="1671"/>
      <c r="U213" s="1671"/>
      <c r="V213" s="1671"/>
      <c r="W213" s="1671"/>
      <c r="X213" s="1671"/>
      <c r="Y213" s="1671"/>
      <c r="Z213" s="1671"/>
      <c r="AA213" s="1671"/>
      <c r="AB213" s="1671"/>
      <c r="AC213" s="1671"/>
      <c r="AD213" s="1671"/>
      <c r="AE213" s="1671"/>
    </row>
    <row customHeight="1" ht="11.25">
      <c r="A214" s="997"/>
      <c r="B214" s="1671"/>
      <c r="D214" s="1671"/>
      <c r="K214" s="1671"/>
      <c r="N214" s="1671"/>
      <c r="O214" s="1671"/>
      <c r="P214" s="1671"/>
      <c r="Q214" s="1671"/>
      <c r="S214" s="1671"/>
      <c r="T214" s="1671"/>
      <c r="U214" s="1671"/>
      <c r="V214" s="1671"/>
      <c r="W214" s="1671"/>
      <c r="X214" s="1671"/>
      <c r="Y214" s="1671"/>
      <c r="Z214" s="1671"/>
      <c r="AA214" s="1671"/>
      <c r="AB214" s="1671"/>
      <c r="AC214" s="1671"/>
      <c r="AD214" s="1671"/>
      <c r="AE214" s="1671"/>
    </row>
    <row customHeight="1" ht="11.25">
      <c r="A215" s="997"/>
      <c r="B215" s="1671"/>
      <c r="D215" s="1671"/>
      <c r="K215" s="1671"/>
      <c r="N215" s="1671"/>
      <c r="O215" s="1671"/>
      <c r="P215" s="1671"/>
      <c r="Q215" s="1671"/>
      <c r="S215" s="1671"/>
      <c r="T215" s="1671"/>
      <c r="U215" s="1671"/>
      <c r="V215" s="1671"/>
      <c r="W215" s="1671"/>
      <c r="X215" s="1671"/>
      <c r="Y215" s="1671"/>
      <c r="Z215" s="1671"/>
      <c r="AA215" s="1671"/>
      <c r="AB215" s="1671"/>
      <c r="AC215" s="1671"/>
      <c r="AD215" s="1671"/>
      <c r="AE215" s="1671"/>
    </row>
    <row customHeight="1" ht="11.25">
      <c r="A216" s="997"/>
      <c r="B216" s="1671"/>
      <c r="D216" s="1671"/>
      <c r="K216" s="1671"/>
      <c r="N216" s="1671"/>
      <c r="O216" s="1671"/>
      <c r="P216" s="1671"/>
      <c r="Q216" s="1671"/>
      <c r="S216" s="1671"/>
      <c r="T216" s="1671"/>
      <c r="U216" s="1671"/>
      <c r="V216" s="1671"/>
      <c r="W216" s="1671"/>
      <c r="X216" s="1671"/>
      <c r="Y216" s="1671"/>
      <c r="Z216" s="1671"/>
      <c r="AA216" s="1671"/>
      <c r="AB216" s="1671"/>
      <c r="AC216" s="1671"/>
      <c r="AD216" s="1671"/>
      <c r="AE216" s="1671"/>
    </row>
    <row customHeight="1" ht="11.25">
      <c r="A217" s="997"/>
      <c r="B217" s="1671"/>
      <c r="D217" s="1671"/>
      <c r="K217" s="1671"/>
      <c r="N217" s="1671"/>
      <c r="O217" s="1671"/>
      <c r="P217" s="1671"/>
      <c r="Q217" s="1671"/>
      <c r="S217" s="1671"/>
      <c r="T217" s="1671"/>
      <c r="U217" s="1671"/>
      <c r="V217" s="1671"/>
      <c r="W217" s="1671"/>
      <c r="X217" s="1671"/>
      <c r="Y217" s="1671"/>
      <c r="Z217" s="1671"/>
      <c r="AA217" s="1671"/>
      <c r="AB217" s="1671"/>
      <c r="AC217" s="1671"/>
      <c r="AD217" s="1671"/>
      <c r="AE217" s="1671"/>
    </row>
    <row customHeight="1" ht="11.25">
      <c r="A218" s="997"/>
      <c r="B218" s="1671"/>
      <c r="D218" s="1671"/>
      <c r="K218" s="1671"/>
      <c r="N218" s="1671"/>
      <c r="O218" s="1671"/>
      <c r="P218" s="1671"/>
      <c r="Q218" s="1671"/>
      <c r="S218" s="1671"/>
      <c r="T218" s="1671"/>
      <c r="U218" s="1671"/>
      <c r="V218" s="1671"/>
      <c r="W218" s="1671"/>
      <c r="X218" s="1671"/>
      <c r="Y218" s="1671"/>
      <c r="Z218" s="1671"/>
      <c r="AA218" s="1671"/>
      <c r="AB218" s="1671"/>
      <c r="AC218" s="1671"/>
      <c r="AD218" s="1671"/>
      <c r="AE218" s="1671"/>
    </row>
  </sheetData>
  <sheetProtection formatColumns="0" formatRows="0" autoFilter="0" sort="0" insertRows="0" insertColumns="1" deleteRows="0" deleteColumns="0"/>
  <mergeCells count="9">
    <mergeCell ref="F48:J48"/>
    <mergeCell ref="F49:J49"/>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102ED56-81CF-BF37-83DE-BDCCB4624A18}" mc:Ignorable="x14ac xr xr2 xr3">
  <sheetPr>
    <tabColor theme="9" tint="-0.25"/>
  </sheetPr>
  <dimension ref="A1:AE209"/>
  <sheetViews>
    <sheetView topLeftCell="A1" showGridLines="0" zoomScale="90" workbookViewId="0">
      <selection activeCell="A1" sqref="A1"/>
    </sheetView>
  </sheetViews>
  <sheetFormatPr defaultColWidth="9.140625" customHeight="1" defaultRowHeight="11.25"/>
  <cols>
    <col min="1" max="1" style="3851" width="10.7109375" hidden="1" customWidth="1"/>
    <col min="2" max="2" style="3292" width="16.8515625" hidden="1" customWidth="1"/>
    <col min="3" max="3" style="3842" width="5.57421875" hidden="1" customWidth="1"/>
    <col min="4" max="4" style="3954" width="3.7109375" customWidth="1"/>
    <col min="5" max="5" style="2948" width="7.7109375" customWidth="1"/>
    <col min="6" max="6" style="2948" width="54.57421875" customWidth="1"/>
    <col min="7" max="7" style="2948" width="10.421875" customWidth="1"/>
    <col min="8" max="8" style="2948" width="40.7109375" hidden="1" customWidth="1"/>
    <col min="9" max="9" style="2948" width="40.7109375" customWidth="1"/>
    <col min="10" max="10" style="2948" width="102.8515625" customWidth="1"/>
    <col min="11" max="11" style="3292" width="9.7109375" customWidth="1"/>
    <col min="12" max="12" style="3842" width="5.28125" customWidth="1"/>
    <col min="13" max="13" style="3842" width="3.7109375" customWidth="1"/>
    <col min="14" max="17" style="3292" width="3.7109375" customWidth="1"/>
    <col min="18" max="18" style="3842" width="10.57421875" customWidth="1"/>
    <col min="19" max="19" style="3292" width="34.7109375" customWidth="1"/>
    <col min="20" max="20" style="3292" width="9.421875" customWidth="1"/>
    <col min="21" max="21" style="3855" width="9.140625"/>
    <col min="22" max="26" style="3292" width="9.140625"/>
    <col min="27" max="31" style="2947" width="9.140625"/>
  </cols>
  <sheetData>
    <row s="3292" customFormat="1" customHeight="1" ht="11.25" hidden="1">
      <c r="A1" s="994"/>
      <c r="C1" s="1676"/>
      <c r="D1" s="543"/>
      <c r="H1" s="1168">
        <v>4</v>
      </c>
      <c r="I1" s="1168">
        <v>4</v>
      </c>
      <c r="L1" s="1676"/>
      <c r="M1" s="1676"/>
      <c r="R1" s="1676"/>
    </row>
    <row s="3292" customFormat="1" customHeight="1" ht="22.5" hidden="1">
      <c r="A2" s="994"/>
      <c r="C2" s="1676"/>
      <c r="D2" s="544"/>
      <c r="E2" s="1698"/>
      <c r="F2" s="546"/>
      <c r="G2" s="1697" t="s">
        <v>540</v>
      </c>
      <c r="H2" s="547"/>
      <c r="I2" s="547"/>
      <c r="J2" s="548" t="s">
        <v>543</v>
      </c>
      <c r="K2" s="549"/>
      <c r="L2" s="1676"/>
      <c r="M2" s="1676"/>
      <c r="R2" s="1676"/>
      <c r="U2" s="550"/>
      <c r="AA2" s="1672"/>
      <c r="AB2" s="1672"/>
      <c r="AC2" s="1672"/>
      <c r="AD2" s="1672"/>
      <c r="AE2" s="1672"/>
    </row>
    <row customHeight="1" ht="11.25" hidden="1"/>
    <row s="2947" customFormat="1" customHeight="1" ht="11.25" hidden="1">
      <c r="A4" s="994"/>
      <c r="B4" s="1168"/>
      <c r="C4" s="1676"/>
      <c r="D4" s="360"/>
      <c r="J4" s="1672">
        <v>4</v>
      </c>
      <c r="K4" s="1168"/>
      <c r="L4" s="1676"/>
      <c r="M4" s="1676"/>
      <c r="N4" s="1168"/>
      <c r="O4" s="1168"/>
      <c r="P4" s="1168"/>
      <c r="Q4" s="1168"/>
      <c r="R4" s="1676"/>
      <c r="S4" s="1168"/>
      <c r="T4" s="1168"/>
      <c r="U4" s="550"/>
      <c r="V4" s="1168"/>
      <c r="W4" s="1168"/>
      <c r="X4" s="1168"/>
      <c r="Y4" s="1168"/>
      <c r="Z4" s="1168"/>
    </row>
    <row r="6" customHeight="1" ht="32.25">
      <c r="E6" s="2140" t="s">
        <v>677</v>
      </c>
      <c r="F6" s="2140"/>
      <c r="G6" s="2140"/>
      <c r="H6" s="2140"/>
      <c r="I6" s="2140"/>
      <c r="J6" s="562"/>
    </row>
    <row customHeight="1" ht="24">
      <c r="E7" s="2141" t="str">
        <f>IF(org=0,"Не определено",org)</f>
        <v>ЗАО "Байкалэнерго"</v>
      </c>
      <c r="F7" s="2141"/>
      <c r="G7" s="2141"/>
      <c r="H7" s="2141"/>
      <c r="I7" s="2141"/>
    </row>
    <row customHeight="1" ht="11.25">
      <c r="E8" s="1143"/>
      <c r="F8" s="1143"/>
      <c r="G8" s="1143"/>
      <c r="H8" s="1143"/>
      <c r="I8" s="1143"/>
    </row>
    <row s="3842" customFormat="1" customHeight="1" ht="0.75">
      <c r="A9" s="1175"/>
      <c r="D9" s="1682"/>
      <c r="H9" s="895"/>
      <c r="I9" s="895" t="s">
        <v>118</v>
      </c>
    </row>
    <row customHeight="1" ht="11.25">
      <c r="E10" s="717"/>
      <c r="F10" s="2213" t="s">
        <v>106</v>
      </c>
      <c r="G10" s="2214"/>
      <c r="H10" s="1699" t="str">
        <f>IF(H9="","",INDEX(DIFFERENTIATION_UNMERGE_VD,MATCH(H9,DIFFERENTIATION_ID_DIFF,0)))</f>
        <v/>
      </c>
      <c r="I10" s="1699">
        <f>IF(I9="","",INDEX(DIFFERENTIATION_UNMERGE_VD,MATCH(I9,DIFFERENTIATION_ID_DIFF,0)))</f>
        <v>0</v>
      </c>
      <c r="J10" s="1971"/>
    </row>
    <row customHeight="1" ht="11.25">
      <c r="E11" s="717"/>
      <c r="F11" s="2213" t="s">
        <v>552</v>
      </c>
      <c r="G11" s="2214"/>
      <c r="H11" s="1699" t="str">
        <f>IF(H9="","",INDEX(DIFFERENTIATION_UNMERGE_AREA,MATCH(H9,DIFFERENTIATION_ID_DIFF,0)))</f>
        <v/>
      </c>
      <c r="I11" s="1699" t="str">
        <f>IF(I9="","",INDEX(DIFFERENTIATION_UNMERGE_AREA,MATCH(I9,DIFFERENTIATION_ID_DIFF,0)))</f>
        <v/>
      </c>
      <c r="J11" s="1971"/>
    </row>
    <row customHeight="1" ht="11.25" hidden="1">
      <c r="E12" s="1702"/>
      <c r="F12" s="2228" t="s">
        <v>553</v>
      </c>
      <c r="G12" s="2229"/>
      <c r="H12" s="1703" t="str">
        <f>IF(H9="","",INDEX(DIFFERENTIATION_UNMERGE_SYSTEM,MATCH(H9,DIFFERENTIATION_ID_DIFF,0)))</f>
        <v/>
      </c>
      <c r="I12" s="1703" t="str">
        <f>IF(I9="","",INDEX(DIFFERENTIATION_UNMERGE_SYSTEM,MATCH(I9,DIFFERENTIATION_ID_DIFF,0)))</f>
        <v>без дифференциации</v>
      </c>
      <c r="J12" s="1971"/>
    </row>
    <row customHeight="1" ht="11.25">
      <c r="E13" s="2215" t="s">
        <v>293</v>
      </c>
      <c r="F13" s="2216"/>
      <c r="G13" s="2216"/>
      <c r="H13" s="1696"/>
      <c r="I13" s="1696"/>
      <c r="J13" s="1971"/>
    </row>
    <row customHeight="1" ht="22.5">
      <c r="E14" s="1697" t="s">
        <v>88</v>
      </c>
      <c r="F14" s="1700" t="s">
        <v>295</v>
      </c>
      <c r="G14" s="1700" t="s">
        <v>554</v>
      </c>
      <c r="H14" s="1700" t="s">
        <v>296</v>
      </c>
      <c r="I14" s="1700" t="s">
        <v>296</v>
      </c>
      <c r="J14" s="1971"/>
    </row>
    <row customHeight="1" ht="18.75">
      <c r="D15" s="1678"/>
      <c r="E15" s="1670" t="s">
        <v>110</v>
      </c>
      <c r="F15" s="713" t="s">
        <v>678</v>
      </c>
      <c r="G15" s="1697" t="s">
        <v>540</v>
      </c>
      <c r="H15" s="563"/>
      <c r="I15" s="563"/>
      <c r="J15" s="277" t="s">
        <v>679</v>
      </c>
      <c r="K15" s="549" t="s">
        <v>607</v>
      </c>
    </row>
    <row customHeight="1" ht="22.5">
      <c r="D16" s="1678"/>
      <c r="E16" s="1670" t="s">
        <v>111</v>
      </c>
      <c r="F16" s="1705" t="s">
        <v>680</v>
      </c>
      <c r="G16" s="1697" t="s">
        <v>540</v>
      </c>
      <c r="H16" s="564">
        <f>SUM(H17,H20:H27)</f>
        <v>0</v>
      </c>
      <c r="I16" s="564">
        <f>SUM(I17,I20:I27)</f>
        <v>0</v>
      </c>
      <c r="J16" s="277" t="s">
        <v>681</v>
      </c>
      <c r="K16" s="549" t="s">
        <v>607</v>
      </c>
    </row>
    <row customHeight="1" ht="33.75">
      <c r="D17" s="1678"/>
      <c r="E17" s="1704" t="s">
        <v>610</v>
      </c>
      <c r="F17" s="1707" t="s">
        <v>682</v>
      </c>
      <c r="G17" s="1694" t="s">
        <v>540</v>
      </c>
      <c r="H17" s="563"/>
      <c r="I17" s="563"/>
      <c r="J17" s="277" t="s">
        <v>683</v>
      </c>
      <c r="K17" s="549"/>
    </row>
    <row customHeight="1" ht="18.75">
      <c r="D18" s="1678"/>
      <c r="E18" s="1704" t="s">
        <v>613</v>
      </c>
      <c r="F18" s="1708" t="s">
        <v>684</v>
      </c>
      <c r="G18" s="1694" t="s">
        <v>540</v>
      </c>
      <c r="H18" s="563"/>
      <c r="I18" s="563"/>
      <c r="J18" s="277"/>
      <c r="K18" s="549"/>
    </row>
    <row customHeight="1" ht="22.5">
      <c r="D19" s="1678"/>
      <c r="E19" s="1704" t="s">
        <v>616</v>
      </c>
      <c r="F19" s="1708" t="s">
        <v>685</v>
      </c>
      <c r="G19" s="1694" t="s">
        <v>540</v>
      </c>
      <c r="H19" s="563"/>
      <c r="I19" s="563"/>
      <c r="J19" s="277"/>
      <c r="K19" s="549"/>
    </row>
    <row customHeight="1" ht="33.75">
      <c r="D20" s="1678"/>
      <c r="E20" s="1704" t="s">
        <v>300</v>
      </c>
      <c r="F20" s="1707" t="s">
        <v>686</v>
      </c>
      <c r="G20" s="1694" t="s">
        <v>540</v>
      </c>
      <c r="H20" s="563"/>
      <c r="I20" s="563"/>
      <c r="J20" s="277"/>
      <c r="K20" s="549"/>
    </row>
    <row customHeight="1" ht="33.75">
      <c r="D21" s="1678"/>
      <c r="E21" s="1704" t="s">
        <v>303</v>
      </c>
      <c r="F21" s="1707" t="s">
        <v>687</v>
      </c>
      <c r="G21" s="1694" t="s">
        <v>540</v>
      </c>
      <c r="H21" s="563"/>
      <c r="I21" s="563"/>
      <c r="J21" s="277"/>
      <c r="K21" s="549"/>
    </row>
    <row customHeight="1" ht="56.25">
      <c r="D22" s="1678"/>
      <c r="E22" s="1704" t="s">
        <v>630</v>
      </c>
      <c r="F22" s="1707" t="s">
        <v>688</v>
      </c>
      <c r="G22" s="1694" t="s">
        <v>540</v>
      </c>
      <c r="H22" s="563"/>
      <c r="I22" s="563"/>
      <c r="J22" s="277"/>
      <c r="K22" s="549"/>
    </row>
    <row customHeight="1" ht="33.75">
      <c r="D23" s="1678"/>
      <c r="E23" s="1704" t="s">
        <v>637</v>
      </c>
      <c r="F23" s="1707" t="s">
        <v>689</v>
      </c>
      <c r="G23" s="1694" t="s">
        <v>540</v>
      </c>
      <c r="H23" s="563"/>
      <c r="I23" s="563"/>
      <c r="J23" s="277"/>
      <c r="K23" s="549"/>
    </row>
    <row customHeight="1" ht="33.75">
      <c r="D24" s="1678"/>
      <c r="E24" s="1704" t="s">
        <v>639</v>
      </c>
      <c r="F24" s="1707" t="s">
        <v>690</v>
      </c>
      <c r="G24" s="1694" t="s">
        <v>540</v>
      </c>
      <c r="H24" s="563"/>
      <c r="I24" s="563"/>
      <c r="J24" s="277"/>
      <c r="K24" s="549"/>
    </row>
    <row customHeight="1" ht="22.5">
      <c r="D25" s="1678"/>
      <c r="E25" s="1704" t="s">
        <v>641</v>
      </c>
      <c r="F25" s="1707" t="s">
        <v>691</v>
      </c>
      <c r="G25" s="1694" t="s">
        <v>540</v>
      </c>
      <c r="H25" s="563"/>
      <c r="I25" s="563"/>
      <c r="J25" s="277"/>
      <c r="K25" s="549"/>
    </row>
    <row customHeight="1" ht="67.5">
      <c r="D26" s="1678"/>
      <c r="E26" s="1704" t="s">
        <v>643</v>
      </c>
      <c r="F26" s="1707" t="s">
        <v>692</v>
      </c>
      <c r="G26" s="1694" t="s">
        <v>540</v>
      </c>
      <c r="H26" s="563"/>
      <c r="I26" s="563"/>
      <c r="J26" s="277"/>
      <c r="K26" s="549"/>
    </row>
    <row s="3292" customFormat="1" customHeight="1" ht="22.5">
      <c r="A27" s="994"/>
      <c r="C27" s="1676"/>
      <c r="D27" s="1678"/>
      <c r="E27" s="1669" t="s">
        <v>647</v>
      </c>
      <c r="F27" s="1668" t="s">
        <v>693</v>
      </c>
      <c r="G27" s="1695" t="s">
        <v>540</v>
      </c>
      <c r="H27" s="585">
        <f>SUM(H28:H29)</f>
        <v>0</v>
      </c>
      <c r="I27" s="585">
        <f>SUM(I28:I29)</f>
        <v>0</v>
      </c>
      <c r="J27" s="277" t="s">
        <v>645</v>
      </c>
      <c r="K27" s="549"/>
      <c r="L27" s="1676"/>
      <c r="M27" s="1676"/>
      <c r="R27" s="1676"/>
      <c r="U27" s="550"/>
      <c r="AA27" s="1672"/>
      <c r="AB27" s="1672"/>
      <c r="AC27" s="1672"/>
      <c r="AD27" s="1672"/>
      <c r="AE27" s="1672"/>
    </row>
    <row s="3842" customFormat="1" customHeight="1" ht="0.75">
      <c r="A28" s="1175"/>
      <c r="D28" s="554"/>
      <c r="E28" s="808" t="str">
        <f>E27&amp;".0"</f>
        <v>2.9.0</v>
      </c>
      <c r="F28" s="998"/>
      <c r="G28" s="557"/>
      <c r="H28" s="999"/>
      <c r="I28" s="999"/>
      <c r="J28" s="1000"/>
    </row>
    <row s="3292" customFormat="1" customHeight="1" ht="18.75">
      <c r="A29" s="994"/>
      <c r="C29" s="1676"/>
      <c r="D29" s="1673"/>
      <c r="E29" s="576"/>
      <c r="F29" s="1706" t="s">
        <v>565</v>
      </c>
      <c r="G29" s="578"/>
      <c r="H29" s="579"/>
      <c r="I29" s="579"/>
      <c r="J29" s="289" t="s">
        <v>646</v>
      </c>
      <c r="K29" s="549"/>
      <c r="L29" s="1676"/>
      <c r="M29" s="1676"/>
      <c r="R29" s="1676"/>
      <c r="U29" s="550"/>
      <c r="AA29" s="1672"/>
      <c r="AB29" s="1672"/>
      <c r="AC29" s="1672"/>
      <c r="AD29" s="1672"/>
      <c r="AE29" s="1672"/>
    </row>
    <row s="3292" customFormat="1" customHeight="1" ht="22.5">
      <c r="A30" s="994"/>
      <c r="C30" s="1676"/>
      <c r="D30" s="1678"/>
      <c r="E30" s="1704" t="s">
        <v>90</v>
      </c>
      <c r="F30" s="1701" t="s">
        <v>694</v>
      </c>
      <c r="G30" s="1694" t="s">
        <v>540</v>
      </c>
      <c r="H30" s="563"/>
      <c r="I30" s="563"/>
      <c r="J30" s="277"/>
      <c r="K30" s="549"/>
      <c r="L30" s="1676"/>
      <c r="M30" s="1676"/>
      <c r="R30" s="1676"/>
      <c r="U30" s="550"/>
      <c r="AA30" s="1672"/>
      <c r="AB30" s="1672"/>
      <c r="AC30" s="1672"/>
      <c r="AD30" s="1672"/>
      <c r="AE30" s="1672"/>
    </row>
    <row s="3292" customFormat="1" customHeight="1" ht="33.75">
      <c r="A31" s="994"/>
      <c r="C31" s="1676"/>
      <c r="D31" s="581"/>
      <c r="E31" s="1704" t="s">
        <v>91</v>
      </c>
      <c r="F31" s="1701" t="s">
        <v>695</v>
      </c>
      <c r="G31" s="1694" t="s">
        <v>540</v>
      </c>
      <c r="H31" s="563"/>
      <c r="I31" s="563"/>
      <c r="J31" s="277" t="s">
        <v>696</v>
      </c>
      <c r="K31" s="549"/>
      <c r="L31" s="1676"/>
      <c r="M31" s="1676"/>
      <c r="R31" s="1676"/>
      <c r="U31" s="550"/>
      <c r="AA31" s="1672"/>
      <c r="AB31" s="1672"/>
      <c r="AC31" s="1672"/>
      <c r="AD31" s="1672"/>
      <c r="AE31" s="1672"/>
    </row>
    <row s="3292" customFormat="1" customHeight="1" ht="22.5">
      <c r="A32" s="994"/>
      <c r="C32" s="1676"/>
      <c r="D32" s="1678"/>
      <c r="E32" s="1704" t="s">
        <v>655</v>
      </c>
      <c r="F32" s="696" t="s">
        <v>659</v>
      </c>
      <c r="G32" s="1694" t="s">
        <v>540</v>
      </c>
      <c r="H32" s="563"/>
      <c r="I32" s="563"/>
      <c r="J32" s="277" t="s">
        <v>697</v>
      </c>
      <c r="K32" s="549"/>
      <c r="L32" s="1676"/>
      <c r="M32" s="1676"/>
      <c r="R32" s="1676"/>
      <c r="U32" s="550"/>
      <c r="AA32" s="1672"/>
      <c r="AB32" s="1672"/>
      <c r="AC32" s="1672"/>
      <c r="AD32" s="1672"/>
      <c r="AE32" s="1672"/>
    </row>
    <row s="3292" customFormat="1" customHeight="1" ht="22.5">
      <c r="A33" s="994"/>
      <c r="C33" s="1676"/>
      <c r="D33" s="1678"/>
      <c r="E33" s="1704" t="s">
        <v>698</v>
      </c>
      <c r="F33" s="696" t="s">
        <v>699</v>
      </c>
      <c r="G33" s="1694" t="s">
        <v>540</v>
      </c>
      <c r="H33" s="563"/>
      <c r="I33" s="563"/>
      <c r="J33" s="277" t="s">
        <v>700</v>
      </c>
      <c r="K33" s="549"/>
      <c r="L33" s="1676"/>
      <c r="M33" s="1676"/>
      <c r="R33" s="1676"/>
      <c r="U33" s="550"/>
      <c r="AA33" s="1672"/>
      <c r="AB33" s="1672"/>
      <c r="AC33" s="1672"/>
      <c r="AD33" s="1672"/>
      <c r="AE33" s="1672"/>
    </row>
    <row s="3292" customFormat="1" customHeight="1" ht="22.5">
      <c r="A34" s="994"/>
      <c r="C34" s="1676"/>
      <c r="D34" s="1678"/>
      <c r="E34" s="1704" t="s">
        <v>701</v>
      </c>
      <c r="F34" s="696" t="s">
        <v>665</v>
      </c>
      <c r="G34" s="1694" t="s">
        <v>540</v>
      </c>
      <c r="H34" s="563"/>
      <c r="I34" s="563"/>
      <c r="J34" s="277" t="s">
        <v>702</v>
      </c>
      <c r="K34" s="549"/>
      <c r="L34" s="1676"/>
      <c r="M34" s="1676"/>
      <c r="R34" s="1676"/>
      <c r="U34" s="550"/>
      <c r="AA34" s="1672"/>
      <c r="AB34" s="1672"/>
      <c r="AC34" s="1672"/>
      <c r="AD34" s="1672"/>
      <c r="AE34" s="1672"/>
    </row>
    <row s="3292" customFormat="1" customHeight="1" ht="33.75">
      <c r="A35" s="994"/>
      <c r="C35" s="1676" t="s">
        <v>576</v>
      </c>
      <c r="D35" s="1678"/>
      <c r="E35" s="1704" t="s">
        <v>112</v>
      </c>
      <c r="F35" s="1701" t="s">
        <v>667</v>
      </c>
      <c r="G35" s="1697" t="s">
        <v>299</v>
      </c>
      <c r="H35" s="407"/>
      <c r="I35" s="407"/>
      <c r="J35" s="277" t="s">
        <v>703</v>
      </c>
      <c r="K35" s="549"/>
      <c r="L35" s="1676"/>
      <c r="M35" s="1676"/>
      <c r="R35" s="1676"/>
      <c r="U35" s="550"/>
      <c r="AA35" s="1672"/>
      <c r="AB35" s="1672"/>
      <c r="AC35" s="1672"/>
      <c r="AD35" s="1672"/>
      <c r="AE35" s="1672"/>
    </row>
    <row s="3292" customFormat="1" customHeight="1" ht="22.5">
      <c r="A36" s="994"/>
      <c r="C36" s="1676"/>
      <c r="D36" s="1678"/>
      <c r="E36" s="1704" t="s">
        <v>92</v>
      </c>
      <c r="F36" s="1701" t="s">
        <v>704</v>
      </c>
      <c r="G36" s="1694" t="s">
        <v>671</v>
      </c>
      <c r="H36" s="551"/>
      <c r="I36" s="551"/>
      <c r="J36" s="277" t="s">
        <v>672</v>
      </c>
      <c r="K36" s="549"/>
      <c r="L36" s="1676"/>
      <c r="M36" s="1676"/>
      <c r="R36" s="1676"/>
      <c r="U36" s="550"/>
      <c r="AA36" s="1672"/>
      <c r="AB36" s="1672"/>
      <c r="AC36" s="1672"/>
      <c r="AD36" s="1672"/>
      <c r="AE36" s="1672"/>
    </row>
    <row s="3292" customFormat="1" customHeight="1" ht="22.5">
      <c r="A37" s="994"/>
      <c r="C37" s="1676"/>
      <c r="D37" s="1678"/>
      <c r="E37" s="1704" t="s">
        <v>93</v>
      </c>
      <c r="F37" s="1701" t="s">
        <v>705</v>
      </c>
      <c r="G37" s="1694" t="s">
        <v>674</v>
      </c>
      <c r="H37" s="551"/>
      <c r="I37" s="551"/>
      <c r="J37" s="277" t="s">
        <v>675</v>
      </c>
      <c r="K37" s="549"/>
      <c r="L37" s="1676"/>
      <c r="M37" s="1676"/>
      <c r="R37" s="1676"/>
      <c r="U37" s="550"/>
      <c r="AA37" s="1672"/>
      <c r="AB37" s="1672"/>
      <c r="AC37" s="1672"/>
      <c r="AD37" s="1672"/>
      <c r="AE37" s="1672"/>
    </row>
    <row customHeight="1" ht="11.25">
      <c r="D38" s="1678"/>
    </row>
    <row customHeight="1" ht="26.25">
      <c r="D39" s="1678"/>
      <c r="E39" s="1273" t="s">
        <v>706</v>
      </c>
      <c r="F39" s="2106" t="s">
        <v>707</v>
      </c>
      <c r="G39" s="2106"/>
      <c r="H39" s="2106"/>
      <c r="I39" s="2106"/>
      <c r="J39" s="2106"/>
    </row>
    <row s="3878" customFormat="1" customHeight="1" ht="37.5">
      <c r="A40" s="994"/>
      <c r="B40" s="1676"/>
      <c r="C40" s="1676"/>
      <c r="D40" s="347"/>
      <c r="F40" s="2106" t="s">
        <v>708</v>
      </c>
      <c r="G40" s="2106"/>
      <c r="H40" s="2106"/>
      <c r="I40" s="2106"/>
      <c r="J40" s="2106"/>
      <c r="K40" s="1168"/>
      <c r="L40" s="1676"/>
      <c r="M40" s="1676"/>
      <c r="N40" s="1168"/>
      <c r="O40" s="1168"/>
      <c r="P40" s="1168"/>
      <c r="Q40" s="1168"/>
      <c r="R40" s="1676"/>
      <c r="S40" s="1168"/>
      <c r="T40" s="1168"/>
      <c r="U40" s="550"/>
      <c r="V40" s="1168"/>
      <c r="W40" s="1168"/>
      <c r="X40" s="1168"/>
      <c r="Y40" s="1168"/>
      <c r="Z40" s="1168"/>
      <c r="AA40" s="1672"/>
      <c r="AB40" s="572"/>
      <c r="AC40" s="572"/>
      <c r="AD40" s="572"/>
      <c r="AE40" s="572"/>
    </row>
    <row s="3878" customFormat="1" customHeight="1" ht="11.25">
      <c r="A41" s="994"/>
      <c r="B41" s="1676"/>
      <c r="C41" s="1676"/>
      <c r="D41" s="347"/>
      <c r="K41" s="1168"/>
      <c r="L41" s="1676"/>
      <c r="M41" s="1676"/>
      <c r="N41" s="1168"/>
      <c r="O41" s="1168"/>
      <c r="P41" s="1168"/>
      <c r="Q41" s="1168"/>
      <c r="R41" s="1676"/>
      <c r="S41" s="1168"/>
      <c r="T41" s="1168"/>
      <c r="U41" s="550"/>
      <c r="V41" s="1168"/>
      <c r="W41" s="1168"/>
      <c r="X41" s="1168"/>
      <c r="Y41" s="1168"/>
      <c r="Z41" s="1168"/>
      <c r="AA41" s="1672"/>
      <c r="AB41" s="572"/>
      <c r="AC41" s="572"/>
      <c r="AD41" s="572"/>
      <c r="AE41" s="572"/>
    </row>
    <row s="3878" customFormat="1" customHeight="1" ht="11.25">
      <c r="A42" s="994"/>
      <c r="B42" s="1676"/>
      <c r="C42" s="1676"/>
      <c r="D42" s="347"/>
      <c r="K42" s="1168"/>
      <c r="L42" s="1676"/>
      <c r="M42" s="1676"/>
      <c r="N42" s="1168"/>
      <c r="O42" s="1168"/>
      <c r="P42" s="1168"/>
      <c r="Q42" s="1168"/>
      <c r="R42" s="1676"/>
      <c r="S42" s="1168"/>
      <c r="T42" s="1168"/>
      <c r="U42" s="550"/>
      <c r="V42" s="1168"/>
      <c r="W42" s="1168"/>
      <c r="X42" s="1168"/>
      <c r="Y42" s="1168"/>
      <c r="Z42" s="1168"/>
      <c r="AA42" s="1672"/>
      <c r="AB42" s="572"/>
      <c r="AC42" s="572"/>
      <c r="AD42" s="572"/>
      <c r="AE42" s="572"/>
    </row>
    <row s="3878" customFormat="1" customHeight="1" ht="11.25">
      <c r="A43" s="994"/>
      <c r="B43" s="1676"/>
      <c r="C43" s="1676"/>
      <c r="D43" s="347"/>
      <c r="H43" s="572"/>
      <c r="I43" s="572"/>
      <c r="K43" s="1168"/>
      <c r="L43" s="1676"/>
      <c r="M43" s="1676"/>
      <c r="N43" s="1168"/>
      <c r="O43" s="1168"/>
      <c r="P43" s="1168"/>
      <c r="Q43" s="1168"/>
      <c r="R43" s="1676"/>
      <c r="S43" s="1168"/>
      <c r="T43" s="1168"/>
      <c r="U43" s="550"/>
      <c r="V43" s="1168"/>
      <c r="W43" s="1168"/>
      <c r="X43" s="1168"/>
      <c r="Y43" s="1168"/>
      <c r="Z43" s="1168"/>
      <c r="AA43" s="1672"/>
      <c r="AB43" s="572"/>
      <c r="AC43" s="572"/>
      <c r="AD43" s="572"/>
      <c r="AE43" s="572"/>
    </row>
    <row s="3878" customFormat="1" customHeight="1" ht="11.25">
      <c r="A44" s="994"/>
      <c r="B44" s="1676"/>
      <c r="C44" s="1676"/>
      <c r="D44" s="347"/>
      <c r="K44" s="1168"/>
      <c r="L44" s="1676"/>
      <c r="M44" s="1676"/>
      <c r="N44" s="1168"/>
      <c r="O44" s="1168"/>
      <c r="P44" s="1168"/>
      <c r="Q44" s="1168"/>
      <c r="R44" s="1676"/>
      <c r="S44" s="1168"/>
      <c r="T44" s="1168"/>
      <c r="U44" s="550"/>
      <c r="V44" s="1168"/>
      <c r="W44" s="1168"/>
      <c r="X44" s="1168"/>
      <c r="Y44" s="1168"/>
      <c r="Z44" s="1168"/>
      <c r="AA44" s="1672"/>
      <c r="AB44" s="572"/>
      <c r="AC44" s="572"/>
      <c r="AD44" s="572"/>
      <c r="AE44" s="572"/>
    </row>
    <row s="3878" customFormat="1" customHeight="1" ht="11.25">
      <c r="A45" s="994"/>
      <c r="B45" s="1676"/>
      <c r="C45" s="1676"/>
      <c r="D45" s="347"/>
      <c r="K45" s="1168"/>
      <c r="L45" s="1676"/>
      <c r="M45" s="1676"/>
      <c r="N45" s="1168"/>
      <c r="O45" s="1168"/>
      <c r="P45" s="1168"/>
      <c r="Q45" s="1168"/>
      <c r="R45" s="1676"/>
      <c r="S45" s="1168"/>
      <c r="T45" s="1168"/>
      <c r="U45" s="550"/>
      <c r="V45" s="1168"/>
      <c r="W45" s="1168"/>
      <c r="X45" s="1168"/>
      <c r="Y45" s="1168"/>
      <c r="Z45" s="1168"/>
      <c r="AA45" s="1672"/>
      <c r="AB45" s="572"/>
      <c r="AC45" s="572"/>
      <c r="AD45" s="572"/>
      <c r="AE45" s="572"/>
    </row>
    <row s="3878" customFormat="1" customHeight="1" ht="11.25">
      <c r="A46" s="994"/>
      <c r="B46" s="1676"/>
      <c r="C46" s="1676"/>
      <c r="D46" s="347"/>
      <c r="K46" s="1168"/>
      <c r="L46" s="1676"/>
      <c r="M46" s="1676"/>
      <c r="N46" s="1168"/>
      <c r="O46" s="1168"/>
      <c r="P46" s="1168"/>
      <c r="Q46" s="1168"/>
      <c r="R46" s="1676"/>
      <c r="S46" s="1168"/>
      <c r="T46" s="1168"/>
      <c r="U46" s="550"/>
      <c r="V46" s="1168"/>
      <c r="W46" s="1168"/>
      <c r="X46" s="1168"/>
      <c r="Y46" s="1168"/>
      <c r="Z46" s="1168"/>
      <c r="AA46" s="1672"/>
      <c r="AB46" s="572"/>
      <c r="AC46" s="572"/>
      <c r="AD46" s="572"/>
      <c r="AE46" s="572"/>
    </row>
    <row s="3878" customFormat="1" customHeight="1" ht="11.25">
      <c r="A47" s="994"/>
      <c r="B47" s="1676"/>
      <c r="C47" s="1676"/>
      <c r="D47" s="347"/>
      <c r="K47" s="1168"/>
      <c r="L47" s="1676"/>
      <c r="M47" s="1676"/>
      <c r="N47" s="1168"/>
      <c r="O47" s="1168"/>
      <c r="P47" s="1168"/>
      <c r="Q47" s="1168"/>
      <c r="R47" s="1676"/>
      <c r="S47" s="1168"/>
      <c r="T47" s="1168"/>
      <c r="U47" s="550"/>
      <c r="V47" s="1168"/>
      <c r="W47" s="1168"/>
      <c r="X47" s="1168"/>
      <c r="Y47" s="1168"/>
      <c r="Z47" s="1168"/>
      <c r="AA47" s="1672"/>
      <c r="AB47" s="572"/>
      <c r="AC47" s="572"/>
      <c r="AD47" s="572"/>
      <c r="AE47" s="572"/>
    </row>
    <row s="3878" customFormat="1" customHeight="1" ht="11.25">
      <c r="A48" s="994"/>
      <c r="B48" s="1676"/>
      <c r="C48" s="1676"/>
      <c r="D48" s="347"/>
      <c r="K48" s="1168"/>
      <c r="L48" s="1676"/>
      <c r="M48" s="1676"/>
      <c r="N48" s="1168"/>
      <c r="O48" s="1168"/>
      <c r="P48" s="1168"/>
      <c r="Q48" s="1168"/>
      <c r="R48" s="1676"/>
      <c r="S48" s="1168"/>
      <c r="T48" s="1168"/>
      <c r="U48" s="550"/>
      <c r="V48" s="1168"/>
      <c r="W48" s="1168"/>
      <c r="X48" s="1168"/>
      <c r="Y48" s="1168"/>
      <c r="Z48" s="1168"/>
      <c r="AA48" s="1672"/>
      <c r="AB48" s="572"/>
      <c r="AC48" s="572"/>
      <c r="AD48" s="572"/>
      <c r="AE48" s="572"/>
    </row>
    <row s="3878" customFormat="1" customHeight="1" ht="11.25">
      <c r="A49" s="994"/>
      <c r="B49" s="1676"/>
      <c r="C49" s="1676"/>
      <c r="D49" s="347"/>
      <c r="K49" s="1168"/>
      <c r="L49" s="1676"/>
      <c r="M49" s="1676"/>
      <c r="N49" s="1168"/>
      <c r="O49" s="1168"/>
      <c r="P49" s="1168"/>
      <c r="Q49" s="1168"/>
      <c r="R49" s="1676"/>
      <c r="S49" s="1168"/>
      <c r="T49" s="1168"/>
      <c r="U49" s="550"/>
      <c r="V49" s="1168"/>
      <c r="W49" s="1168"/>
      <c r="X49" s="1168"/>
      <c r="Y49" s="1168"/>
      <c r="Z49" s="1168"/>
      <c r="AA49" s="1672"/>
      <c r="AB49" s="572"/>
      <c r="AC49" s="572"/>
      <c r="AD49" s="572"/>
      <c r="AE49" s="572"/>
    </row>
    <row s="3878" customFormat="1" customHeight="1" ht="11.25">
      <c r="A50" s="994"/>
      <c r="B50" s="1676"/>
      <c r="C50" s="1676"/>
      <c r="D50" s="347"/>
      <c r="K50" s="1168"/>
      <c r="L50" s="1676"/>
      <c r="M50" s="1676"/>
      <c r="N50" s="1168"/>
      <c r="O50" s="1168"/>
      <c r="P50" s="1168"/>
      <c r="Q50" s="1168"/>
      <c r="R50" s="1676"/>
      <c r="S50" s="1168"/>
      <c r="T50" s="1168"/>
      <c r="U50" s="550"/>
      <c r="V50" s="1168"/>
      <c r="W50" s="1168"/>
      <c r="X50" s="1168"/>
      <c r="Y50" s="1168"/>
      <c r="Z50" s="1168"/>
      <c r="AA50" s="1672"/>
      <c r="AB50" s="572"/>
      <c r="AC50" s="572"/>
      <c r="AD50" s="572"/>
      <c r="AE50" s="572"/>
    </row>
    <row s="3878" customFormat="1" customHeight="1" ht="11.25">
      <c r="A51" s="994"/>
      <c r="B51" s="1676"/>
      <c r="C51" s="1676"/>
      <c r="D51" s="347"/>
      <c r="K51" s="1168"/>
      <c r="L51" s="1676"/>
      <c r="M51" s="1676"/>
      <c r="N51" s="1168"/>
      <c r="O51" s="1168"/>
      <c r="P51" s="1168"/>
      <c r="Q51" s="1168"/>
      <c r="R51" s="1676"/>
      <c r="S51" s="1168"/>
      <c r="T51" s="1168"/>
      <c r="U51" s="550"/>
      <c r="V51" s="1168"/>
      <c r="W51" s="1168"/>
      <c r="X51" s="1168"/>
      <c r="Y51" s="1168"/>
      <c r="Z51" s="1168"/>
      <c r="AA51" s="1672"/>
      <c r="AB51" s="572"/>
      <c r="AC51" s="572"/>
      <c r="AD51" s="572"/>
      <c r="AE51" s="572"/>
    </row>
    <row s="3878" customFormat="1" customHeight="1" ht="11.25">
      <c r="A52" s="994"/>
      <c r="B52" s="1676"/>
      <c r="C52" s="1676"/>
      <c r="D52" s="347"/>
      <c r="K52" s="1168"/>
      <c r="L52" s="1676"/>
      <c r="M52" s="1676"/>
      <c r="N52" s="1168"/>
      <c r="O52" s="1168"/>
      <c r="P52" s="1168"/>
      <c r="Q52" s="1168"/>
      <c r="R52" s="1676"/>
      <c r="S52" s="1168"/>
      <c r="T52" s="1168"/>
      <c r="U52" s="550"/>
      <c r="V52" s="1168"/>
      <c r="W52" s="1168"/>
      <c r="X52" s="1168"/>
      <c r="Y52" s="1168"/>
      <c r="Z52" s="1168"/>
      <c r="AA52" s="1672"/>
      <c r="AB52" s="572"/>
      <c r="AC52" s="572"/>
      <c r="AD52" s="572"/>
      <c r="AE52" s="572"/>
    </row>
    <row s="3878" customFormat="1" customHeight="1" ht="11.25">
      <c r="A53" s="994"/>
      <c r="B53" s="1676"/>
      <c r="C53" s="1676"/>
      <c r="D53" s="347"/>
      <c r="K53" s="1168"/>
      <c r="L53" s="1676"/>
      <c r="M53" s="1676"/>
      <c r="N53" s="1168"/>
      <c r="O53" s="1168"/>
      <c r="P53" s="1168"/>
      <c r="Q53" s="1168"/>
      <c r="R53" s="1676"/>
      <c r="S53" s="1168"/>
      <c r="T53" s="1168"/>
      <c r="U53" s="550"/>
      <c r="V53" s="1168"/>
      <c r="W53" s="1168"/>
      <c r="X53" s="1168"/>
      <c r="Y53" s="1168"/>
      <c r="Z53" s="1168"/>
      <c r="AA53" s="1672"/>
      <c r="AB53" s="572"/>
      <c r="AC53" s="572"/>
      <c r="AD53" s="572"/>
      <c r="AE53" s="572"/>
    </row>
    <row s="3878" customFormat="1" customHeight="1" ht="11.25">
      <c r="A54" s="994"/>
      <c r="B54" s="1676"/>
      <c r="C54" s="1676"/>
      <c r="D54" s="347"/>
      <c r="K54" s="1168"/>
      <c r="L54" s="1676"/>
      <c r="M54" s="1676"/>
      <c r="N54" s="1168"/>
      <c r="O54" s="1168"/>
      <c r="P54" s="1168"/>
      <c r="Q54" s="1168"/>
      <c r="R54" s="1676"/>
      <c r="S54" s="1168"/>
      <c r="T54" s="1168"/>
      <c r="U54" s="550"/>
      <c r="V54" s="1168"/>
      <c r="W54" s="1168"/>
      <c r="X54" s="1168"/>
      <c r="Y54" s="1168"/>
      <c r="Z54" s="1168"/>
      <c r="AA54" s="1672"/>
      <c r="AB54" s="572"/>
      <c r="AC54" s="572"/>
      <c r="AD54" s="572"/>
      <c r="AE54" s="572"/>
    </row>
    <row s="3878" customFormat="1" customHeight="1" ht="11.25">
      <c r="A55" s="994"/>
      <c r="B55" s="1676"/>
      <c r="C55" s="1676"/>
      <c r="D55" s="347"/>
      <c r="K55" s="1168"/>
      <c r="L55" s="1676"/>
      <c r="M55" s="1676"/>
      <c r="N55" s="1168"/>
      <c r="O55" s="1168"/>
      <c r="P55" s="1168"/>
      <c r="Q55" s="1168"/>
      <c r="R55" s="1676"/>
      <c r="S55" s="1168"/>
      <c r="T55" s="1168"/>
      <c r="U55" s="550"/>
      <c r="V55" s="1168"/>
      <c r="W55" s="1168"/>
      <c r="X55" s="1168"/>
      <c r="Y55" s="1168"/>
      <c r="Z55" s="1168"/>
      <c r="AA55" s="1672"/>
      <c r="AB55" s="572"/>
      <c r="AC55" s="572"/>
      <c r="AD55" s="572"/>
      <c r="AE55" s="572"/>
    </row>
    <row s="3878" customFormat="1" customHeight="1" ht="11.25">
      <c r="A56" s="994"/>
      <c r="B56" s="1676"/>
      <c r="C56" s="1676"/>
      <c r="D56" s="347"/>
      <c r="K56" s="1168"/>
      <c r="L56" s="1676"/>
      <c r="M56" s="1676"/>
      <c r="N56" s="1168"/>
      <c r="O56" s="1168"/>
      <c r="P56" s="1168"/>
      <c r="Q56" s="1168"/>
      <c r="R56" s="1676"/>
      <c r="S56" s="1168"/>
      <c r="T56" s="1168"/>
      <c r="U56" s="550"/>
      <c r="V56" s="1168"/>
      <c r="W56" s="1168"/>
      <c r="X56" s="1168"/>
      <c r="Y56" s="1168"/>
      <c r="Z56" s="1168"/>
      <c r="AA56" s="1672"/>
      <c r="AB56" s="572"/>
      <c r="AC56" s="572"/>
      <c r="AD56" s="572"/>
      <c r="AE56" s="572"/>
    </row>
    <row s="3878" customFormat="1" customHeight="1" ht="11.25">
      <c r="A57" s="994"/>
      <c r="B57" s="1676"/>
      <c r="C57" s="1676"/>
      <c r="D57" s="347"/>
      <c r="K57" s="1168"/>
      <c r="L57" s="1676"/>
      <c r="M57" s="1676"/>
      <c r="N57" s="1168"/>
      <c r="O57" s="1168"/>
      <c r="P57" s="1168"/>
      <c r="Q57" s="1168"/>
      <c r="R57" s="1676"/>
      <c r="S57" s="1168"/>
      <c r="T57" s="1168"/>
      <c r="U57" s="550"/>
      <c r="V57" s="1168"/>
      <c r="W57" s="1168"/>
      <c r="X57" s="1168"/>
      <c r="Y57" s="1168"/>
      <c r="Z57" s="1168"/>
      <c r="AA57" s="1672"/>
      <c r="AB57" s="572"/>
      <c r="AC57" s="572"/>
      <c r="AD57" s="572"/>
      <c r="AE57" s="572"/>
    </row>
    <row s="3878" customFormat="1" customHeight="1" ht="11.25">
      <c r="A58" s="994"/>
      <c r="B58" s="1676"/>
      <c r="C58" s="1676"/>
      <c r="D58" s="347"/>
      <c r="K58" s="1168"/>
      <c r="L58" s="1676"/>
      <c r="M58" s="1676"/>
      <c r="N58" s="1168"/>
      <c r="O58" s="1168"/>
      <c r="P58" s="1168"/>
      <c r="Q58" s="1168"/>
      <c r="R58" s="1676"/>
      <c r="S58" s="1168"/>
      <c r="T58" s="1168"/>
      <c r="U58" s="550"/>
      <c r="V58" s="1168"/>
      <c r="W58" s="1168"/>
      <c r="X58" s="1168"/>
      <c r="Y58" s="1168"/>
      <c r="Z58" s="1168"/>
      <c r="AA58" s="1672"/>
      <c r="AB58" s="572"/>
      <c r="AC58" s="572"/>
      <c r="AD58" s="572"/>
      <c r="AE58" s="572"/>
    </row>
    <row s="3878" customFormat="1" customHeight="1" ht="11.25">
      <c r="A59" s="994"/>
      <c r="B59" s="1676"/>
      <c r="C59" s="1676"/>
      <c r="D59" s="347"/>
      <c r="K59" s="1168"/>
      <c r="L59" s="1676"/>
      <c r="M59" s="1676"/>
      <c r="N59" s="1168"/>
      <c r="O59" s="1168"/>
      <c r="P59" s="1168"/>
      <c r="Q59" s="1168"/>
      <c r="R59" s="1676"/>
      <c r="S59" s="1168"/>
      <c r="T59" s="1168"/>
      <c r="U59" s="550"/>
      <c r="V59" s="1168"/>
      <c r="W59" s="1168"/>
      <c r="X59" s="1168"/>
      <c r="Y59" s="1168"/>
      <c r="Z59" s="1168"/>
      <c r="AA59" s="1672"/>
      <c r="AB59" s="572"/>
      <c r="AC59" s="572"/>
      <c r="AD59" s="572"/>
      <c r="AE59" s="572"/>
    </row>
    <row s="3878" customFormat="1" customHeight="1" ht="11.25">
      <c r="A60" s="994"/>
      <c r="B60" s="1676"/>
      <c r="C60" s="1676"/>
      <c r="D60" s="347"/>
      <c r="K60" s="1168"/>
      <c r="L60" s="1676"/>
      <c r="M60" s="1676"/>
      <c r="N60" s="1168"/>
      <c r="O60" s="1168"/>
      <c r="P60" s="1168"/>
      <c r="Q60" s="1168"/>
      <c r="R60" s="1676"/>
      <c r="S60" s="1168"/>
      <c r="T60" s="1168"/>
      <c r="U60" s="550"/>
      <c r="V60" s="1168"/>
      <c r="W60" s="1168"/>
      <c r="X60" s="1168"/>
      <c r="Y60" s="1168"/>
      <c r="Z60" s="1168"/>
      <c r="AA60" s="1672"/>
      <c r="AB60" s="572"/>
      <c r="AC60" s="572"/>
      <c r="AD60" s="572"/>
      <c r="AE60" s="572"/>
    </row>
    <row s="3878" customFormat="1" customHeight="1" ht="11.25">
      <c r="A61" s="994"/>
      <c r="B61" s="1676"/>
      <c r="C61" s="1676"/>
      <c r="D61" s="347"/>
      <c r="K61" s="1168"/>
      <c r="L61" s="1676"/>
      <c r="M61" s="1676"/>
      <c r="N61" s="1168"/>
      <c r="O61" s="1168"/>
      <c r="P61" s="1168"/>
      <c r="Q61" s="1168"/>
      <c r="R61" s="1676"/>
      <c r="S61" s="1168"/>
      <c r="T61" s="1168"/>
      <c r="U61" s="550"/>
      <c r="V61" s="1168"/>
      <c r="W61" s="1168"/>
      <c r="X61" s="1168"/>
      <c r="Y61" s="1168"/>
      <c r="Z61" s="1168"/>
      <c r="AA61" s="1672"/>
      <c r="AB61" s="572"/>
      <c r="AC61" s="572"/>
      <c r="AD61" s="572"/>
      <c r="AE61" s="572"/>
    </row>
    <row s="3878" customFormat="1" customHeight="1" ht="11.25">
      <c r="A62" s="994"/>
      <c r="B62" s="1676"/>
      <c r="C62" s="1676"/>
      <c r="D62" s="347"/>
      <c r="K62" s="1168"/>
      <c r="L62" s="1676"/>
      <c r="M62" s="1676"/>
      <c r="N62" s="1168"/>
      <c r="O62" s="1168"/>
      <c r="P62" s="1168"/>
      <c r="Q62" s="1168"/>
      <c r="R62" s="1676"/>
      <c r="S62" s="1168"/>
      <c r="T62" s="1168"/>
      <c r="U62" s="550"/>
      <c r="V62" s="1168"/>
      <c r="W62" s="1168"/>
      <c r="X62" s="1168"/>
      <c r="Y62" s="1168"/>
      <c r="Z62" s="1168"/>
      <c r="AA62" s="1672"/>
      <c r="AB62" s="572"/>
      <c r="AC62" s="572"/>
      <c r="AD62" s="572"/>
      <c r="AE62" s="572"/>
    </row>
    <row s="3878" customFormat="1" customHeight="1" ht="11.25">
      <c r="A63" s="994"/>
      <c r="B63" s="1676"/>
      <c r="C63" s="1676"/>
      <c r="D63" s="347"/>
      <c r="K63" s="1168"/>
      <c r="L63" s="1676"/>
      <c r="M63" s="1676"/>
      <c r="N63" s="1168"/>
      <c r="O63" s="1168"/>
      <c r="P63" s="1168"/>
      <c r="Q63" s="1168"/>
      <c r="R63" s="1676"/>
      <c r="S63" s="1168"/>
      <c r="T63" s="1168"/>
      <c r="U63" s="550"/>
      <c r="V63" s="1168"/>
      <c r="W63" s="1168"/>
      <c r="X63" s="1168"/>
      <c r="Y63" s="1168"/>
      <c r="Z63" s="1168"/>
      <c r="AA63" s="1672"/>
      <c r="AB63" s="572"/>
      <c r="AC63" s="572"/>
      <c r="AD63" s="572"/>
      <c r="AE63" s="572"/>
    </row>
    <row s="3878" customFormat="1" customHeight="1" ht="11.25">
      <c r="A64" s="994"/>
      <c r="B64" s="1676"/>
      <c r="C64" s="1676"/>
      <c r="D64" s="347"/>
      <c r="K64" s="1168"/>
      <c r="L64" s="1676"/>
      <c r="M64" s="1676"/>
      <c r="N64" s="1168"/>
      <c r="O64" s="1168"/>
      <c r="P64" s="1168"/>
      <c r="Q64" s="1168"/>
      <c r="R64" s="1676"/>
      <c r="S64" s="1168"/>
      <c r="T64" s="1168"/>
      <c r="U64" s="550"/>
      <c r="V64" s="1168"/>
      <c r="W64" s="1168"/>
      <c r="X64" s="1168"/>
      <c r="Y64" s="1168"/>
      <c r="Z64" s="1168"/>
      <c r="AA64" s="1672"/>
      <c r="AB64" s="572"/>
      <c r="AC64" s="572"/>
      <c r="AD64" s="572"/>
      <c r="AE64" s="572"/>
    </row>
    <row s="3878" customFormat="1" customHeight="1" ht="11.25">
      <c r="A65" s="994"/>
      <c r="B65" s="1676"/>
      <c r="C65" s="1676"/>
      <c r="D65" s="347"/>
      <c r="K65" s="1168"/>
      <c r="L65" s="1676"/>
      <c r="M65" s="1676"/>
      <c r="N65" s="1168"/>
      <c r="O65" s="1168"/>
      <c r="P65" s="1168"/>
      <c r="Q65" s="1168"/>
      <c r="R65" s="1676"/>
      <c r="S65" s="1168"/>
      <c r="T65" s="1168"/>
      <c r="U65" s="550"/>
      <c r="V65" s="1168"/>
      <c r="W65" s="1168"/>
      <c r="X65" s="1168"/>
      <c r="Y65" s="1168"/>
      <c r="Z65" s="1168"/>
      <c r="AA65" s="1672"/>
      <c r="AB65" s="572"/>
      <c r="AC65" s="572"/>
      <c r="AD65" s="572"/>
      <c r="AE65" s="572"/>
    </row>
    <row s="3878" customFormat="1" customHeight="1" ht="11.25">
      <c r="A66" s="994"/>
      <c r="B66" s="1676"/>
      <c r="C66" s="1676"/>
      <c r="D66" s="347"/>
      <c r="K66" s="1168"/>
      <c r="L66" s="1676"/>
      <c r="M66" s="1676"/>
      <c r="N66" s="1168"/>
      <c r="O66" s="1168"/>
      <c r="P66" s="1168"/>
      <c r="Q66" s="1168"/>
      <c r="R66" s="1676"/>
      <c r="S66" s="1168"/>
      <c r="T66" s="1168"/>
      <c r="U66" s="550"/>
      <c r="V66" s="1168"/>
      <c r="W66" s="1168"/>
      <c r="X66" s="1168"/>
      <c r="Y66" s="1168"/>
      <c r="Z66" s="1168"/>
      <c r="AA66" s="1672"/>
      <c r="AB66" s="572"/>
      <c r="AC66" s="572"/>
      <c r="AD66" s="572"/>
      <c r="AE66" s="572"/>
    </row>
    <row s="3878" customFormat="1" customHeight="1" ht="11.25">
      <c r="A67" s="994"/>
      <c r="B67" s="1676"/>
      <c r="C67" s="1676"/>
      <c r="D67" s="347"/>
      <c r="K67" s="1168"/>
      <c r="L67" s="1676"/>
      <c r="M67" s="1676"/>
      <c r="N67" s="1168"/>
      <c r="O67" s="1168"/>
      <c r="P67" s="1168"/>
      <c r="Q67" s="1168"/>
      <c r="R67" s="1676"/>
      <c r="S67" s="1168"/>
      <c r="T67" s="1168"/>
      <c r="U67" s="550"/>
      <c r="V67" s="1168"/>
      <c r="W67" s="1168"/>
      <c r="X67" s="1168"/>
      <c r="Y67" s="1168"/>
      <c r="Z67" s="1168"/>
      <c r="AA67" s="1672"/>
      <c r="AB67" s="572"/>
      <c r="AC67" s="572"/>
      <c r="AD67" s="572"/>
      <c r="AE67" s="572"/>
    </row>
    <row s="3878" customFormat="1" customHeight="1" ht="11.25">
      <c r="A68" s="994"/>
      <c r="B68" s="1676"/>
      <c r="C68" s="1676"/>
      <c r="D68" s="347"/>
      <c r="K68" s="1168"/>
      <c r="L68" s="1676"/>
      <c r="M68" s="1676"/>
      <c r="N68" s="1168"/>
      <c r="O68" s="1168"/>
      <c r="P68" s="1168"/>
      <c r="Q68" s="1168"/>
      <c r="R68" s="1676"/>
      <c r="S68" s="1168"/>
      <c r="T68" s="1168"/>
      <c r="U68" s="550"/>
      <c r="V68" s="1168"/>
      <c r="W68" s="1168"/>
      <c r="X68" s="1168"/>
      <c r="Y68" s="1168"/>
      <c r="Z68" s="1168"/>
      <c r="AA68" s="1672"/>
      <c r="AB68" s="572"/>
      <c r="AC68" s="572"/>
      <c r="AD68" s="572"/>
      <c r="AE68" s="572"/>
    </row>
    <row s="3878" customFormat="1" customHeight="1" ht="11.25">
      <c r="A69" s="994"/>
      <c r="B69" s="1676"/>
      <c r="C69" s="1676"/>
      <c r="D69" s="347"/>
      <c r="K69" s="1168"/>
      <c r="L69" s="1676"/>
      <c r="M69" s="1676"/>
      <c r="N69" s="1168"/>
      <c r="O69" s="1168"/>
      <c r="P69" s="1168"/>
      <c r="Q69" s="1168"/>
      <c r="R69" s="1676"/>
      <c r="S69" s="1168"/>
      <c r="T69" s="1168"/>
      <c r="U69" s="550"/>
      <c r="V69" s="1168"/>
      <c r="W69" s="1168"/>
      <c r="X69" s="1168"/>
      <c r="Y69" s="1168"/>
      <c r="Z69" s="1168"/>
      <c r="AA69" s="1672"/>
      <c r="AB69" s="572"/>
      <c r="AC69" s="572"/>
      <c r="AD69" s="572"/>
      <c r="AE69" s="572"/>
    </row>
    <row s="3878" customFormat="1" customHeight="1" ht="11.25">
      <c r="A70" s="994"/>
      <c r="B70" s="1676"/>
      <c r="C70" s="1676"/>
      <c r="D70" s="347"/>
      <c r="K70" s="1168"/>
      <c r="L70" s="1676"/>
      <c r="M70" s="1676"/>
      <c r="N70" s="1168"/>
      <c r="O70" s="1168"/>
      <c r="P70" s="1168"/>
      <c r="Q70" s="1168"/>
      <c r="R70" s="1676"/>
      <c r="S70" s="1168"/>
      <c r="T70" s="1168"/>
      <c r="U70" s="550"/>
      <c r="V70" s="1168"/>
      <c r="W70" s="1168"/>
      <c r="X70" s="1168"/>
      <c r="Y70" s="1168"/>
      <c r="Z70" s="1168"/>
      <c r="AA70" s="1672"/>
      <c r="AB70" s="572"/>
      <c r="AC70" s="572"/>
      <c r="AD70" s="572"/>
      <c r="AE70" s="572"/>
    </row>
    <row s="3878" customFormat="1" customHeight="1" ht="11.25">
      <c r="A71" s="994"/>
      <c r="B71" s="1676"/>
      <c r="C71" s="1676"/>
      <c r="D71" s="347"/>
      <c r="K71" s="1168"/>
      <c r="L71" s="1676"/>
      <c r="M71" s="1676"/>
      <c r="N71" s="1168"/>
      <c r="O71" s="1168"/>
      <c r="P71" s="1168"/>
      <c r="Q71" s="1168"/>
      <c r="R71" s="1676"/>
      <c r="S71" s="1168"/>
      <c r="T71" s="1168"/>
      <c r="U71" s="550"/>
      <c r="V71" s="1168"/>
      <c r="W71" s="1168"/>
      <c r="X71" s="1168"/>
      <c r="Y71" s="1168"/>
      <c r="Z71" s="1168"/>
      <c r="AA71" s="1672"/>
      <c r="AB71" s="572"/>
      <c r="AC71" s="572"/>
      <c r="AD71" s="572"/>
      <c r="AE71" s="572"/>
    </row>
    <row s="3878" customFormat="1" customHeight="1" ht="11.25">
      <c r="A72" s="994"/>
      <c r="B72" s="1676"/>
      <c r="C72" s="1676"/>
      <c r="D72" s="347"/>
      <c r="K72" s="1168"/>
      <c r="L72" s="1676"/>
      <c r="M72" s="1676"/>
      <c r="N72" s="1168"/>
      <c r="O72" s="1168"/>
      <c r="P72" s="1168"/>
      <c r="Q72" s="1168"/>
      <c r="R72" s="1676"/>
      <c r="S72" s="1168"/>
      <c r="T72" s="1168"/>
      <c r="U72" s="550"/>
      <c r="V72" s="1168"/>
      <c r="W72" s="1168"/>
      <c r="X72" s="1168"/>
      <c r="Y72" s="1168"/>
      <c r="Z72" s="1168"/>
      <c r="AA72" s="1672"/>
      <c r="AB72" s="572"/>
      <c r="AC72" s="572"/>
      <c r="AD72" s="572"/>
      <c r="AE72" s="572"/>
    </row>
    <row s="3878" customFormat="1" customHeight="1" ht="11.25">
      <c r="A73" s="994"/>
      <c r="B73" s="1676"/>
      <c r="C73" s="1676"/>
      <c r="D73" s="347"/>
      <c r="K73" s="1168"/>
      <c r="L73" s="1676"/>
      <c r="M73" s="1676"/>
      <c r="N73" s="1168"/>
      <c r="O73" s="1168"/>
      <c r="P73" s="1168"/>
      <c r="Q73" s="1168"/>
      <c r="R73" s="1676"/>
      <c r="S73" s="1168"/>
      <c r="T73" s="1168"/>
      <c r="U73" s="550"/>
      <c r="V73" s="1168"/>
      <c r="W73" s="1168"/>
      <c r="X73" s="1168"/>
      <c r="Y73" s="1168"/>
      <c r="Z73" s="1168"/>
      <c r="AA73" s="1672"/>
      <c r="AB73" s="572"/>
      <c r="AC73" s="572"/>
      <c r="AD73" s="572"/>
      <c r="AE73" s="572"/>
    </row>
    <row s="3878" customFormat="1" customHeight="1" ht="11.25">
      <c r="A74" s="994"/>
      <c r="B74" s="1676"/>
      <c r="C74" s="1676"/>
      <c r="D74" s="347"/>
      <c r="K74" s="1168"/>
      <c r="L74" s="1676"/>
      <c r="M74" s="1676"/>
      <c r="N74" s="1168"/>
      <c r="O74" s="1168"/>
      <c r="P74" s="1168"/>
      <c r="Q74" s="1168"/>
      <c r="R74" s="1676"/>
      <c r="S74" s="1168"/>
      <c r="T74" s="1168"/>
      <c r="U74" s="550"/>
      <c r="V74" s="1168"/>
      <c r="W74" s="1168"/>
      <c r="X74" s="1168"/>
      <c r="Y74" s="1168"/>
      <c r="Z74" s="1168"/>
      <c r="AA74" s="1672"/>
      <c r="AB74" s="572"/>
      <c r="AC74" s="572"/>
      <c r="AD74" s="572"/>
      <c r="AE74" s="572"/>
    </row>
    <row s="3878" customFormat="1" customHeight="1" ht="11.25">
      <c r="A75" s="994"/>
      <c r="B75" s="1676"/>
      <c r="C75" s="1676"/>
      <c r="D75" s="347"/>
      <c r="K75" s="1168"/>
      <c r="L75" s="1676"/>
      <c r="M75" s="1676"/>
      <c r="N75" s="1168"/>
      <c r="O75" s="1168"/>
      <c r="P75" s="1168"/>
      <c r="Q75" s="1168"/>
      <c r="R75" s="1676"/>
      <c r="S75" s="1168"/>
      <c r="T75" s="1168"/>
      <c r="U75" s="550"/>
      <c r="V75" s="1168"/>
      <c r="W75" s="1168"/>
      <c r="X75" s="1168"/>
      <c r="Y75" s="1168"/>
      <c r="Z75" s="1168"/>
      <c r="AA75" s="1672"/>
      <c r="AB75" s="572"/>
      <c r="AC75" s="572"/>
      <c r="AD75" s="572"/>
      <c r="AE75" s="572"/>
    </row>
    <row s="3878" customFormat="1" customHeight="1" ht="11.25">
      <c r="A76" s="994"/>
      <c r="B76" s="1676"/>
      <c r="C76" s="1676"/>
      <c r="D76" s="347"/>
      <c r="K76" s="1168"/>
      <c r="L76" s="1676"/>
      <c r="M76" s="1676"/>
      <c r="N76" s="1168"/>
      <c r="O76" s="1168"/>
      <c r="P76" s="1168"/>
      <c r="Q76" s="1168"/>
      <c r="R76" s="1676"/>
      <c r="S76" s="1168"/>
      <c r="T76" s="1168"/>
      <c r="U76" s="550"/>
      <c r="V76" s="1168"/>
      <c r="W76" s="1168"/>
      <c r="X76" s="1168"/>
      <c r="Y76" s="1168"/>
      <c r="Z76" s="1168"/>
      <c r="AA76" s="1672"/>
      <c r="AB76" s="572"/>
      <c r="AC76" s="572"/>
      <c r="AD76" s="572"/>
      <c r="AE76" s="572"/>
    </row>
    <row s="3878" customFormat="1" customHeight="1" ht="11.25">
      <c r="A77" s="994"/>
      <c r="B77" s="1676"/>
      <c r="C77" s="1676"/>
      <c r="D77" s="347"/>
      <c r="K77" s="1168"/>
      <c r="L77" s="1676"/>
      <c r="M77" s="1676"/>
      <c r="N77" s="1168"/>
      <c r="O77" s="1168"/>
      <c r="P77" s="1168"/>
      <c r="Q77" s="1168"/>
      <c r="R77" s="1676"/>
      <c r="S77" s="1168"/>
      <c r="T77" s="1168"/>
      <c r="U77" s="550"/>
      <c r="V77" s="1168"/>
      <c r="W77" s="1168"/>
      <c r="X77" s="1168"/>
      <c r="Y77" s="1168"/>
      <c r="Z77" s="1168"/>
      <c r="AA77" s="1672"/>
      <c r="AB77" s="572"/>
      <c r="AC77" s="572"/>
      <c r="AD77" s="572"/>
      <c r="AE77" s="572"/>
    </row>
    <row s="3878" customFormat="1" customHeight="1" ht="11.25">
      <c r="A78" s="994"/>
      <c r="B78" s="1676"/>
      <c r="C78" s="1676"/>
      <c r="D78" s="347"/>
      <c r="K78" s="1168"/>
      <c r="L78" s="1676"/>
      <c r="M78" s="1676"/>
      <c r="N78" s="1168"/>
      <c r="O78" s="1168"/>
      <c r="P78" s="1168"/>
      <c r="Q78" s="1168"/>
      <c r="R78" s="1676"/>
      <c r="S78" s="1168"/>
      <c r="T78" s="1168"/>
      <c r="U78" s="550"/>
      <c r="V78" s="1168"/>
      <c r="W78" s="1168"/>
      <c r="X78" s="1168"/>
      <c r="Y78" s="1168"/>
      <c r="Z78" s="1168"/>
      <c r="AA78" s="1672"/>
      <c r="AB78" s="572"/>
      <c r="AC78" s="572"/>
      <c r="AD78" s="572"/>
      <c r="AE78" s="572"/>
    </row>
    <row s="3878" customFormat="1" customHeight="1" ht="11.25">
      <c r="A79" s="994"/>
      <c r="B79" s="1676"/>
      <c r="C79" s="1676"/>
      <c r="D79" s="347"/>
      <c r="K79" s="1168"/>
      <c r="L79" s="1676"/>
      <c r="M79" s="1676"/>
      <c r="N79" s="1168"/>
      <c r="O79" s="1168"/>
      <c r="P79" s="1168"/>
      <c r="Q79" s="1168"/>
      <c r="R79" s="1676"/>
      <c r="S79" s="1168"/>
      <c r="T79" s="1168"/>
      <c r="U79" s="550"/>
      <c r="V79" s="1168"/>
      <c r="W79" s="1168"/>
      <c r="X79" s="1168"/>
      <c r="Y79" s="1168"/>
      <c r="Z79" s="1168"/>
      <c r="AA79" s="1672"/>
      <c r="AB79" s="572"/>
      <c r="AC79" s="572"/>
      <c r="AD79" s="572"/>
      <c r="AE79" s="572"/>
    </row>
    <row s="3878" customFormat="1" customHeight="1" ht="11.25">
      <c r="A80" s="994"/>
      <c r="B80" s="1676"/>
      <c r="C80" s="1676"/>
      <c r="D80" s="347"/>
      <c r="K80" s="1168"/>
      <c r="L80" s="1676"/>
      <c r="M80" s="1676"/>
      <c r="N80" s="1168"/>
      <c r="O80" s="1168"/>
      <c r="P80" s="1168"/>
      <c r="Q80" s="1168"/>
      <c r="R80" s="1676"/>
      <c r="S80" s="1168"/>
      <c r="T80" s="1168"/>
      <c r="U80" s="550"/>
      <c r="V80" s="1168"/>
      <c r="W80" s="1168"/>
      <c r="X80" s="1168"/>
      <c r="Y80" s="1168"/>
      <c r="Z80" s="1168"/>
      <c r="AA80" s="1672"/>
      <c r="AB80" s="572"/>
      <c r="AC80" s="572"/>
      <c r="AD80" s="572"/>
      <c r="AE80" s="572"/>
    </row>
    <row s="3878" customFormat="1" customHeight="1" ht="11.25">
      <c r="A81" s="994"/>
      <c r="B81" s="1676"/>
      <c r="C81" s="1676"/>
      <c r="D81" s="347"/>
      <c r="K81" s="1168"/>
      <c r="L81" s="1676"/>
      <c r="M81" s="1676"/>
      <c r="N81" s="1168"/>
      <c r="O81" s="1168"/>
      <c r="P81" s="1168"/>
      <c r="Q81" s="1168"/>
      <c r="R81" s="1676"/>
      <c r="S81" s="1168"/>
      <c r="T81" s="1168"/>
      <c r="U81" s="550"/>
      <c r="V81" s="1168"/>
      <c r="W81" s="1168"/>
      <c r="X81" s="1168"/>
      <c r="Y81" s="1168"/>
      <c r="Z81" s="1168"/>
      <c r="AA81" s="1672"/>
      <c r="AB81" s="572"/>
      <c r="AC81" s="572"/>
      <c r="AD81" s="572"/>
      <c r="AE81" s="572"/>
    </row>
    <row s="3878" customFormat="1" customHeight="1" ht="11.25">
      <c r="A82" s="994"/>
      <c r="B82" s="1676"/>
      <c r="C82" s="1676"/>
      <c r="D82" s="347"/>
      <c r="K82" s="1168"/>
      <c r="L82" s="1676"/>
      <c r="M82" s="1676"/>
      <c r="N82" s="1168"/>
      <c r="O82" s="1168"/>
      <c r="P82" s="1168"/>
      <c r="Q82" s="1168"/>
      <c r="R82" s="1676"/>
      <c r="S82" s="1168"/>
      <c r="T82" s="1168"/>
      <c r="U82" s="550"/>
      <c r="V82" s="1168"/>
      <c r="W82" s="1168"/>
      <c r="X82" s="1168"/>
      <c r="Y82" s="1168"/>
      <c r="Z82" s="1168"/>
      <c r="AA82" s="1672"/>
      <c r="AB82" s="572"/>
      <c r="AC82" s="572"/>
      <c r="AD82" s="572"/>
      <c r="AE82" s="572"/>
    </row>
    <row s="3878" customFormat="1" customHeight="1" ht="11.25">
      <c r="A83" s="994"/>
      <c r="B83" s="1676"/>
      <c r="C83" s="1676"/>
      <c r="D83" s="347"/>
      <c r="K83" s="1168"/>
      <c r="L83" s="1676"/>
      <c r="M83" s="1676"/>
      <c r="N83" s="1168"/>
      <c r="O83" s="1168"/>
      <c r="P83" s="1168"/>
      <c r="Q83" s="1168"/>
      <c r="R83" s="1676"/>
      <c r="S83" s="1168"/>
      <c r="T83" s="1168"/>
      <c r="U83" s="550"/>
      <c r="V83" s="1168"/>
      <c r="W83" s="1168"/>
      <c r="X83" s="1168"/>
      <c r="Y83" s="1168"/>
      <c r="Z83" s="1168"/>
      <c r="AA83" s="1672"/>
      <c r="AB83" s="572"/>
      <c r="AC83" s="572"/>
      <c r="AD83" s="572"/>
      <c r="AE83" s="572"/>
    </row>
    <row s="3878" customFormat="1" customHeight="1" ht="11.25">
      <c r="A84" s="994"/>
      <c r="B84" s="1676"/>
      <c r="C84" s="1676"/>
      <c r="D84" s="347"/>
      <c r="K84" s="1168"/>
      <c r="L84" s="1676"/>
      <c r="M84" s="1676"/>
      <c r="N84" s="1168"/>
      <c r="O84" s="1168"/>
      <c r="P84" s="1168"/>
      <c r="Q84" s="1168"/>
      <c r="R84" s="1676"/>
      <c r="S84" s="1168"/>
      <c r="T84" s="1168"/>
      <c r="U84" s="550"/>
      <c r="V84" s="1168"/>
      <c r="W84" s="1168"/>
      <c r="X84" s="1168"/>
      <c r="Y84" s="1168"/>
      <c r="Z84" s="1168"/>
      <c r="AA84" s="1672"/>
      <c r="AB84" s="572"/>
      <c r="AC84" s="572"/>
      <c r="AD84" s="572"/>
      <c r="AE84" s="572"/>
    </row>
    <row s="3878" customFormat="1" customHeight="1" ht="11.25">
      <c r="A85" s="994"/>
      <c r="B85" s="1676"/>
      <c r="C85" s="1676"/>
      <c r="D85" s="347"/>
      <c r="K85" s="1168"/>
      <c r="L85" s="1676"/>
      <c r="M85" s="1676"/>
      <c r="N85" s="1168"/>
      <c r="O85" s="1168"/>
      <c r="P85" s="1168"/>
      <c r="Q85" s="1168"/>
      <c r="R85" s="1676"/>
      <c r="S85" s="1168"/>
      <c r="T85" s="1168"/>
      <c r="U85" s="550"/>
      <c r="V85" s="1168"/>
      <c r="W85" s="1168"/>
      <c r="X85" s="1168"/>
      <c r="Y85" s="1168"/>
      <c r="Z85" s="1168"/>
      <c r="AA85" s="1672"/>
      <c r="AB85" s="572"/>
      <c r="AC85" s="572"/>
      <c r="AD85" s="572"/>
      <c r="AE85" s="572"/>
    </row>
    <row s="3878" customFormat="1" customHeight="1" ht="11.25">
      <c r="A86" s="994"/>
      <c r="B86" s="1676"/>
      <c r="C86" s="1676"/>
      <c r="D86" s="347"/>
      <c r="K86" s="1168"/>
      <c r="L86" s="1676"/>
      <c r="M86" s="1676"/>
      <c r="N86" s="1168"/>
      <c r="O86" s="1168"/>
      <c r="P86" s="1168"/>
      <c r="Q86" s="1168"/>
      <c r="R86" s="1676"/>
      <c r="S86" s="1168"/>
      <c r="T86" s="1168"/>
      <c r="U86" s="550"/>
      <c r="V86" s="1168"/>
      <c r="W86" s="1168"/>
      <c r="X86" s="1168"/>
      <c r="Y86" s="1168"/>
      <c r="Z86" s="1168"/>
      <c r="AA86" s="1672"/>
      <c r="AB86" s="572"/>
      <c r="AC86" s="572"/>
      <c r="AD86" s="572"/>
      <c r="AE86" s="572"/>
    </row>
    <row s="3878" customFormat="1" customHeight="1" ht="11.25">
      <c r="A87" s="994"/>
      <c r="B87" s="1676"/>
      <c r="C87" s="1676"/>
      <c r="D87" s="347"/>
      <c r="K87" s="1168"/>
      <c r="L87" s="1676"/>
      <c r="M87" s="1676"/>
      <c r="N87" s="1168"/>
      <c r="O87" s="1168"/>
      <c r="P87" s="1168"/>
      <c r="Q87" s="1168"/>
      <c r="R87" s="1676"/>
      <c r="S87" s="1168"/>
      <c r="T87" s="1168"/>
      <c r="U87" s="550"/>
      <c r="V87" s="1168"/>
      <c r="W87" s="1168"/>
      <c r="X87" s="1168"/>
      <c r="Y87" s="1168"/>
      <c r="Z87" s="1168"/>
      <c r="AA87" s="1672"/>
      <c r="AB87" s="572"/>
      <c r="AC87" s="572"/>
      <c r="AD87" s="572"/>
      <c r="AE87" s="572"/>
    </row>
    <row s="3878" customFormat="1" customHeight="1" ht="11.25">
      <c r="A88" s="994"/>
      <c r="B88" s="1676"/>
      <c r="C88" s="1676"/>
      <c r="D88" s="347"/>
      <c r="K88" s="1168"/>
      <c r="L88" s="1676"/>
      <c r="M88" s="1676"/>
      <c r="N88" s="1168"/>
      <c r="O88" s="1168"/>
      <c r="P88" s="1168"/>
      <c r="Q88" s="1168"/>
      <c r="R88" s="1676"/>
      <c r="S88" s="1168"/>
      <c r="T88" s="1168"/>
      <c r="U88" s="550"/>
      <c r="V88" s="1168"/>
      <c r="W88" s="1168"/>
      <c r="X88" s="1168"/>
      <c r="Y88" s="1168"/>
      <c r="Z88" s="1168"/>
      <c r="AA88" s="1672"/>
      <c r="AB88" s="572"/>
      <c r="AC88" s="572"/>
      <c r="AD88" s="572"/>
      <c r="AE88" s="572"/>
    </row>
    <row s="3878" customFormat="1" customHeight="1" ht="11.25">
      <c r="A89" s="994"/>
      <c r="B89" s="1676"/>
      <c r="C89" s="1676"/>
      <c r="D89" s="347"/>
      <c r="K89" s="1168"/>
      <c r="L89" s="1676"/>
      <c r="M89" s="1676"/>
      <c r="N89" s="1168"/>
      <c r="O89" s="1168"/>
      <c r="P89" s="1168"/>
      <c r="Q89" s="1168"/>
      <c r="R89" s="1676"/>
      <c r="S89" s="1168"/>
      <c r="T89" s="1168"/>
      <c r="U89" s="550"/>
      <c r="V89" s="1168"/>
      <c r="W89" s="1168"/>
      <c r="X89" s="1168"/>
      <c r="Y89" s="1168"/>
      <c r="Z89" s="1168"/>
      <c r="AA89" s="1672"/>
      <c r="AB89" s="572"/>
      <c r="AC89" s="572"/>
      <c r="AD89" s="572"/>
      <c r="AE89" s="572"/>
    </row>
    <row s="3878" customFormat="1" customHeight="1" ht="11.25">
      <c r="A90" s="994"/>
      <c r="B90" s="1676"/>
      <c r="C90" s="1676"/>
      <c r="D90" s="347"/>
      <c r="K90" s="1168"/>
      <c r="L90" s="1676"/>
      <c r="M90" s="1676"/>
      <c r="N90" s="1168"/>
      <c r="O90" s="1168"/>
      <c r="P90" s="1168"/>
      <c r="Q90" s="1168"/>
      <c r="R90" s="1676"/>
      <c r="S90" s="1168"/>
      <c r="T90" s="1168"/>
      <c r="U90" s="550"/>
      <c r="V90" s="1168"/>
      <c r="W90" s="1168"/>
      <c r="X90" s="1168"/>
      <c r="Y90" s="1168"/>
      <c r="Z90" s="1168"/>
      <c r="AA90" s="1672"/>
      <c r="AB90" s="572"/>
      <c r="AC90" s="572"/>
      <c r="AD90" s="572"/>
      <c r="AE90" s="572"/>
    </row>
    <row s="3878" customFormat="1" customHeight="1" ht="11.25">
      <c r="A91" s="994"/>
      <c r="B91" s="1676"/>
      <c r="C91" s="1676"/>
      <c r="D91" s="347"/>
      <c r="K91" s="1168"/>
      <c r="L91" s="1676"/>
      <c r="M91" s="1676"/>
      <c r="N91" s="1168"/>
      <c r="O91" s="1168"/>
      <c r="P91" s="1168"/>
      <c r="Q91" s="1168"/>
      <c r="R91" s="1676"/>
      <c r="S91" s="1168"/>
      <c r="T91" s="1168"/>
      <c r="U91" s="550"/>
      <c r="V91" s="1168"/>
      <c r="W91" s="1168"/>
      <c r="X91" s="1168"/>
      <c r="Y91" s="1168"/>
      <c r="Z91" s="1168"/>
      <c r="AA91" s="1672"/>
      <c r="AB91" s="572"/>
      <c r="AC91" s="572"/>
      <c r="AD91" s="572"/>
      <c r="AE91" s="572"/>
    </row>
    <row s="3878" customFormat="1" customHeight="1" ht="11.25">
      <c r="A92" s="994"/>
      <c r="B92" s="1676"/>
      <c r="C92" s="1676"/>
      <c r="D92" s="347"/>
      <c r="K92" s="1168"/>
      <c r="L92" s="1676"/>
      <c r="M92" s="1676"/>
      <c r="N92" s="1168"/>
      <c r="O92" s="1168"/>
      <c r="P92" s="1168"/>
      <c r="Q92" s="1168"/>
      <c r="R92" s="1676"/>
      <c r="S92" s="1168"/>
      <c r="T92" s="1168"/>
      <c r="U92" s="550"/>
      <c r="V92" s="1168"/>
      <c r="W92" s="1168"/>
      <c r="X92" s="1168"/>
      <c r="Y92" s="1168"/>
      <c r="Z92" s="1168"/>
      <c r="AA92" s="1672"/>
      <c r="AB92" s="572"/>
      <c r="AC92" s="572"/>
      <c r="AD92" s="572"/>
      <c r="AE92" s="572"/>
    </row>
    <row s="3878" customFormat="1" customHeight="1" ht="11.25">
      <c r="A93" s="994"/>
      <c r="B93" s="1676"/>
      <c r="C93" s="1676"/>
      <c r="D93" s="347"/>
      <c r="K93" s="1168"/>
      <c r="L93" s="1676"/>
      <c r="M93" s="1676"/>
      <c r="N93" s="1168"/>
      <c r="O93" s="1168"/>
      <c r="P93" s="1168"/>
      <c r="Q93" s="1168"/>
      <c r="R93" s="1676"/>
      <c r="S93" s="1168"/>
      <c r="T93" s="1168"/>
      <c r="U93" s="550"/>
      <c r="V93" s="1168"/>
      <c r="W93" s="1168"/>
      <c r="X93" s="1168"/>
      <c r="Y93" s="1168"/>
      <c r="Z93" s="1168"/>
      <c r="AA93" s="1672"/>
      <c r="AB93" s="572"/>
      <c r="AC93" s="572"/>
      <c r="AD93" s="572"/>
      <c r="AE93" s="572"/>
    </row>
    <row s="3878" customFormat="1" customHeight="1" ht="11.25">
      <c r="A94" s="994"/>
      <c r="B94" s="1676"/>
      <c r="C94" s="1676"/>
      <c r="D94" s="347"/>
      <c r="K94" s="1168"/>
      <c r="L94" s="1676"/>
      <c r="M94" s="1676"/>
      <c r="N94" s="1168"/>
      <c r="O94" s="1168"/>
      <c r="P94" s="1168"/>
      <c r="Q94" s="1168"/>
      <c r="R94" s="1676"/>
      <c r="S94" s="1168"/>
      <c r="T94" s="1168"/>
      <c r="U94" s="550"/>
      <c r="V94" s="1168"/>
      <c r="W94" s="1168"/>
      <c r="X94" s="1168"/>
      <c r="Y94" s="1168"/>
      <c r="Z94" s="1168"/>
      <c r="AA94" s="1672"/>
      <c r="AB94" s="572"/>
      <c r="AC94" s="572"/>
      <c r="AD94" s="572"/>
      <c r="AE94" s="572"/>
    </row>
    <row s="3878" customFormat="1" customHeight="1" ht="11.25">
      <c r="A95" s="994"/>
      <c r="B95" s="1676"/>
      <c r="C95" s="1676"/>
      <c r="D95" s="347"/>
      <c r="K95" s="1168"/>
      <c r="L95" s="1676"/>
      <c r="M95" s="1676"/>
      <c r="N95" s="1168"/>
      <c r="O95" s="1168"/>
      <c r="P95" s="1168"/>
      <c r="Q95" s="1168"/>
      <c r="R95" s="1676"/>
      <c r="S95" s="1168"/>
      <c r="T95" s="1168"/>
      <c r="U95" s="550"/>
      <c r="V95" s="1168"/>
      <c r="W95" s="1168"/>
      <c r="X95" s="1168"/>
      <c r="Y95" s="1168"/>
      <c r="Z95" s="1168"/>
      <c r="AA95" s="1672"/>
      <c r="AB95" s="572"/>
      <c r="AC95" s="572"/>
      <c r="AD95" s="572"/>
      <c r="AE95" s="572"/>
    </row>
    <row s="3878" customFormat="1" customHeight="1" ht="11.25">
      <c r="A96" s="994"/>
      <c r="B96" s="1676"/>
      <c r="C96" s="1676"/>
      <c r="D96" s="347"/>
      <c r="K96" s="1168"/>
      <c r="L96" s="1676"/>
      <c r="M96" s="1676"/>
      <c r="N96" s="1168"/>
      <c r="O96" s="1168"/>
      <c r="P96" s="1168"/>
      <c r="Q96" s="1168"/>
      <c r="R96" s="1676"/>
      <c r="S96" s="1168"/>
      <c r="T96" s="1168"/>
      <c r="U96" s="550"/>
      <c r="V96" s="1168"/>
      <c r="W96" s="1168"/>
      <c r="X96" s="1168"/>
      <c r="Y96" s="1168"/>
      <c r="Z96" s="1168"/>
      <c r="AA96" s="1672"/>
      <c r="AB96" s="572"/>
      <c r="AC96" s="572"/>
      <c r="AD96" s="572"/>
      <c r="AE96" s="572"/>
    </row>
    <row s="3878" customFormat="1" customHeight="1" ht="11.25">
      <c r="A97" s="994"/>
      <c r="B97" s="1676"/>
      <c r="C97" s="1676"/>
      <c r="D97" s="347"/>
      <c r="K97" s="1168"/>
      <c r="L97" s="1676"/>
      <c r="M97" s="1676"/>
      <c r="N97" s="1168"/>
      <c r="O97" s="1168"/>
      <c r="P97" s="1168"/>
      <c r="Q97" s="1168"/>
      <c r="R97" s="1676"/>
      <c r="S97" s="1168"/>
      <c r="T97" s="1168"/>
      <c r="U97" s="550"/>
      <c r="V97" s="1168"/>
      <c r="W97" s="1168"/>
      <c r="X97" s="1168"/>
      <c r="Y97" s="1168"/>
      <c r="Z97" s="1168"/>
      <c r="AA97" s="1672"/>
      <c r="AB97" s="572"/>
      <c r="AC97" s="572"/>
      <c r="AD97" s="572"/>
      <c r="AE97" s="572"/>
    </row>
    <row s="3878" customFormat="1" customHeight="1" ht="11.25">
      <c r="A98" s="994"/>
      <c r="B98" s="1676"/>
      <c r="C98" s="1676"/>
      <c r="D98" s="347"/>
      <c r="K98" s="1168"/>
      <c r="L98" s="1676"/>
      <c r="M98" s="1676"/>
      <c r="N98" s="1168"/>
      <c r="O98" s="1168"/>
      <c r="P98" s="1168"/>
      <c r="Q98" s="1168"/>
      <c r="R98" s="1676"/>
      <c r="S98" s="1168"/>
      <c r="T98" s="1168"/>
      <c r="U98" s="550"/>
      <c r="V98" s="1168"/>
      <c r="W98" s="1168"/>
      <c r="X98" s="1168"/>
      <c r="Y98" s="1168"/>
      <c r="Z98" s="1168"/>
      <c r="AA98" s="1672"/>
      <c r="AB98" s="572"/>
      <c r="AC98" s="572"/>
      <c r="AD98" s="572"/>
      <c r="AE98" s="572"/>
    </row>
    <row s="3878" customFormat="1" customHeight="1" ht="11.25">
      <c r="A99" s="994"/>
      <c r="B99" s="1676"/>
      <c r="C99" s="1676"/>
      <c r="D99" s="347"/>
      <c r="K99" s="1168"/>
      <c r="L99" s="1676"/>
      <c r="M99" s="1676"/>
      <c r="N99" s="1168"/>
      <c r="O99" s="1168"/>
      <c r="P99" s="1168"/>
      <c r="Q99" s="1168"/>
      <c r="R99" s="1676"/>
      <c r="S99" s="1168"/>
      <c r="T99" s="1168"/>
      <c r="U99" s="550"/>
      <c r="V99" s="1168"/>
      <c r="W99" s="1168"/>
      <c r="X99" s="1168"/>
      <c r="Y99" s="1168"/>
      <c r="Z99" s="1168"/>
      <c r="AA99" s="1672"/>
      <c r="AB99" s="572"/>
      <c r="AC99" s="572"/>
      <c r="AD99" s="572"/>
      <c r="AE99" s="572"/>
    </row>
    <row s="3878" customFormat="1" customHeight="1" ht="11.25">
      <c r="A100" s="994"/>
      <c r="B100" s="1676"/>
      <c r="C100" s="1676"/>
      <c r="D100" s="347"/>
      <c r="K100" s="1168"/>
      <c r="L100" s="1676"/>
      <c r="M100" s="1676"/>
      <c r="N100" s="1168"/>
      <c r="O100" s="1168"/>
      <c r="P100" s="1168"/>
      <c r="Q100" s="1168"/>
      <c r="R100" s="1676"/>
      <c r="S100" s="1168"/>
      <c r="T100" s="1168"/>
      <c r="U100" s="550"/>
      <c r="V100" s="1168"/>
      <c r="W100" s="1168"/>
      <c r="X100" s="1168"/>
      <c r="Y100" s="1168"/>
      <c r="Z100" s="1168"/>
      <c r="AA100" s="1672"/>
      <c r="AB100" s="572"/>
      <c r="AC100" s="572"/>
      <c r="AD100" s="572"/>
      <c r="AE100" s="572"/>
    </row>
    <row s="3878" customFormat="1" customHeight="1" ht="11.25">
      <c r="A101" s="994"/>
      <c r="B101" s="1676"/>
      <c r="C101" s="1676"/>
      <c r="D101" s="347"/>
      <c r="K101" s="1168"/>
      <c r="L101" s="1676"/>
      <c r="M101" s="1676"/>
      <c r="N101" s="1168"/>
      <c r="O101" s="1168"/>
      <c r="P101" s="1168"/>
      <c r="Q101" s="1168"/>
      <c r="R101" s="1676"/>
      <c r="S101" s="1168"/>
      <c r="T101" s="1168"/>
      <c r="U101" s="550"/>
      <c r="V101" s="1168"/>
      <c r="W101" s="1168"/>
      <c r="X101" s="1168"/>
      <c r="Y101" s="1168"/>
      <c r="Z101" s="1168"/>
      <c r="AA101" s="1672"/>
      <c r="AB101" s="572"/>
      <c r="AC101" s="572"/>
      <c r="AD101" s="572"/>
      <c r="AE101" s="572"/>
    </row>
    <row s="3878" customFormat="1" customHeight="1" ht="11.25">
      <c r="A102" s="994"/>
      <c r="B102" s="1676"/>
      <c r="C102" s="1676"/>
      <c r="D102" s="347"/>
      <c r="K102" s="1168"/>
      <c r="L102" s="1676"/>
      <c r="M102" s="1676"/>
      <c r="N102" s="1168"/>
      <c r="O102" s="1168"/>
      <c r="P102" s="1168"/>
      <c r="Q102" s="1168"/>
      <c r="R102" s="1676"/>
      <c r="S102" s="1168"/>
      <c r="T102" s="1168"/>
      <c r="U102" s="550"/>
      <c r="V102" s="1168"/>
      <c r="W102" s="1168"/>
      <c r="X102" s="1168"/>
      <c r="Y102" s="1168"/>
      <c r="Z102" s="1168"/>
      <c r="AA102" s="1672"/>
      <c r="AB102" s="572"/>
      <c r="AC102" s="572"/>
      <c r="AD102" s="572"/>
      <c r="AE102" s="572"/>
    </row>
    <row s="3878" customFormat="1" customHeight="1" ht="11.25">
      <c r="A103" s="994"/>
      <c r="B103" s="1676"/>
      <c r="C103" s="1676"/>
      <c r="D103" s="347"/>
      <c r="K103" s="1168"/>
      <c r="L103" s="1676"/>
      <c r="M103" s="1676"/>
      <c r="N103" s="1168"/>
      <c r="O103" s="1168"/>
      <c r="P103" s="1168"/>
      <c r="Q103" s="1168"/>
      <c r="R103" s="1676"/>
      <c r="S103" s="1168"/>
      <c r="T103" s="1168"/>
      <c r="U103" s="550"/>
      <c r="V103" s="1168"/>
      <c r="W103" s="1168"/>
      <c r="X103" s="1168"/>
      <c r="Y103" s="1168"/>
      <c r="Z103" s="1168"/>
      <c r="AA103" s="1672"/>
      <c r="AB103" s="572"/>
      <c r="AC103" s="572"/>
      <c r="AD103" s="572"/>
      <c r="AE103" s="572"/>
    </row>
    <row s="3878" customFormat="1" customHeight="1" ht="11.25">
      <c r="A104" s="994"/>
      <c r="B104" s="1676"/>
      <c r="C104" s="1676"/>
      <c r="D104" s="347"/>
      <c r="K104" s="1168"/>
      <c r="L104" s="1676"/>
      <c r="M104" s="1676"/>
      <c r="N104" s="1168"/>
      <c r="O104" s="1168"/>
      <c r="P104" s="1168"/>
      <c r="Q104" s="1168"/>
      <c r="R104" s="1676"/>
      <c r="S104" s="1168"/>
      <c r="T104" s="1168"/>
      <c r="U104" s="550"/>
      <c r="V104" s="1168"/>
      <c r="W104" s="1168"/>
      <c r="X104" s="1168"/>
      <c r="Y104" s="1168"/>
      <c r="Z104" s="1168"/>
      <c r="AA104" s="1672"/>
      <c r="AB104" s="572"/>
      <c r="AC104" s="572"/>
      <c r="AD104" s="572"/>
      <c r="AE104" s="572"/>
    </row>
    <row s="3878" customFormat="1" customHeight="1" ht="11.25">
      <c r="A105" s="994"/>
      <c r="B105" s="1676"/>
      <c r="C105" s="1676"/>
      <c r="D105" s="347"/>
      <c r="K105" s="1168"/>
      <c r="L105" s="1676"/>
      <c r="M105" s="1676"/>
      <c r="N105" s="1168"/>
      <c r="O105" s="1168"/>
      <c r="P105" s="1168"/>
      <c r="Q105" s="1168"/>
      <c r="R105" s="1676"/>
      <c r="S105" s="1168"/>
      <c r="T105" s="1168"/>
      <c r="U105" s="550"/>
      <c r="V105" s="1168"/>
      <c r="W105" s="1168"/>
      <c r="X105" s="1168"/>
      <c r="Y105" s="1168"/>
      <c r="Z105" s="1168"/>
      <c r="AA105" s="1672"/>
      <c r="AB105" s="572"/>
      <c r="AC105" s="572"/>
      <c r="AD105" s="572"/>
      <c r="AE105" s="572"/>
    </row>
    <row s="3878" customFormat="1" customHeight="1" ht="11.25">
      <c r="A106" s="994"/>
      <c r="B106" s="1676"/>
      <c r="C106" s="1676"/>
      <c r="D106" s="347"/>
      <c r="K106" s="1168"/>
      <c r="L106" s="1676"/>
      <c r="M106" s="1676"/>
      <c r="N106" s="1168"/>
      <c r="O106" s="1168"/>
      <c r="P106" s="1168"/>
      <c r="Q106" s="1168"/>
      <c r="R106" s="1676"/>
      <c r="S106" s="1168"/>
      <c r="T106" s="1168"/>
      <c r="U106" s="550"/>
      <c r="V106" s="1168"/>
      <c r="W106" s="1168"/>
      <c r="X106" s="1168"/>
      <c r="Y106" s="1168"/>
      <c r="Z106" s="1168"/>
      <c r="AA106" s="1672"/>
      <c r="AB106" s="572"/>
      <c r="AC106" s="572"/>
      <c r="AD106" s="572"/>
      <c r="AE106" s="572"/>
    </row>
    <row s="3878" customFormat="1" customHeight="1" ht="11.25">
      <c r="A107" s="994"/>
      <c r="B107" s="1676"/>
      <c r="C107" s="1676"/>
      <c r="D107" s="347"/>
      <c r="K107" s="1168"/>
      <c r="L107" s="1676"/>
      <c r="M107" s="1676"/>
      <c r="N107" s="1168"/>
      <c r="O107" s="1168"/>
      <c r="P107" s="1168"/>
      <c r="Q107" s="1168"/>
      <c r="R107" s="1676"/>
      <c r="S107" s="1168"/>
      <c r="T107" s="1168"/>
      <c r="U107" s="550"/>
      <c r="V107" s="1168"/>
      <c r="W107" s="1168"/>
      <c r="X107" s="1168"/>
      <c r="Y107" s="1168"/>
      <c r="Z107" s="1168"/>
      <c r="AA107" s="1672"/>
      <c r="AB107" s="572"/>
      <c r="AC107" s="572"/>
      <c r="AD107" s="572"/>
      <c r="AE107" s="572"/>
    </row>
    <row s="3878" customFormat="1" customHeight="1" ht="11.25">
      <c r="A108" s="994"/>
      <c r="B108" s="1676"/>
      <c r="C108" s="1676"/>
      <c r="D108" s="347"/>
      <c r="K108" s="1168"/>
      <c r="L108" s="1676"/>
      <c r="M108" s="1676"/>
      <c r="N108" s="1168"/>
      <c r="O108" s="1168"/>
      <c r="P108" s="1168"/>
      <c r="Q108" s="1168"/>
      <c r="R108" s="1676"/>
      <c r="S108" s="1168"/>
      <c r="T108" s="1168"/>
      <c r="U108" s="550"/>
      <c r="V108" s="1168"/>
      <c r="W108" s="1168"/>
      <c r="X108" s="1168"/>
      <c r="Y108" s="1168"/>
      <c r="Z108" s="1168"/>
      <c r="AA108" s="1672"/>
      <c r="AB108" s="572"/>
      <c r="AC108" s="572"/>
      <c r="AD108" s="572"/>
      <c r="AE108" s="572"/>
    </row>
    <row s="3878" customFormat="1" customHeight="1" ht="11.25">
      <c r="A109" s="994"/>
      <c r="B109" s="1676"/>
      <c r="C109" s="1676"/>
      <c r="D109" s="347"/>
      <c r="K109" s="1168"/>
      <c r="L109" s="1676"/>
      <c r="M109" s="1676"/>
      <c r="N109" s="1168"/>
      <c r="O109" s="1168"/>
      <c r="P109" s="1168"/>
      <c r="Q109" s="1168"/>
      <c r="R109" s="1676"/>
      <c r="S109" s="1168"/>
      <c r="T109" s="1168"/>
      <c r="U109" s="550"/>
      <c r="V109" s="1168"/>
      <c r="W109" s="1168"/>
      <c r="X109" s="1168"/>
      <c r="Y109" s="1168"/>
      <c r="Z109" s="1168"/>
      <c r="AA109" s="1672"/>
      <c r="AB109" s="572"/>
      <c r="AC109" s="572"/>
      <c r="AD109" s="572"/>
      <c r="AE109" s="572"/>
    </row>
    <row s="3878" customFormat="1" customHeight="1" ht="11.25">
      <c r="A110" s="994"/>
      <c r="B110" s="1676"/>
      <c r="C110" s="1676"/>
      <c r="D110" s="347"/>
      <c r="K110" s="1168"/>
      <c r="L110" s="1676"/>
      <c r="M110" s="1676"/>
      <c r="N110" s="1168"/>
      <c r="O110" s="1168"/>
      <c r="P110" s="1168"/>
      <c r="Q110" s="1168"/>
      <c r="R110" s="1676"/>
      <c r="S110" s="1168"/>
      <c r="T110" s="1168"/>
      <c r="U110" s="550"/>
      <c r="V110" s="1168"/>
      <c r="W110" s="1168"/>
      <c r="X110" s="1168"/>
      <c r="Y110" s="1168"/>
      <c r="Z110" s="1168"/>
      <c r="AA110" s="1672"/>
      <c r="AB110" s="572"/>
      <c r="AC110" s="572"/>
      <c r="AD110" s="572"/>
      <c r="AE110" s="572"/>
    </row>
    <row s="3878" customFormat="1" customHeight="1" ht="11.25">
      <c r="A111" s="994"/>
      <c r="B111" s="1676"/>
      <c r="C111" s="1676"/>
      <c r="D111" s="347"/>
      <c r="K111" s="1168"/>
      <c r="L111" s="1676"/>
      <c r="M111" s="1676"/>
      <c r="N111" s="1168"/>
      <c r="O111" s="1168"/>
      <c r="P111" s="1168"/>
      <c r="Q111" s="1168"/>
      <c r="R111" s="1676"/>
      <c r="S111" s="1168"/>
      <c r="T111" s="1168"/>
      <c r="U111" s="550"/>
      <c r="V111" s="1168"/>
      <c r="W111" s="1168"/>
      <c r="X111" s="1168"/>
      <c r="Y111" s="1168"/>
      <c r="Z111" s="1168"/>
      <c r="AA111" s="1672"/>
      <c r="AB111" s="572"/>
      <c r="AC111" s="572"/>
      <c r="AD111" s="572"/>
      <c r="AE111" s="572"/>
    </row>
    <row s="3878" customFormat="1" customHeight="1" ht="11.25">
      <c r="A112" s="994"/>
      <c r="B112" s="1676"/>
      <c r="C112" s="1676"/>
      <c r="D112" s="347"/>
      <c r="K112" s="1168"/>
      <c r="L112" s="1676"/>
      <c r="M112" s="1676"/>
      <c r="N112" s="1168"/>
      <c r="O112" s="1168"/>
      <c r="P112" s="1168"/>
      <c r="Q112" s="1168"/>
      <c r="R112" s="1676"/>
      <c r="S112" s="1168"/>
      <c r="T112" s="1168"/>
      <c r="U112" s="550"/>
      <c r="V112" s="1168"/>
      <c r="W112" s="1168"/>
      <c r="X112" s="1168"/>
      <c r="Y112" s="1168"/>
      <c r="Z112" s="1168"/>
      <c r="AA112" s="1672"/>
      <c r="AB112" s="572"/>
      <c r="AC112" s="572"/>
      <c r="AD112" s="572"/>
      <c r="AE112" s="572"/>
    </row>
    <row s="3878" customFormat="1" customHeight="1" ht="11.25">
      <c r="A113" s="994"/>
      <c r="B113" s="1676"/>
      <c r="C113" s="1676"/>
      <c r="D113" s="347"/>
      <c r="K113" s="1168"/>
      <c r="L113" s="1676"/>
      <c r="M113" s="1676"/>
      <c r="N113" s="1168"/>
      <c r="O113" s="1168"/>
      <c r="P113" s="1168"/>
      <c r="Q113" s="1168"/>
      <c r="R113" s="1676"/>
      <c r="S113" s="1168"/>
      <c r="T113" s="1168"/>
      <c r="U113" s="550"/>
      <c r="V113" s="1168"/>
      <c r="W113" s="1168"/>
      <c r="X113" s="1168"/>
      <c r="Y113" s="1168"/>
      <c r="Z113" s="1168"/>
      <c r="AA113" s="1672"/>
      <c r="AB113" s="572"/>
      <c r="AC113" s="572"/>
      <c r="AD113" s="572"/>
      <c r="AE113" s="572"/>
    </row>
    <row s="3878" customFormat="1" customHeight="1" ht="11.25">
      <c r="A114" s="994"/>
      <c r="B114" s="1676"/>
      <c r="C114" s="1676"/>
      <c r="D114" s="347"/>
      <c r="K114" s="1168"/>
      <c r="L114" s="1676"/>
      <c r="M114" s="1676"/>
      <c r="N114" s="1168"/>
      <c r="O114" s="1168"/>
      <c r="P114" s="1168"/>
      <c r="Q114" s="1168"/>
      <c r="R114" s="1676"/>
      <c r="S114" s="1168"/>
      <c r="T114" s="1168"/>
      <c r="U114" s="550"/>
      <c r="V114" s="1168"/>
      <c r="W114" s="1168"/>
      <c r="X114" s="1168"/>
      <c r="Y114" s="1168"/>
      <c r="Z114" s="1168"/>
      <c r="AA114" s="1672"/>
      <c r="AB114" s="572"/>
      <c r="AC114" s="572"/>
      <c r="AD114" s="572"/>
      <c r="AE114" s="572"/>
    </row>
    <row s="3878" customFormat="1" customHeight="1" ht="11.25">
      <c r="A115" s="994"/>
      <c r="B115" s="1676"/>
      <c r="C115" s="1676"/>
      <c r="D115" s="347"/>
      <c r="K115" s="1168"/>
      <c r="L115" s="1676"/>
      <c r="M115" s="1676"/>
      <c r="N115" s="1168"/>
      <c r="O115" s="1168"/>
      <c r="P115" s="1168"/>
      <c r="Q115" s="1168"/>
      <c r="R115" s="1676"/>
      <c r="S115" s="1168"/>
      <c r="T115" s="1168"/>
      <c r="U115" s="550"/>
      <c r="V115" s="1168"/>
      <c r="W115" s="1168"/>
      <c r="X115" s="1168"/>
      <c r="Y115" s="1168"/>
      <c r="Z115" s="1168"/>
      <c r="AA115" s="1672"/>
      <c r="AB115" s="572"/>
      <c r="AC115" s="572"/>
      <c r="AD115" s="572"/>
      <c r="AE115" s="572"/>
    </row>
    <row s="3878" customFormat="1" customHeight="1" ht="11.25">
      <c r="A116" s="994"/>
      <c r="B116" s="1676"/>
      <c r="C116" s="1676"/>
      <c r="D116" s="347"/>
      <c r="K116" s="1168"/>
      <c r="L116" s="1676"/>
      <c r="M116" s="1676"/>
      <c r="N116" s="1168"/>
      <c r="O116" s="1168"/>
      <c r="P116" s="1168"/>
      <c r="Q116" s="1168"/>
      <c r="R116" s="1676"/>
      <c r="S116" s="1168"/>
      <c r="T116" s="1168"/>
      <c r="U116" s="550"/>
      <c r="V116" s="1168"/>
      <c r="W116" s="1168"/>
      <c r="X116" s="1168"/>
      <c r="Y116" s="1168"/>
      <c r="Z116" s="1168"/>
      <c r="AA116" s="1672"/>
      <c r="AB116" s="572"/>
      <c r="AC116" s="572"/>
      <c r="AD116" s="572"/>
      <c r="AE116" s="572"/>
    </row>
    <row s="3878" customFormat="1" customHeight="1" ht="11.25">
      <c r="A117" s="994"/>
      <c r="B117" s="1676"/>
      <c r="C117" s="1676"/>
      <c r="D117" s="347"/>
      <c r="K117" s="1168"/>
      <c r="L117" s="1676"/>
      <c r="M117" s="1676"/>
      <c r="N117" s="1168"/>
      <c r="O117" s="1168"/>
      <c r="P117" s="1168"/>
      <c r="Q117" s="1168"/>
      <c r="R117" s="1676"/>
      <c r="S117" s="1168"/>
      <c r="T117" s="1168"/>
      <c r="U117" s="550"/>
      <c r="V117" s="1168"/>
      <c r="W117" s="1168"/>
      <c r="X117" s="1168"/>
      <c r="Y117" s="1168"/>
      <c r="Z117" s="1168"/>
      <c r="AA117" s="1672"/>
      <c r="AB117" s="572"/>
      <c r="AC117" s="572"/>
      <c r="AD117" s="572"/>
      <c r="AE117" s="572"/>
    </row>
    <row s="3878" customFormat="1" customHeight="1" ht="11.25">
      <c r="A118" s="994"/>
      <c r="B118" s="1676"/>
      <c r="C118" s="1676"/>
      <c r="D118" s="347"/>
      <c r="K118" s="1168"/>
      <c r="L118" s="1676"/>
      <c r="M118" s="1676"/>
      <c r="N118" s="1168"/>
      <c r="O118" s="1168"/>
      <c r="P118" s="1168"/>
      <c r="Q118" s="1168"/>
      <c r="R118" s="1676"/>
      <c r="S118" s="1168"/>
      <c r="T118" s="1168"/>
      <c r="U118" s="550"/>
      <c r="V118" s="1168"/>
      <c r="W118" s="1168"/>
      <c r="X118" s="1168"/>
      <c r="Y118" s="1168"/>
      <c r="Z118" s="1168"/>
      <c r="AA118" s="1672"/>
      <c r="AB118" s="572"/>
      <c r="AC118" s="572"/>
      <c r="AD118" s="572"/>
      <c r="AE118" s="572"/>
    </row>
    <row s="3878" customFormat="1" customHeight="1" ht="11.25">
      <c r="A119" s="994"/>
      <c r="B119" s="1676"/>
      <c r="C119" s="1676"/>
      <c r="D119" s="347"/>
      <c r="K119" s="1168"/>
      <c r="L119" s="1676"/>
      <c r="M119" s="1676"/>
      <c r="N119" s="1168"/>
      <c r="O119" s="1168"/>
      <c r="P119" s="1168"/>
      <c r="Q119" s="1168"/>
      <c r="R119" s="1676"/>
      <c r="S119" s="1168"/>
      <c r="T119" s="1168"/>
      <c r="U119" s="550"/>
      <c r="V119" s="1168"/>
      <c r="W119" s="1168"/>
      <c r="X119" s="1168"/>
      <c r="Y119" s="1168"/>
      <c r="Z119" s="1168"/>
      <c r="AA119" s="1672"/>
      <c r="AB119" s="572"/>
      <c r="AC119" s="572"/>
      <c r="AD119" s="572"/>
      <c r="AE119" s="572"/>
    </row>
    <row s="3878" customFormat="1" customHeight="1" ht="11.25">
      <c r="A120" s="994"/>
      <c r="B120" s="1676"/>
      <c r="C120" s="1676"/>
      <c r="D120" s="347"/>
      <c r="K120" s="1168"/>
      <c r="L120" s="1676"/>
      <c r="M120" s="1676"/>
      <c r="N120" s="1168"/>
      <c r="O120" s="1168"/>
      <c r="P120" s="1168"/>
      <c r="Q120" s="1168"/>
      <c r="R120" s="1676"/>
      <c r="S120" s="1168"/>
      <c r="T120" s="1168"/>
      <c r="U120" s="550"/>
      <c r="V120" s="1168"/>
      <c r="W120" s="1168"/>
      <c r="X120" s="1168"/>
      <c r="Y120" s="1168"/>
      <c r="Z120" s="1168"/>
      <c r="AA120" s="1672"/>
      <c r="AB120" s="572"/>
      <c r="AC120" s="572"/>
      <c r="AD120" s="572"/>
      <c r="AE120" s="572"/>
    </row>
    <row s="3878" customFormat="1" customHeight="1" ht="11.25">
      <c r="A121" s="994"/>
      <c r="B121" s="1676"/>
      <c r="C121" s="1676"/>
      <c r="D121" s="347"/>
      <c r="K121" s="1168"/>
      <c r="L121" s="1676"/>
      <c r="M121" s="1676"/>
      <c r="N121" s="1168"/>
      <c r="O121" s="1168"/>
      <c r="P121" s="1168"/>
      <c r="Q121" s="1168"/>
      <c r="R121" s="1676"/>
      <c r="S121" s="1168"/>
      <c r="T121" s="1168"/>
      <c r="U121" s="550"/>
      <c r="V121" s="1168"/>
      <c r="W121" s="1168"/>
      <c r="X121" s="1168"/>
      <c r="Y121" s="1168"/>
      <c r="Z121" s="1168"/>
      <c r="AA121" s="1672"/>
      <c r="AB121" s="572"/>
      <c r="AC121" s="572"/>
      <c r="AD121" s="572"/>
      <c r="AE121" s="572"/>
    </row>
    <row s="3878" customFormat="1" customHeight="1" ht="11.25">
      <c r="A122" s="994"/>
      <c r="B122" s="1676"/>
      <c r="C122" s="1676"/>
      <c r="D122" s="347"/>
      <c r="K122" s="1168"/>
      <c r="L122" s="1676"/>
      <c r="M122" s="1676"/>
      <c r="N122" s="1168"/>
      <c r="O122" s="1168"/>
      <c r="P122" s="1168"/>
      <c r="Q122" s="1168"/>
      <c r="R122" s="1676"/>
      <c r="S122" s="1168"/>
      <c r="T122" s="1168"/>
      <c r="U122" s="550"/>
      <c r="V122" s="1168"/>
      <c r="W122" s="1168"/>
      <c r="X122" s="1168"/>
      <c r="Y122" s="1168"/>
      <c r="Z122" s="1168"/>
      <c r="AA122" s="1672"/>
      <c r="AB122" s="572"/>
      <c r="AC122" s="572"/>
      <c r="AD122" s="572"/>
      <c r="AE122" s="572"/>
    </row>
    <row s="3878" customFormat="1" customHeight="1" ht="11.25">
      <c r="A123" s="994"/>
      <c r="B123" s="1676"/>
      <c r="C123" s="1676"/>
      <c r="D123" s="347"/>
      <c r="K123" s="1168"/>
      <c r="L123" s="1676"/>
      <c r="M123" s="1676"/>
      <c r="N123" s="1168"/>
      <c r="O123" s="1168"/>
      <c r="P123" s="1168"/>
      <c r="Q123" s="1168"/>
      <c r="R123" s="1676"/>
      <c r="S123" s="1168"/>
      <c r="T123" s="1168"/>
      <c r="U123" s="550"/>
      <c r="V123" s="1168"/>
      <c r="W123" s="1168"/>
      <c r="X123" s="1168"/>
      <c r="Y123" s="1168"/>
      <c r="Z123" s="1168"/>
      <c r="AA123" s="1672"/>
      <c r="AB123" s="572"/>
      <c r="AC123" s="572"/>
      <c r="AD123" s="572"/>
      <c r="AE123" s="572"/>
    </row>
    <row s="3878" customFormat="1" customHeight="1" ht="11.25">
      <c r="A124" s="994"/>
      <c r="B124" s="1676"/>
      <c r="C124" s="1676"/>
      <c r="D124" s="347"/>
      <c r="K124" s="1168"/>
      <c r="L124" s="1676"/>
      <c r="M124" s="1676"/>
      <c r="N124" s="1168"/>
      <c r="O124" s="1168"/>
      <c r="P124" s="1168"/>
      <c r="Q124" s="1168"/>
      <c r="R124" s="1676"/>
      <c r="S124" s="1168"/>
      <c r="T124" s="1168"/>
      <c r="U124" s="550"/>
      <c r="V124" s="1168"/>
      <c r="W124" s="1168"/>
      <c r="X124" s="1168"/>
      <c r="Y124" s="1168"/>
      <c r="Z124" s="1168"/>
      <c r="AA124" s="1672"/>
      <c r="AB124" s="572"/>
      <c r="AC124" s="572"/>
      <c r="AD124" s="572"/>
      <c r="AE124" s="572"/>
    </row>
    <row s="3878" customFormat="1" customHeight="1" ht="11.25">
      <c r="A125" s="994"/>
      <c r="B125" s="1676"/>
      <c r="C125" s="1676"/>
      <c r="D125" s="347"/>
      <c r="K125" s="1168"/>
      <c r="L125" s="1676"/>
      <c r="M125" s="1676"/>
      <c r="N125" s="1168"/>
      <c r="O125" s="1168"/>
      <c r="P125" s="1168"/>
      <c r="Q125" s="1168"/>
      <c r="R125" s="1676"/>
      <c r="S125" s="1168"/>
      <c r="T125" s="1168"/>
      <c r="U125" s="550"/>
      <c r="V125" s="1168"/>
      <c r="W125" s="1168"/>
      <c r="X125" s="1168"/>
      <c r="Y125" s="1168"/>
      <c r="Z125" s="1168"/>
      <c r="AA125" s="1672"/>
      <c r="AB125" s="572"/>
      <c r="AC125" s="572"/>
      <c r="AD125" s="572"/>
      <c r="AE125" s="572"/>
    </row>
    <row s="3878" customFormat="1" customHeight="1" ht="11.25">
      <c r="A126" s="994"/>
      <c r="B126" s="1676"/>
      <c r="C126" s="1676"/>
      <c r="D126" s="347"/>
      <c r="K126" s="1168"/>
      <c r="L126" s="1676"/>
      <c r="M126" s="1676"/>
      <c r="N126" s="1168"/>
      <c r="O126" s="1168"/>
      <c r="P126" s="1168"/>
      <c r="Q126" s="1168"/>
      <c r="R126" s="1676"/>
      <c r="S126" s="1168"/>
      <c r="T126" s="1168"/>
      <c r="U126" s="550"/>
      <c r="V126" s="1168"/>
      <c r="W126" s="1168"/>
      <c r="X126" s="1168"/>
      <c r="Y126" s="1168"/>
      <c r="Z126" s="1168"/>
      <c r="AA126" s="1672"/>
      <c r="AB126" s="572"/>
      <c r="AC126" s="572"/>
      <c r="AD126" s="572"/>
      <c r="AE126" s="572"/>
    </row>
    <row s="3878" customFormat="1" customHeight="1" ht="11.25">
      <c r="A127" s="994"/>
      <c r="B127" s="1676"/>
      <c r="C127" s="1676"/>
      <c r="D127" s="347"/>
      <c r="K127" s="1168"/>
      <c r="L127" s="1676"/>
      <c r="M127" s="1676"/>
      <c r="N127" s="1168"/>
      <c r="O127" s="1168"/>
      <c r="P127" s="1168"/>
      <c r="Q127" s="1168"/>
      <c r="R127" s="1676"/>
      <c r="S127" s="1168"/>
      <c r="T127" s="1168"/>
      <c r="U127" s="550"/>
      <c r="V127" s="1168"/>
      <c r="W127" s="1168"/>
      <c r="X127" s="1168"/>
      <c r="Y127" s="1168"/>
      <c r="Z127" s="1168"/>
      <c r="AA127" s="1672"/>
      <c r="AB127" s="572"/>
      <c r="AC127" s="572"/>
      <c r="AD127" s="572"/>
      <c r="AE127" s="572"/>
    </row>
    <row s="3878" customFormat="1" customHeight="1" ht="11.25">
      <c r="A128" s="994"/>
      <c r="B128" s="1676"/>
      <c r="C128" s="1676"/>
      <c r="D128" s="347"/>
      <c r="K128" s="1168"/>
      <c r="L128" s="1676"/>
      <c r="M128" s="1676"/>
      <c r="N128" s="1168"/>
      <c r="O128" s="1168"/>
      <c r="P128" s="1168"/>
      <c r="Q128" s="1168"/>
      <c r="R128" s="1676"/>
      <c r="S128" s="1168"/>
      <c r="T128" s="1168"/>
      <c r="U128" s="550"/>
      <c r="V128" s="1168"/>
      <c r="W128" s="1168"/>
      <c r="X128" s="1168"/>
      <c r="Y128" s="1168"/>
      <c r="Z128" s="1168"/>
      <c r="AA128" s="1672"/>
      <c r="AB128" s="572"/>
      <c r="AC128" s="572"/>
      <c r="AD128" s="572"/>
      <c r="AE128" s="572"/>
    </row>
    <row s="3878" customFormat="1" customHeight="1" ht="11.25">
      <c r="A129" s="994"/>
      <c r="B129" s="1676"/>
      <c r="C129" s="1676"/>
      <c r="D129" s="347"/>
      <c r="K129" s="1168"/>
      <c r="L129" s="1676"/>
      <c r="M129" s="1676"/>
      <c r="N129" s="1168"/>
      <c r="O129" s="1168"/>
      <c r="P129" s="1168"/>
      <c r="Q129" s="1168"/>
      <c r="R129" s="1676"/>
      <c r="S129" s="1168"/>
      <c r="T129" s="1168"/>
      <c r="U129" s="550"/>
      <c r="V129" s="1168"/>
      <c r="W129" s="1168"/>
      <c r="X129" s="1168"/>
      <c r="Y129" s="1168"/>
      <c r="Z129" s="1168"/>
      <c r="AA129" s="1672"/>
      <c r="AB129" s="572"/>
      <c r="AC129" s="572"/>
      <c r="AD129" s="572"/>
      <c r="AE129" s="572"/>
    </row>
    <row s="3878" customFormat="1" customHeight="1" ht="11.25">
      <c r="A130" s="994"/>
      <c r="B130" s="1676"/>
      <c r="C130" s="1676"/>
      <c r="D130" s="347"/>
      <c r="K130" s="1168"/>
      <c r="L130" s="1676"/>
      <c r="M130" s="1676"/>
      <c r="N130" s="1168"/>
      <c r="O130" s="1168"/>
      <c r="P130" s="1168"/>
      <c r="Q130" s="1168"/>
      <c r="R130" s="1676"/>
      <c r="S130" s="1168"/>
      <c r="T130" s="1168"/>
      <c r="U130" s="550"/>
      <c r="V130" s="1168"/>
      <c r="W130" s="1168"/>
      <c r="X130" s="1168"/>
      <c r="Y130" s="1168"/>
      <c r="Z130" s="1168"/>
      <c r="AA130" s="1672"/>
      <c r="AB130" s="572"/>
      <c r="AC130" s="572"/>
      <c r="AD130" s="572"/>
      <c r="AE130" s="572"/>
    </row>
    <row s="3878" customFormat="1" customHeight="1" ht="11.25">
      <c r="A131" s="994"/>
      <c r="B131" s="1676"/>
      <c r="C131" s="1676"/>
      <c r="D131" s="347"/>
      <c r="K131" s="1168"/>
      <c r="L131" s="1676"/>
      <c r="M131" s="1676"/>
      <c r="N131" s="1168"/>
      <c r="O131" s="1168"/>
      <c r="P131" s="1168"/>
      <c r="Q131" s="1168"/>
      <c r="R131" s="1676"/>
      <c r="S131" s="1168"/>
      <c r="T131" s="1168"/>
      <c r="U131" s="550"/>
      <c r="V131" s="1168"/>
      <c r="W131" s="1168"/>
      <c r="X131" s="1168"/>
      <c r="Y131" s="1168"/>
      <c r="Z131" s="1168"/>
      <c r="AA131" s="1672"/>
      <c r="AB131" s="572"/>
      <c r="AC131" s="572"/>
      <c r="AD131" s="572"/>
      <c r="AE131" s="572"/>
    </row>
    <row s="3878" customFormat="1" customHeight="1" ht="11.25">
      <c r="A132" s="994"/>
      <c r="B132" s="1676"/>
      <c r="C132" s="1676"/>
      <c r="D132" s="347"/>
      <c r="K132" s="1168"/>
      <c r="L132" s="1676"/>
      <c r="M132" s="1676"/>
      <c r="N132" s="1168"/>
      <c r="O132" s="1168"/>
      <c r="P132" s="1168"/>
      <c r="Q132" s="1168"/>
      <c r="R132" s="1676"/>
      <c r="S132" s="1168"/>
      <c r="T132" s="1168"/>
      <c r="U132" s="550"/>
      <c r="V132" s="1168"/>
      <c r="W132" s="1168"/>
      <c r="X132" s="1168"/>
      <c r="Y132" s="1168"/>
      <c r="Z132" s="1168"/>
      <c r="AA132" s="1672"/>
      <c r="AB132" s="572"/>
      <c r="AC132" s="572"/>
      <c r="AD132" s="572"/>
      <c r="AE132" s="572"/>
    </row>
    <row s="3878" customFormat="1" customHeight="1" ht="11.25">
      <c r="A133" s="994"/>
      <c r="B133" s="1676"/>
      <c r="C133" s="1676"/>
      <c r="D133" s="347"/>
      <c r="K133" s="1168"/>
      <c r="L133" s="1676"/>
      <c r="M133" s="1676"/>
      <c r="N133" s="1168"/>
      <c r="O133" s="1168"/>
      <c r="P133" s="1168"/>
      <c r="Q133" s="1168"/>
      <c r="R133" s="1676"/>
      <c r="S133" s="1168"/>
      <c r="T133" s="1168"/>
      <c r="U133" s="550"/>
      <c r="V133" s="1168"/>
      <c r="W133" s="1168"/>
      <c r="X133" s="1168"/>
      <c r="Y133" s="1168"/>
      <c r="Z133" s="1168"/>
      <c r="AA133" s="1672"/>
      <c r="AB133" s="572"/>
      <c r="AC133" s="572"/>
      <c r="AD133" s="572"/>
      <c r="AE133" s="572"/>
    </row>
    <row s="3878" customFormat="1" customHeight="1" ht="11.25">
      <c r="A134" s="994"/>
      <c r="B134" s="1676"/>
      <c r="C134" s="1676"/>
      <c r="D134" s="347"/>
      <c r="K134" s="1168"/>
      <c r="L134" s="1676"/>
      <c r="M134" s="1676"/>
      <c r="N134" s="1168"/>
      <c r="O134" s="1168"/>
      <c r="P134" s="1168"/>
      <c r="Q134" s="1168"/>
      <c r="R134" s="1676"/>
      <c r="S134" s="1168"/>
      <c r="T134" s="1168"/>
      <c r="U134" s="550"/>
      <c r="V134" s="1168"/>
      <c r="W134" s="1168"/>
      <c r="X134" s="1168"/>
      <c r="Y134" s="1168"/>
      <c r="Z134" s="1168"/>
      <c r="AA134" s="1672"/>
      <c r="AB134" s="572"/>
      <c r="AC134" s="572"/>
      <c r="AD134" s="572"/>
      <c r="AE134" s="572"/>
    </row>
    <row s="3878" customFormat="1" customHeight="1" ht="11.25">
      <c r="A135" s="994"/>
      <c r="B135" s="1676"/>
      <c r="C135" s="1676"/>
      <c r="D135" s="347"/>
      <c r="K135" s="1168"/>
      <c r="L135" s="1676"/>
      <c r="M135" s="1676"/>
      <c r="N135" s="1168"/>
      <c r="O135" s="1168"/>
      <c r="P135" s="1168"/>
      <c r="Q135" s="1168"/>
      <c r="R135" s="1676"/>
      <c r="S135" s="1168"/>
      <c r="T135" s="1168"/>
      <c r="U135" s="550"/>
      <c r="V135" s="1168"/>
      <c r="W135" s="1168"/>
      <c r="X135" s="1168"/>
      <c r="Y135" s="1168"/>
      <c r="Z135" s="1168"/>
      <c r="AA135" s="1672"/>
      <c r="AB135" s="572"/>
      <c r="AC135" s="572"/>
      <c r="AD135" s="572"/>
      <c r="AE135" s="572"/>
    </row>
    <row s="3878" customFormat="1" customHeight="1" ht="11.25">
      <c r="A136" s="994"/>
      <c r="B136" s="1676"/>
      <c r="C136" s="1676"/>
      <c r="D136" s="347"/>
      <c r="K136" s="1168"/>
      <c r="L136" s="1676"/>
      <c r="M136" s="1676"/>
      <c r="N136" s="1168"/>
      <c r="O136" s="1168"/>
      <c r="P136" s="1168"/>
      <c r="Q136" s="1168"/>
      <c r="R136" s="1676"/>
      <c r="S136" s="1168"/>
      <c r="T136" s="1168"/>
      <c r="U136" s="550"/>
      <c r="V136" s="1168"/>
      <c r="W136" s="1168"/>
      <c r="X136" s="1168"/>
      <c r="Y136" s="1168"/>
      <c r="Z136" s="1168"/>
      <c r="AA136" s="1672"/>
      <c r="AB136" s="572"/>
      <c r="AC136" s="572"/>
      <c r="AD136" s="572"/>
      <c r="AE136" s="572"/>
    </row>
    <row s="3878" customFormat="1" customHeight="1" ht="11.25">
      <c r="A137" s="994"/>
      <c r="B137" s="1676"/>
      <c r="C137" s="1676"/>
      <c r="D137" s="347"/>
      <c r="K137" s="1168"/>
      <c r="L137" s="1676"/>
      <c r="M137" s="1676"/>
      <c r="N137" s="1168"/>
      <c r="O137" s="1168"/>
      <c r="P137" s="1168"/>
      <c r="Q137" s="1168"/>
      <c r="R137" s="1676"/>
      <c r="S137" s="1168"/>
      <c r="T137" s="1168"/>
      <c r="U137" s="550"/>
      <c r="V137" s="1168"/>
      <c r="W137" s="1168"/>
      <c r="X137" s="1168"/>
      <c r="Y137" s="1168"/>
      <c r="Z137" s="1168"/>
      <c r="AA137" s="1672"/>
      <c r="AB137" s="572"/>
      <c r="AC137" s="572"/>
      <c r="AD137" s="572"/>
      <c r="AE137" s="572"/>
    </row>
    <row s="3878" customFormat="1" customHeight="1" ht="11.25">
      <c r="A138" s="994"/>
      <c r="B138" s="1676"/>
      <c r="C138" s="1676"/>
      <c r="D138" s="347"/>
      <c r="K138" s="1168"/>
      <c r="L138" s="1676"/>
      <c r="M138" s="1676"/>
      <c r="N138" s="1168"/>
      <c r="O138" s="1168"/>
      <c r="P138" s="1168"/>
      <c r="Q138" s="1168"/>
      <c r="R138" s="1676"/>
      <c r="S138" s="1168"/>
      <c r="T138" s="1168"/>
      <c r="U138" s="550"/>
      <c r="V138" s="1168"/>
      <c r="W138" s="1168"/>
      <c r="X138" s="1168"/>
      <c r="Y138" s="1168"/>
      <c r="Z138" s="1168"/>
      <c r="AA138" s="1672"/>
      <c r="AB138" s="572"/>
      <c r="AC138" s="572"/>
      <c r="AD138" s="572"/>
      <c r="AE138" s="572"/>
    </row>
    <row s="3878" customFormat="1" customHeight="1" ht="11.25">
      <c r="A139" s="994"/>
      <c r="B139" s="1676"/>
      <c r="C139" s="1676"/>
      <c r="D139" s="347"/>
      <c r="K139" s="1168"/>
      <c r="L139" s="1676"/>
      <c r="M139" s="1676"/>
      <c r="N139" s="1168"/>
      <c r="O139" s="1168"/>
      <c r="P139" s="1168"/>
      <c r="Q139" s="1168"/>
      <c r="R139" s="1676"/>
      <c r="S139" s="1168"/>
      <c r="T139" s="1168"/>
      <c r="U139" s="550"/>
      <c r="V139" s="1168"/>
      <c r="W139" s="1168"/>
      <c r="X139" s="1168"/>
      <c r="Y139" s="1168"/>
      <c r="Z139" s="1168"/>
      <c r="AA139" s="1672"/>
      <c r="AB139" s="572"/>
      <c r="AC139" s="572"/>
      <c r="AD139" s="572"/>
      <c r="AE139" s="572"/>
    </row>
    <row s="3878" customFormat="1" customHeight="1" ht="11.25">
      <c r="A140" s="994"/>
      <c r="B140" s="1676"/>
      <c r="C140" s="1676"/>
      <c r="D140" s="347"/>
      <c r="K140" s="1168"/>
      <c r="L140" s="1676"/>
      <c r="M140" s="1676"/>
      <c r="N140" s="1168"/>
      <c r="O140" s="1168"/>
      <c r="P140" s="1168"/>
      <c r="Q140" s="1168"/>
      <c r="R140" s="1676"/>
      <c r="S140" s="1168"/>
      <c r="T140" s="1168"/>
      <c r="U140" s="550"/>
      <c r="V140" s="1168"/>
      <c r="W140" s="1168"/>
      <c r="X140" s="1168"/>
      <c r="Y140" s="1168"/>
      <c r="Z140" s="1168"/>
      <c r="AA140" s="1672"/>
      <c r="AB140" s="572"/>
      <c r="AC140" s="572"/>
      <c r="AD140" s="572"/>
      <c r="AE140" s="572"/>
    </row>
    <row s="3878" customFormat="1" customHeight="1" ht="11.25">
      <c r="A141" s="994"/>
      <c r="B141" s="1676"/>
      <c r="C141" s="1676"/>
      <c r="D141" s="347"/>
      <c r="K141" s="1168"/>
      <c r="L141" s="1676"/>
      <c r="M141" s="1676"/>
      <c r="N141" s="1168"/>
      <c r="O141" s="1168"/>
      <c r="P141" s="1168"/>
      <c r="Q141" s="1168"/>
      <c r="R141" s="1676"/>
      <c r="S141" s="1168"/>
      <c r="T141" s="1168"/>
      <c r="U141" s="550"/>
      <c r="V141" s="1168"/>
      <c r="W141" s="1168"/>
      <c r="X141" s="1168"/>
      <c r="Y141" s="1168"/>
      <c r="Z141" s="1168"/>
      <c r="AA141" s="1672"/>
      <c r="AB141" s="572"/>
      <c r="AC141" s="572"/>
      <c r="AD141" s="572"/>
      <c r="AE141" s="572"/>
    </row>
    <row s="3878" customFormat="1" customHeight="1" ht="11.25">
      <c r="A142" s="994"/>
      <c r="B142" s="1676"/>
      <c r="C142" s="1676"/>
      <c r="D142" s="347"/>
      <c r="K142" s="1168"/>
      <c r="L142" s="1676"/>
      <c r="M142" s="1676"/>
      <c r="N142" s="1168"/>
      <c r="O142" s="1168"/>
      <c r="P142" s="1168"/>
      <c r="Q142" s="1168"/>
      <c r="R142" s="1676"/>
      <c r="S142" s="1168"/>
      <c r="T142" s="1168"/>
      <c r="U142" s="550"/>
      <c r="V142" s="1168"/>
      <c r="W142" s="1168"/>
      <c r="X142" s="1168"/>
      <c r="Y142" s="1168"/>
      <c r="Z142" s="1168"/>
      <c r="AA142" s="1672"/>
      <c r="AB142" s="572"/>
      <c r="AC142" s="572"/>
      <c r="AD142" s="572"/>
      <c r="AE142" s="572"/>
    </row>
    <row s="3878" customFormat="1" customHeight="1" ht="11.25">
      <c r="A143" s="994"/>
      <c r="B143" s="1676"/>
      <c r="C143" s="1676"/>
      <c r="D143" s="347"/>
      <c r="K143" s="1168"/>
      <c r="L143" s="1676"/>
      <c r="M143" s="1676"/>
      <c r="N143" s="1168"/>
      <c r="O143" s="1168"/>
      <c r="P143" s="1168"/>
      <c r="Q143" s="1168"/>
      <c r="R143" s="1676"/>
      <c r="S143" s="1168"/>
      <c r="T143" s="1168"/>
      <c r="U143" s="550"/>
      <c r="V143" s="1168"/>
      <c r="W143" s="1168"/>
      <c r="X143" s="1168"/>
      <c r="Y143" s="1168"/>
      <c r="Z143" s="1168"/>
      <c r="AA143" s="1672"/>
      <c r="AB143" s="572"/>
      <c r="AC143" s="572"/>
      <c r="AD143" s="572"/>
      <c r="AE143" s="572"/>
    </row>
    <row s="3878" customFormat="1" customHeight="1" ht="11.25">
      <c r="A144" s="994"/>
      <c r="B144" s="1676"/>
      <c r="C144" s="1676"/>
      <c r="D144" s="347"/>
      <c r="K144" s="1168"/>
      <c r="L144" s="1676"/>
      <c r="M144" s="1676"/>
      <c r="N144" s="1168"/>
      <c r="O144" s="1168"/>
      <c r="P144" s="1168"/>
      <c r="Q144" s="1168"/>
      <c r="R144" s="1676"/>
      <c r="S144" s="1168"/>
      <c r="T144" s="1168"/>
      <c r="U144" s="550"/>
      <c r="V144" s="1168"/>
      <c r="W144" s="1168"/>
      <c r="X144" s="1168"/>
      <c r="Y144" s="1168"/>
      <c r="Z144" s="1168"/>
      <c r="AA144" s="1672"/>
      <c r="AB144" s="572"/>
      <c r="AC144" s="572"/>
      <c r="AD144" s="572"/>
      <c r="AE144" s="572"/>
    </row>
    <row s="3878" customFormat="1" customHeight="1" ht="11.25">
      <c r="A145" s="994"/>
      <c r="B145" s="1676"/>
      <c r="C145" s="1676"/>
      <c r="D145" s="347"/>
      <c r="K145" s="1168"/>
      <c r="L145" s="1676"/>
      <c r="M145" s="1676"/>
      <c r="N145" s="1168"/>
      <c r="O145" s="1168"/>
      <c r="P145" s="1168"/>
      <c r="Q145" s="1168"/>
      <c r="R145" s="1676"/>
      <c r="S145" s="1168"/>
      <c r="T145" s="1168"/>
      <c r="U145" s="550"/>
      <c r="V145" s="1168"/>
      <c r="W145" s="1168"/>
      <c r="X145" s="1168"/>
      <c r="Y145" s="1168"/>
      <c r="Z145" s="1168"/>
      <c r="AA145" s="1672"/>
      <c r="AB145" s="572"/>
      <c r="AC145" s="572"/>
      <c r="AD145" s="572"/>
      <c r="AE145" s="572"/>
    </row>
    <row s="3878" customFormat="1" customHeight="1" ht="11.25">
      <c r="A146" s="994"/>
      <c r="B146" s="1676"/>
      <c r="C146" s="1676"/>
      <c r="D146" s="347"/>
      <c r="K146" s="1168"/>
      <c r="L146" s="1676"/>
      <c r="M146" s="1676"/>
      <c r="N146" s="1168"/>
      <c r="O146" s="1168"/>
      <c r="P146" s="1168"/>
      <c r="Q146" s="1168"/>
      <c r="R146" s="1676"/>
      <c r="S146" s="1168"/>
      <c r="T146" s="1168"/>
      <c r="U146" s="550"/>
      <c r="V146" s="1168"/>
      <c r="W146" s="1168"/>
      <c r="X146" s="1168"/>
      <c r="Y146" s="1168"/>
      <c r="Z146" s="1168"/>
      <c r="AA146" s="1672"/>
      <c r="AB146" s="572"/>
      <c r="AC146" s="572"/>
      <c r="AD146" s="572"/>
      <c r="AE146" s="572"/>
    </row>
    <row s="3878" customFormat="1" customHeight="1" ht="11.25">
      <c r="A147" s="994"/>
      <c r="B147" s="1676"/>
      <c r="C147" s="1676"/>
      <c r="D147" s="347"/>
      <c r="K147" s="1168"/>
      <c r="L147" s="1676"/>
      <c r="M147" s="1676"/>
      <c r="N147" s="1168"/>
      <c r="O147" s="1168"/>
      <c r="P147" s="1168"/>
      <c r="Q147" s="1168"/>
      <c r="R147" s="1676"/>
      <c r="S147" s="1168"/>
      <c r="T147" s="1168"/>
      <c r="U147" s="550"/>
      <c r="V147" s="1168"/>
      <c r="W147" s="1168"/>
      <c r="X147" s="1168"/>
      <c r="Y147" s="1168"/>
      <c r="Z147" s="1168"/>
      <c r="AA147" s="1672"/>
      <c r="AB147" s="572"/>
      <c r="AC147" s="572"/>
      <c r="AD147" s="572"/>
      <c r="AE147" s="572"/>
    </row>
    <row s="3878" customFormat="1" customHeight="1" ht="11.25">
      <c r="A148" s="994"/>
      <c r="B148" s="1676"/>
      <c r="C148" s="1676"/>
      <c r="D148" s="347"/>
      <c r="K148" s="1168"/>
      <c r="L148" s="1676"/>
      <c r="M148" s="1676"/>
      <c r="N148" s="1168"/>
      <c r="O148" s="1168"/>
      <c r="P148" s="1168"/>
      <c r="Q148" s="1168"/>
      <c r="R148" s="1676"/>
      <c r="S148" s="1168"/>
      <c r="T148" s="1168"/>
      <c r="U148" s="550"/>
      <c r="V148" s="1168"/>
      <c r="W148" s="1168"/>
      <c r="X148" s="1168"/>
      <c r="Y148" s="1168"/>
      <c r="Z148" s="1168"/>
      <c r="AA148" s="1672"/>
      <c r="AB148" s="572"/>
      <c r="AC148" s="572"/>
      <c r="AD148" s="572"/>
      <c r="AE148" s="572"/>
    </row>
    <row s="3878" customFormat="1" customHeight="1" ht="11.25">
      <c r="A149" s="994"/>
      <c r="B149" s="1676"/>
      <c r="C149" s="1676"/>
      <c r="D149" s="347"/>
      <c r="K149" s="1168"/>
      <c r="L149" s="1676"/>
      <c r="M149" s="1676"/>
      <c r="N149" s="1168"/>
      <c r="O149" s="1168"/>
      <c r="P149" s="1168"/>
      <c r="Q149" s="1168"/>
      <c r="R149" s="1676"/>
      <c r="S149" s="1168"/>
      <c r="T149" s="1168"/>
      <c r="U149" s="550"/>
      <c r="V149" s="1168"/>
      <c r="W149" s="1168"/>
      <c r="X149" s="1168"/>
      <c r="Y149" s="1168"/>
      <c r="Z149" s="1168"/>
      <c r="AA149" s="1672"/>
      <c r="AB149" s="572"/>
      <c r="AC149" s="572"/>
      <c r="AD149" s="572"/>
      <c r="AE149" s="572"/>
    </row>
    <row s="3878" customFormat="1" customHeight="1" ht="11.25">
      <c r="A150" s="994"/>
      <c r="B150" s="1676"/>
      <c r="C150" s="1676"/>
      <c r="D150" s="347"/>
      <c r="K150" s="1168"/>
      <c r="L150" s="1676"/>
      <c r="M150" s="1676"/>
      <c r="N150" s="1168"/>
      <c r="O150" s="1168"/>
      <c r="P150" s="1168"/>
      <c r="Q150" s="1168"/>
      <c r="R150" s="1676"/>
      <c r="S150" s="1168"/>
      <c r="T150" s="1168"/>
      <c r="U150" s="550"/>
      <c r="V150" s="1168"/>
      <c r="W150" s="1168"/>
      <c r="X150" s="1168"/>
      <c r="Y150" s="1168"/>
      <c r="Z150" s="1168"/>
      <c r="AA150" s="1672"/>
      <c r="AB150" s="572"/>
      <c r="AC150" s="572"/>
      <c r="AD150" s="572"/>
      <c r="AE150" s="572"/>
    </row>
    <row s="3878" customFormat="1" customHeight="1" ht="11.25">
      <c r="A151" s="994"/>
      <c r="B151" s="1676"/>
      <c r="C151" s="1676"/>
      <c r="D151" s="347"/>
      <c r="K151" s="1168"/>
      <c r="L151" s="1676"/>
      <c r="M151" s="1676"/>
      <c r="N151" s="1168"/>
      <c r="O151" s="1168"/>
      <c r="P151" s="1168"/>
      <c r="Q151" s="1168"/>
      <c r="R151" s="1676"/>
      <c r="S151" s="1168"/>
      <c r="T151" s="1168"/>
      <c r="U151" s="550"/>
      <c r="V151" s="1168"/>
      <c r="W151" s="1168"/>
      <c r="X151" s="1168"/>
      <c r="Y151" s="1168"/>
      <c r="Z151" s="1168"/>
      <c r="AA151" s="1672"/>
      <c r="AB151" s="572"/>
      <c r="AC151" s="572"/>
      <c r="AD151" s="572"/>
      <c r="AE151" s="572"/>
    </row>
    <row s="3878" customFormat="1" customHeight="1" ht="11.25">
      <c r="A152" s="994"/>
      <c r="B152" s="1676"/>
      <c r="C152" s="1676"/>
      <c r="D152" s="347"/>
      <c r="K152" s="1168"/>
      <c r="L152" s="1676"/>
      <c r="M152" s="1676"/>
      <c r="N152" s="1168"/>
      <c r="O152" s="1168"/>
      <c r="P152" s="1168"/>
      <c r="Q152" s="1168"/>
      <c r="R152" s="1676"/>
      <c r="S152" s="1168"/>
      <c r="T152" s="1168"/>
      <c r="U152" s="550"/>
      <c r="V152" s="1168"/>
      <c r="W152" s="1168"/>
      <c r="X152" s="1168"/>
      <c r="Y152" s="1168"/>
      <c r="Z152" s="1168"/>
      <c r="AA152" s="1672"/>
      <c r="AB152" s="572"/>
      <c r="AC152" s="572"/>
      <c r="AD152" s="572"/>
      <c r="AE152" s="572"/>
    </row>
    <row s="3878" customFormat="1" customHeight="1" ht="11.25">
      <c r="A153" s="994"/>
      <c r="B153" s="1676"/>
      <c r="C153" s="1676"/>
      <c r="D153" s="347"/>
      <c r="K153" s="1168"/>
      <c r="L153" s="1676"/>
      <c r="M153" s="1676"/>
      <c r="N153" s="1168"/>
      <c r="O153" s="1168"/>
      <c r="P153" s="1168"/>
      <c r="Q153" s="1168"/>
      <c r="R153" s="1676"/>
      <c r="S153" s="1168"/>
      <c r="T153" s="1168"/>
      <c r="U153" s="550"/>
      <c r="V153" s="1168"/>
      <c r="W153" s="1168"/>
      <c r="X153" s="1168"/>
      <c r="Y153" s="1168"/>
      <c r="Z153" s="1168"/>
      <c r="AA153" s="1672"/>
      <c r="AB153" s="572"/>
      <c r="AC153" s="572"/>
      <c r="AD153" s="572"/>
      <c r="AE153" s="572"/>
    </row>
    <row s="3878" customFormat="1" customHeight="1" ht="11.25">
      <c r="A154" s="994"/>
      <c r="B154" s="1676"/>
      <c r="C154" s="1676"/>
      <c r="D154" s="347"/>
      <c r="K154" s="1168"/>
      <c r="L154" s="1676"/>
      <c r="M154" s="1676"/>
      <c r="N154" s="1168"/>
      <c r="O154" s="1168"/>
      <c r="P154" s="1168"/>
      <c r="Q154" s="1168"/>
      <c r="R154" s="1676"/>
      <c r="S154" s="1168"/>
      <c r="T154" s="1168"/>
      <c r="U154" s="550"/>
      <c r="V154" s="1168"/>
      <c r="W154" s="1168"/>
      <c r="X154" s="1168"/>
      <c r="Y154" s="1168"/>
      <c r="Z154" s="1168"/>
      <c r="AA154" s="1672"/>
      <c r="AB154" s="572"/>
      <c r="AC154" s="572"/>
      <c r="AD154" s="572"/>
      <c r="AE154" s="572"/>
    </row>
    <row s="3878" customFormat="1" customHeight="1" ht="11.25">
      <c r="A155" s="994"/>
      <c r="B155" s="1676"/>
      <c r="C155" s="1676"/>
      <c r="D155" s="347"/>
      <c r="K155" s="1168"/>
      <c r="L155" s="1676"/>
      <c r="M155" s="1676"/>
      <c r="N155" s="1168"/>
      <c r="O155" s="1168"/>
      <c r="P155" s="1168"/>
      <c r="Q155" s="1168"/>
      <c r="R155" s="1676"/>
      <c r="S155" s="1168"/>
      <c r="T155" s="1168"/>
      <c r="U155" s="550"/>
      <c r="V155" s="1168"/>
      <c r="W155" s="1168"/>
      <c r="X155" s="1168"/>
      <c r="Y155" s="1168"/>
      <c r="Z155" s="1168"/>
      <c r="AA155" s="1672"/>
      <c r="AB155" s="572"/>
      <c r="AC155" s="572"/>
      <c r="AD155" s="572"/>
      <c r="AE155" s="572"/>
    </row>
    <row s="3878" customFormat="1" customHeight="1" ht="11.25">
      <c r="A156" s="994"/>
      <c r="B156" s="1676"/>
      <c r="C156" s="1676"/>
      <c r="D156" s="347"/>
      <c r="K156" s="1168"/>
      <c r="L156" s="1676"/>
      <c r="M156" s="1676"/>
      <c r="N156" s="1168"/>
      <c r="O156" s="1168"/>
      <c r="P156" s="1168"/>
      <c r="Q156" s="1168"/>
      <c r="R156" s="1676"/>
      <c r="S156" s="1168"/>
      <c r="T156" s="1168"/>
      <c r="U156" s="550"/>
      <c r="V156" s="1168"/>
      <c r="W156" s="1168"/>
      <c r="X156" s="1168"/>
      <c r="Y156" s="1168"/>
      <c r="Z156" s="1168"/>
      <c r="AA156" s="1672"/>
      <c r="AB156" s="572"/>
      <c r="AC156" s="572"/>
      <c r="AD156" s="572"/>
      <c r="AE156" s="572"/>
    </row>
    <row s="3878" customFormat="1" customHeight="1" ht="11.25">
      <c r="A157" s="994"/>
      <c r="B157" s="1676"/>
      <c r="C157" s="1676"/>
      <c r="D157" s="347"/>
      <c r="K157" s="1168"/>
      <c r="L157" s="1676"/>
      <c r="M157" s="1676"/>
      <c r="N157" s="1168"/>
      <c r="O157" s="1168"/>
      <c r="P157" s="1168"/>
      <c r="Q157" s="1168"/>
      <c r="R157" s="1676"/>
      <c r="S157" s="1168"/>
      <c r="T157" s="1168"/>
      <c r="U157" s="550"/>
      <c r="V157" s="1168"/>
      <c r="W157" s="1168"/>
      <c r="X157" s="1168"/>
      <c r="Y157" s="1168"/>
      <c r="Z157" s="1168"/>
      <c r="AA157" s="1672"/>
      <c r="AB157" s="572"/>
      <c r="AC157" s="572"/>
      <c r="AD157" s="572"/>
      <c r="AE157" s="572"/>
    </row>
    <row s="3878" customFormat="1" customHeight="1" ht="11.25">
      <c r="A158" s="994"/>
      <c r="B158" s="1676"/>
      <c r="C158" s="1676"/>
      <c r="D158" s="347"/>
      <c r="K158" s="1168"/>
      <c r="L158" s="1676"/>
      <c r="M158" s="1676"/>
      <c r="N158" s="1168"/>
      <c r="O158" s="1168"/>
      <c r="P158" s="1168"/>
      <c r="Q158" s="1168"/>
      <c r="R158" s="1676"/>
      <c r="S158" s="1168"/>
      <c r="T158" s="1168"/>
      <c r="U158" s="550"/>
      <c r="V158" s="1168"/>
      <c r="W158" s="1168"/>
      <c r="X158" s="1168"/>
      <c r="Y158" s="1168"/>
      <c r="Z158" s="1168"/>
      <c r="AA158" s="1672"/>
      <c r="AB158" s="572"/>
      <c r="AC158" s="572"/>
      <c r="AD158" s="572"/>
      <c r="AE158" s="572"/>
    </row>
    <row s="3878" customFormat="1" customHeight="1" ht="11.25">
      <c r="A159" s="994"/>
      <c r="B159" s="1676"/>
      <c r="C159" s="1676"/>
      <c r="D159" s="347"/>
      <c r="K159" s="1168"/>
      <c r="L159" s="1676"/>
      <c r="M159" s="1676"/>
      <c r="N159" s="1168"/>
      <c r="O159" s="1168"/>
      <c r="P159" s="1168"/>
      <c r="Q159" s="1168"/>
      <c r="R159" s="1676"/>
      <c r="S159" s="1168"/>
      <c r="T159" s="1168"/>
      <c r="U159" s="550"/>
      <c r="V159" s="1168"/>
      <c r="W159" s="1168"/>
      <c r="X159" s="1168"/>
      <c r="Y159" s="1168"/>
      <c r="Z159" s="1168"/>
      <c r="AA159" s="1672"/>
      <c r="AB159" s="572"/>
      <c r="AC159" s="572"/>
      <c r="AD159" s="572"/>
      <c r="AE159" s="572"/>
    </row>
    <row s="3878" customFormat="1" customHeight="1" ht="11.25">
      <c r="A160" s="994"/>
      <c r="B160" s="1676"/>
      <c r="C160" s="1676"/>
      <c r="D160" s="347"/>
      <c r="K160" s="1168"/>
      <c r="L160" s="1676"/>
      <c r="M160" s="1676"/>
      <c r="N160" s="1168"/>
      <c r="O160" s="1168"/>
      <c r="P160" s="1168"/>
      <c r="Q160" s="1168"/>
      <c r="R160" s="1676"/>
      <c r="S160" s="1168"/>
      <c r="T160" s="1168"/>
      <c r="U160" s="550"/>
      <c r="V160" s="1168"/>
      <c r="W160" s="1168"/>
      <c r="X160" s="1168"/>
      <c r="Y160" s="1168"/>
      <c r="Z160" s="1168"/>
      <c r="AA160" s="1672"/>
      <c r="AB160" s="572"/>
      <c r="AC160" s="572"/>
      <c r="AD160" s="572"/>
      <c r="AE160" s="572"/>
    </row>
    <row s="3878" customFormat="1" customHeight="1" ht="11.25">
      <c r="A161" s="994"/>
      <c r="B161" s="1676"/>
      <c r="C161" s="1676"/>
      <c r="D161" s="347"/>
      <c r="K161" s="1168"/>
      <c r="L161" s="1676"/>
      <c r="M161" s="1676"/>
      <c r="N161" s="1168"/>
      <c r="O161" s="1168"/>
      <c r="P161" s="1168"/>
      <c r="Q161" s="1168"/>
      <c r="R161" s="1676"/>
      <c r="S161" s="1168"/>
      <c r="T161" s="1168"/>
      <c r="U161" s="550"/>
      <c r="V161" s="1168"/>
      <c r="W161" s="1168"/>
      <c r="X161" s="1168"/>
      <c r="Y161" s="1168"/>
      <c r="Z161" s="1168"/>
      <c r="AA161" s="1672"/>
      <c r="AB161" s="572"/>
      <c r="AC161" s="572"/>
      <c r="AD161" s="572"/>
      <c r="AE161" s="572"/>
    </row>
    <row s="3878" customFormat="1" customHeight="1" ht="11.25">
      <c r="A162" s="994"/>
      <c r="B162" s="1676"/>
      <c r="C162" s="1676"/>
      <c r="D162" s="347"/>
      <c r="K162" s="1168"/>
      <c r="L162" s="1676"/>
      <c r="M162" s="1676"/>
      <c r="N162" s="1168"/>
      <c r="O162" s="1168"/>
      <c r="P162" s="1168"/>
      <c r="Q162" s="1168"/>
      <c r="R162" s="1676"/>
      <c r="S162" s="1168"/>
      <c r="T162" s="1168"/>
      <c r="U162" s="550"/>
      <c r="V162" s="1168"/>
      <c r="W162" s="1168"/>
      <c r="X162" s="1168"/>
      <c r="Y162" s="1168"/>
      <c r="Z162" s="1168"/>
      <c r="AA162" s="1672"/>
      <c r="AB162" s="572"/>
      <c r="AC162" s="572"/>
      <c r="AD162" s="572"/>
      <c r="AE162" s="572"/>
    </row>
    <row s="3878" customFormat="1" customHeight="1" ht="11.25">
      <c r="A163" s="994"/>
      <c r="B163" s="1676"/>
      <c r="C163" s="1676"/>
      <c r="D163" s="347"/>
      <c r="K163" s="1168"/>
      <c r="L163" s="1676"/>
      <c r="M163" s="1676"/>
      <c r="N163" s="1168"/>
      <c r="O163" s="1168"/>
      <c r="P163" s="1168"/>
      <c r="Q163" s="1168"/>
      <c r="R163" s="1676"/>
      <c r="S163" s="1168"/>
      <c r="T163" s="1168"/>
      <c r="U163" s="550"/>
      <c r="V163" s="1168"/>
      <c r="W163" s="1168"/>
      <c r="X163" s="1168"/>
      <c r="Y163" s="1168"/>
      <c r="Z163" s="1168"/>
      <c r="AA163" s="1672"/>
      <c r="AB163" s="572"/>
      <c r="AC163" s="572"/>
      <c r="AD163" s="572"/>
      <c r="AE163" s="572"/>
    </row>
    <row s="3878" customFormat="1" customHeight="1" ht="11.25">
      <c r="A164" s="994"/>
      <c r="B164" s="1676"/>
      <c r="C164" s="1676"/>
      <c r="D164" s="347"/>
      <c r="K164" s="1168"/>
      <c r="L164" s="1676"/>
      <c r="M164" s="1676"/>
      <c r="N164" s="1168"/>
      <c r="O164" s="1168"/>
      <c r="P164" s="1168"/>
      <c r="Q164" s="1168"/>
      <c r="R164" s="1676"/>
      <c r="S164" s="1168"/>
      <c r="T164" s="1168"/>
      <c r="U164" s="550"/>
      <c r="V164" s="1168"/>
      <c r="W164" s="1168"/>
      <c r="X164" s="1168"/>
      <c r="Y164" s="1168"/>
      <c r="Z164" s="1168"/>
      <c r="AA164" s="1672"/>
      <c r="AB164" s="572"/>
      <c r="AC164" s="572"/>
      <c r="AD164" s="572"/>
      <c r="AE164" s="572"/>
    </row>
    <row s="3878" customFormat="1" customHeight="1" ht="11.25">
      <c r="A165" s="994"/>
      <c r="B165" s="1676"/>
      <c r="C165" s="1676"/>
      <c r="D165" s="347"/>
      <c r="K165" s="1168"/>
      <c r="L165" s="1676"/>
      <c r="M165" s="1676"/>
      <c r="N165" s="1168"/>
      <c r="O165" s="1168"/>
      <c r="P165" s="1168"/>
      <c r="Q165" s="1168"/>
      <c r="R165" s="1676"/>
      <c r="S165" s="1168"/>
      <c r="T165" s="1168"/>
      <c r="U165" s="550"/>
      <c r="V165" s="1168"/>
      <c r="W165" s="1168"/>
      <c r="X165" s="1168"/>
      <c r="Y165" s="1168"/>
      <c r="Z165" s="1168"/>
      <c r="AA165" s="1672"/>
      <c r="AB165" s="572"/>
      <c r="AC165" s="572"/>
      <c r="AD165" s="572"/>
      <c r="AE165" s="572"/>
    </row>
    <row s="3878" customFormat="1" customHeight="1" ht="11.25">
      <c r="A166" s="994"/>
      <c r="B166" s="1676"/>
      <c r="C166" s="1676"/>
      <c r="D166" s="347"/>
      <c r="K166" s="1168"/>
      <c r="L166" s="1676"/>
      <c r="M166" s="1676"/>
      <c r="N166" s="1168"/>
      <c r="O166" s="1168"/>
      <c r="P166" s="1168"/>
      <c r="Q166" s="1168"/>
      <c r="R166" s="1676"/>
      <c r="S166" s="1168"/>
      <c r="T166" s="1168"/>
      <c r="U166" s="550"/>
      <c r="V166" s="1168"/>
      <c r="W166" s="1168"/>
      <c r="X166" s="1168"/>
      <c r="Y166" s="1168"/>
      <c r="Z166" s="1168"/>
      <c r="AA166" s="1672"/>
      <c r="AB166" s="572"/>
      <c r="AC166" s="572"/>
      <c r="AD166" s="572"/>
      <c r="AE166" s="572"/>
    </row>
    <row s="3878" customFormat="1" customHeight="1" ht="11.25">
      <c r="A167" s="994"/>
      <c r="B167" s="1676"/>
      <c r="C167" s="1676"/>
      <c r="D167" s="347"/>
      <c r="K167" s="1168"/>
      <c r="L167" s="1676"/>
      <c r="M167" s="1676"/>
      <c r="N167" s="1168"/>
      <c r="O167" s="1168"/>
      <c r="P167" s="1168"/>
      <c r="Q167" s="1168"/>
      <c r="R167" s="1676"/>
      <c r="S167" s="1168"/>
      <c r="T167" s="1168"/>
      <c r="U167" s="550"/>
      <c r="V167" s="1168"/>
      <c r="W167" s="1168"/>
      <c r="X167" s="1168"/>
      <c r="Y167" s="1168"/>
      <c r="Z167" s="1168"/>
      <c r="AA167" s="1672"/>
      <c r="AB167" s="572"/>
      <c r="AC167" s="572"/>
      <c r="AD167" s="572"/>
      <c r="AE167" s="572"/>
    </row>
    <row s="3878" customFormat="1" customHeight="1" ht="11.25">
      <c r="A168" s="994"/>
      <c r="B168" s="1676"/>
      <c r="C168" s="1676"/>
      <c r="D168" s="347"/>
      <c r="K168" s="1168"/>
      <c r="L168" s="1676"/>
      <c r="M168" s="1676"/>
      <c r="N168" s="1168"/>
      <c r="O168" s="1168"/>
      <c r="P168" s="1168"/>
      <c r="Q168" s="1168"/>
      <c r="R168" s="1676"/>
      <c r="S168" s="1168"/>
      <c r="T168" s="1168"/>
      <c r="U168" s="550"/>
      <c r="V168" s="1168"/>
      <c r="W168" s="1168"/>
      <c r="X168" s="1168"/>
      <c r="Y168" s="1168"/>
      <c r="Z168" s="1168"/>
      <c r="AA168" s="1672"/>
      <c r="AB168" s="572"/>
      <c r="AC168" s="572"/>
      <c r="AD168" s="572"/>
      <c r="AE168" s="572"/>
    </row>
    <row s="3878" customFormat="1" customHeight="1" ht="11.25">
      <c r="A169" s="994"/>
      <c r="B169" s="1676"/>
      <c r="C169" s="1676"/>
      <c r="D169" s="347"/>
      <c r="K169" s="1168"/>
      <c r="L169" s="1676"/>
      <c r="M169" s="1676"/>
      <c r="N169" s="1168"/>
      <c r="O169" s="1168"/>
      <c r="P169" s="1168"/>
      <c r="Q169" s="1168"/>
      <c r="R169" s="1676"/>
      <c r="S169" s="1168"/>
      <c r="T169" s="1168"/>
      <c r="U169" s="550"/>
      <c r="V169" s="1168"/>
      <c r="W169" s="1168"/>
      <c r="X169" s="1168"/>
      <c r="Y169" s="1168"/>
      <c r="Z169" s="1168"/>
      <c r="AA169" s="1672"/>
      <c r="AB169" s="572"/>
      <c r="AC169" s="572"/>
      <c r="AD169" s="572"/>
      <c r="AE169" s="572"/>
    </row>
    <row s="3878" customFormat="1" customHeight="1" ht="11.25">
      <c r="A170" s="994"/>
      <c r="B170" s="1676"/>
      <c r="C170" s="1676"/>
      <c r="D170" s="347"/>
      <c r="K170" s="1168"/>
      <c r="L170" s="1676"/>
      <c r="M170" s="1676"/>
      <c r="N170" s="1168"/>
      <c r="O170" s="1168"/>
      <c r="P170" s="1168"/>
      <c r="Q170" s="1168"/>
      <c r="R170" s="1676"/>
      <c r="S170" s="1168"/>
      <c r="T170" s="1168"/>
      <c r="U170" s="550"/>
      <c r="V170" s="1168"/>
      <c r="W170" s="1168"/>
      <c r="X170" s="1168"/>
      <c r="Y170" s="1168"/>
      <c r="Z170" s="1168"/>
      <c r="AA170" s="1672"/>
      <c r="AB170" s="572"/>
      <c r="AC170" s="572"/>
      <c r="AD170" s="572"/>
      <c r="AE170" s="572"/>
    </row>
    <row s="3878" customFormat="1" customHeight="1" ht="11.25">
      <c r="A171" s="994"/>
      <c r="B171" s="1676"/>
      <c r="C171" s="1676"/>
      <c r="D171" s="347"/>
      <c r="K171" s="1168"/>
      <c r="L171" s="1676"/>
      <c r="M171" s="1676"/>
      <c r="N171" s="1168"/>
      <c r="O171" s="1168"/>
      <c r="P171" s="1168"/>
      <c r="Q171" s="1168"/>
      <c r="R171" s="1676"/>
      <c r="S171" s="1168"/>
      <c r="T171" s="1168"/>
      <c r="U171" s="550"/>
      <c r="V171" s="1168"/>
      <c r="W171" s="1168"/>
      <c r="X171" s="1168"/>
      <c r="Y171" s="1168"/>
      <c r="Z171" s="1168"/>
      <c r="AA171" s="1672"/>
      <c r="AB171" s="572"/>
      <c r="AC171" s="572"/>
      <c r="AD171" s="572"/>
      <c r="AE171" s="572"/>
    </row>
    <row s="3878" customFormat="1" customHeight="1" ht="11.25">
      <c r="A172" s="994"/>
      <c r="B172" s="1676"/>
      <c r="C172" s="1676"/>
      <c r="D172" s="347"/>
      <c r="K172" s="1168"/>
      <c r="L172" s="1676"/>
      <c r="M172" s="1676"/>
      <c r="N172" s="1168"/>
      <c r="O172" s="1168"/>
      <c r="P172" s="1168"/>
      <c r="Q172" s="1168"/>
      <c r="R172" s="1676"/>
      <c r="S172" s="1168"/>
      <c r="T172" s="1168"/>
      <c r="U172" s="550"/>
      <c r="V172" s="1168"/>
      <c r="W172" s="1168"/>
      <c r="X172" s="1168"/>
      <c r="Y172" s="1168"/>
      <c r="Z172" s="1168"/>
      <c r="AA172" s="1672"/>
      <c r="AB172" s="572"/>
      <c r="AC172" s="572"/>
      <c r="AD172" s="572"/>
      <c r="AE172" s="572"/>
    </row>
    <row s="3878" customFormat="1" customHeight="1" ht="11.25">
      <c r="A173" s="994"/>
      <c r="B173" s="1676"/>
      <c r="C173" s="1676"/>
      <c r="D173" s="347"/>
      <c r="K173" s="1168"/>
      <c r="L173" s="1676"/>
      <c r="M173" s="1676"/>
      <c r="N173" s="1168"/>
      <c r="O173" s="1168"/>
      <c r="P173" s="1168"/>
      <c r="Q173" s="1168"/>
      <c r="R173" s="1676"/>
      <c r="S173" s="1168"/>
      <c r="T173" s="1168"/>
      <c r="U173" s="550"/>
      <c r="V173" s="1168"/>
      <c r="W173" s="1168"/>
      <c r="X173" s="1168"/>
      <c r="Y173" s="1168"/>
      <c r="Z173" s="1168"/>
      <c r="AA173" s="1672"/>
      <c r="AB173" s="572"/>
      <c r="AC173" s="572"/>
      <c r="AD173" s="572"/>
      <c r="AE173" s="572"/>
    </row>
    <row s="3878" customFormat="1" customHeight="1" ht="11.25">
      <c r="A174" s="994"/>
      <c r="B174" s="1676"/>
      <c r="C174" s="1676"/>
      <c r="D174" s="347"/>
      <c r="K174" s="1168"/>
      <c r="L174" s="1676"/>
      <c r="M174" s="1676"/>
      <c r="N174" s="1168"/>
      <c r="O174" s="1168"/>
      <c r="P174" s="1168"/>
      <c r="Q174" s="1168"/>
      <c r="R174" s="1676"/>
      <c r="S174" s="1168"/>
      <c r="T174" s="1168"/>
      <c r="U174" s="550"/>
      <c r="V174" s="1168"/>
      <c r="W174" s="1168"/>
      <c r="X174" s="1168"/>
      <c r="Y174" s="1168"/>
      <c r="Z174" s="1168"/>
      <c r="AA174" s="1672"/>
      <c r="AB174" s="572"/>
      <c r="AC174" s="572"/>
      <c r="AD174" s="572"/>
      <c r="AE174" s="572"/>
    </row>
    <row s="3878" customFormat="1" customHeight="1" ht="11.25">
      <c r="A175" s="994"/>
      <c r="B175" s="1676"/>
      <c r="C175" s="1676"/>
      <c r="D175" s="347"/>
      <c r="K175" s="1168"/>
      <c r="L175" s="1676"/>
      <c r="M175" s="1676"/>
      <c r="N175" s="1168"/>
      <c r="O175" s="1168"/>
      <c r="P175" s="1168"/>
      <c r="Q175" s="1168"/>
      <c r="R175" s="1676"/>
      <c r="S175" s="1168"/>
      <c r="T175" s="1168"/>
      <c r="U175" s="550"/>
      <c r="V175" s="1168"/>
      <c r="W175" s="1168"/>
      <c r="X175" s="1168"/>
      <c r="Y175" s="1168"/>
      <c r="Z175" s="1168"/>
      <c r="AA175" s="1672"/>
      <c r="AB175" s="572"/>
      <c r="AC175" s="572"/>
      <c r="AD175" s="572"/>
      <c r="AE175" s="572"/>
    </row>
    <row s="3878" customFormat="1" customHeight="1" ht="11.25">
      <c r="A176" s="994"/>
      <c r="B176" s="1676"/>
      <c r="C176" s="1676"/>
      <c r="D176" s="347"/>
      <c r="K176" s="1168"/>
      <c r="L176" s="1676"/>
      <c r="M176" s="1676"/>
      <c r="N176" s="1168"/>
      <c r="O176" s="1168"/>
      <c r="P176" s="1168"/>
      <c r="Q176" s="1168"/>
      <c r="R176" s="1676"/>
      <c r="S176" s="1168"/>
      <c r="T176" s="1168"/>
      <c r="U176" s="550"/>
      <c r="V176" s="1168"/>
      <c r="W176" s="1168"/>
      <c r="X176" s="1168"/>
      <c r="Y176" s="1168"/>
      <c r="Z176" s="1168"/>
      <c r="AA176" s="1672"/>
      <c r="AB176" s="572"/>
      <c r="AC176" s="572"/>
      <c r="AD176" s="572"/>
      <c r="AE176" s="572"/>
    </row>
    <row s="3878" customFormat="1" customHeight="1" ht="11.25">
      <c r="A177" s="994"/>
      <c r="B177" s="1676"/>
      <c r="C177" s="1676"/>
      <c r="D177" s="347"/>
      <c r="K177" s="1168"/>
      <c r="L177" s="1676"/>
      <c r="M177" s="1676"/>
      <c r="N177" s="1168"/>
      <c r="O177" s="1168"/>
      <c r="P177" s="1168"/>
      <c r="Q177" s="1168"/>
      <c r="R177" s="1676"/>
      <c r="S177" s="1168"/>
      <c r="T177" s="1168"/>
      <c r="U177" s="550"/>
      <c r="V177" s="1168"/>
      <c r="W177" s="1168"/>
      <c r="X177" s="1168"/>
      <c r="Y177" s="1168"/>
      <c r="Z177" s="1168"/>
      <c r="AA177" s="1672"/>
      <c r="AB177" s="572"/>
      <c r="AC177" s="572"/>
      <c r="AD177" s="572"/>
      <c r="AE177" s="572"/>
    </row>
    <row s="3878" customFormat="1" customHeight="1" ht="11.25">
      <c r="A178" s="994"/>
      <c r="B178" s="1676"/>
      <c r="C178" s="1676"/>
      <c r="D178" s="347"/>
      <c r="K178" s="1168"/>
      <c r="L178" s="1676"/>
      <c r="M178" s="1676"/>
      <c r="N178" s="1168"/>
      <c r="O178" s="1168"/>
      <c r="P178" s="1168"/>
      <c r="Q178" s="1168"/>
      <c r="R178" s="1676"/>
      <c r="S178" s="1168"/>
      <c r="T178" s="1168"/>
      <c r="U178" s="550"/>
      <c r="V178" s="1168"/>
      <c r="W178" s="1168"/>
      <c r="X178" s="1168"/>
      <c r="Y178" s="1168"/>
      <c r="Z178" s="1168"/>
      <c r="AA178" s="1672"/>
      <c r="AB178" s="572"/>
      <c r="AC178" s="572"/>
      <c r="AD178" s="572"/>
      <c r="AE178" s="572"/>
    </row>
    <row s="3878" customFormat="1" customHeight="1" ht="11.25">
      <c r="A179" s="994"/>
      <c r="B179" s="1676"/>
      <c r="C179" s="1676"/>
      <c r="D179" s="347"/>
      <c r="K179" s="1168"/>
      <c r="L179" s="1676"/>
      <c r="M179" s="1676"/>
      <c r="N179" s="1168"/>
      <c r="O179" s="1168"/>
      <c r="P179" s="1168"/>
      <c r="Q179" s="1168"/>
      <c r="R179" s="1676"/>
      <c r="S179" s="1168"/>
      <c r="T179" s="1168"/>
      <c r="U179" s="550"/>
      <c r="V179" s="1168"/>
      <c r="W179" s="1168"/>
      <c r="X179" s="1168"/>
      <c r="Y179" s="1168"/>
      <c r="Z179" s="1168"/>
      <c r="AA179" s="1672"/>
      <c r="AB179" s="572"/>
      <c r="AC179" s="572"/>
      <c r="AD179" s="572"/>
      <c r="AE179" s="572"/>
    </row>
    <row s="3878" customFormat="1" customHeight="1" ht="11.25">
      <c r="A180" s="994"/>
      <c r="B180" s="1676"/>
      <c r="C180" s="1676"/>
      <c r="D180" s="347"/>
      <c r="K180" s="1168"/>
      <c r="L180" s="1676"/>
      <c r="M180" s="1676"/>
      <c r="N180" s="1168"/>
      <c r="O180" s="1168"/>
      <c r="P180" s="1168"/>
      <c r="Q180" s="1168"/>
      <c r="R180" s="1676"/>
      <c r="S180" s="1168"/>
      <c r="T180" s="1168"/>
      <c r="U180" s="550"/>
      <c r="V180" s="1168"/>
      <c r="W180" s="1168"/>
      <c r="X180" s="1168"/>
      <c r="Y180" s="1168"/>
      <c r="Z180" s="1168"/>
      <c r="AA180" s="1672"/>
      <c r="AB180" s="572"/>
      <c r="AC180" s="572"/>
      <c r="AD180" s="572"/>
      <c r="AE180" s="572"/>
    </row>
    <row s="3878" customFormat="1" customHeight="1" ht="11.25">
      <c r="A181" s="994"/>
      <c r="B181" s="1676"/>
      <c r="C181" s="1676"/>
      <c r="D181" s="347"/>
      <c r="K181" s="1168"/>
      <c r="L181" s="1676"/>
      <c r="M181" s="1676"/>
      <c r="N181" s="1168"/>
      <c r="O181" s="1168"/>
      <c r="P181" s="1168"/>
      <c r="Q181" s="1168"/>
      <c r="R181" s="1676"/>
      <c r="S181" s="1168"/>
      <c r="T181" s="1168"/>
      <c r="U181" s="550"/>
      <c r="V181" s="1168"/>
      <c r="W181" s="1168"/>
      <c r="X181" s="1168"/>
      <c r="Y181" s="1168"/>
      <c r="Z181" s="1168"/>
      <c r="AA181" s="1672"/>
      <c r="AB181" s="572"/>
      <c r="AC181" s="572"/>
      <c r="AD181" s="572"/>
      <c r="AE181" s="572"/>
    </row>
    <row s="3878" customFormat="1" customHeight="1" ht="11.25">
      <c r="A182" s="994"/>
      <c r="B182" s="1676"/>
      <c r="C182" s="1676"/>
      <c r="D182" s="347"/>
      <c r="K182" s="1168"/>
      <c r="L182" s="1676"/>
      <c r="M182" s="1676"/>
      <c r="N182" s="1168"/>
      <c r="O182" s="1168"/>
      <c r="P182" s="1168"/>
      <c r="Q182" s="1168"/>
      <c r="R182" s="1676"/>
      <c r="S182" s="1168"/>
      <c r="T182" s="1168"/>
      <c r="U182" s="550"/>
      <c r="V182" s="1168"/>
      <c r="W182" s="1168"/>
      <c r="X182" s="1168"/>
      <c r="Y182" s="1168"/>
      <c r="Z182" s="1168"/>
      <c r="AA182" s="1672"/>
      <c r="AB182" s="572"/>
      <c r="AC182" s="572"/>
      <c r="AD182" s="572"/>
      <c r="AE182" s="572"/>
    </row>
    <row s="3878" customFormat="1" customHeight="1" ht="11.25">
      <c r="A183" s="994"/>
      <c r="B183" s="1676"/>
      <c r="C183" s="1676"/>
      <c r="D183" s="347"/>
      <c r="K183" s="1168"/>
      <c r="L183" s="1676"/>
      <c r="M183" s="1676"/>
      <c r="N183" s="1168"/>
      <c r="O183" s="1168"/>
      <c r="P183" s="1168"/>
      <c r="Q183" s="1168"/>
      <c r="R183" s="1676"/>
      <c r="S183" s="1168"/>
      <c r="T183" s="1168"/>
      <c r="U183" s="550"/>
      <c r="V183" s="1168"/>
      <c r="W183" s="1168"/>
      <c r="X183" s="1168"/>
      <c r="Y183" s="1168"/>
      <c r="Z183" s="1168"/>
      <c r="AA183" s="1672"/>
      <c r="AB183" s="572"/>
      <c r="AC183" s="572"/>
      <c r="AD183" s="572"/>
      <c r="AE183" s="572"/>
    </row>
    <row s="3878" customFormat="1" customHeight="1" ht="11.25">
      <c r="A184" s="994"/>
      <c r="B184" s="1676"/>
      <c r="C184" s="1676"/>
      <c r="D184" s="347"/>
      <c r="K184" s="1168"/>
      <c r="L184" s="1676"/>
      <c r="M184" s="1676"/>
      <c r="N184" s="1168"/>
      <c r="O184" s="1168"/>
      <c r="P184" s="1168"/>
      <c r="Q184" s="1168"/>
      <c r="R184" s="1676"/>
      <c r="S184" s="1168"/>
      <c r="T184" s="1168"/>
      <c r="U184" s="550"/>
      <c r="V184" s="1168"/>
      <c r="W184" s="1168"/>
      <c r="X184" s="1168"/>
      <c r="Y184" s="1168"/>
      <c r="Z184" s="1168"/>
      <c r="AA184" s="1672"/>
      <c r="AB184" s="572"/>
      <c r="AC184" s="572"/>
      <c r="AD184" s="572"/>
      <c r="AE184" s="572"/>
    </row>
    <row s="3878" customFormat="1" customHeight="1" ht="11.25">
      <c r="A185" s="994"/>
      <c r="B185" s="1676"/>
      <c r="C185" s="1676"/>
      <c r="D185" s="347"/>
      <c r="K185" s="1168"/>
      <c r="L185" s="1676"/>
      <c r="M185" s="1676"/>
      <c r="N185" s="1168"/>
      <c r="O185" s="1168"/>
      <c r="P185" s="1168"/>
      <c r="Q185" s="1168"/>
      <c r="R185" s="1676"/>
      <c r="S185" s="1168"/>
      <c r="T185" s="1168"/>
      <c r="U185" s="550"/>
      <c r="V185" s="1168"/>
      <c r="W185" s="1168"/>
      <c r="X185" s="1168"/>
      <c r="Y185" s="1168"/>
      <c r="Z185" s="1168"/>
      <c r="AA185" s="1672"/>
      <c r="AB185" s="572"/>
      <c r="AC185" s="572"/>
      <c r="AD185" s="572"/>
      <c r="AE185" s="572"/>
    </row>
    <row s="3878" customFormat="1" customHeight="1" ht="11.25">
      <c r="A186" s="994"/>
      <c r="B186" s="1676"/>
      <c r="C186" s="1676"/>
      <c r="D186" s="347"/>
      <c r="K186" s="1168"/>
      <c r="L186" s="1676"/>
      <c r="M186" s="1676"/>
      <c r="N186" s="1168"/>
      <c r="O186" s="1168"/>
      <c r="P186" s="1168"/>
      <c r="Q186" s="1168"/>
      <c r="R186" s="1676"/>
      <c r="S186" s="1168"/>
      <c r="T186" s="1168"/>
      <c r="U186" s="550"/>
      <c r="V186" s="1168"/>
      <c r="W186" s="1168"/>
      <c r="X186" s="1168"/>
      <c r="Y186" s="1168"/>
      <c r="Z186" s="1168"/>
      <c r="AA186" s="1672"/>
      <c r="AB186" s="572"/>
      <c r="AC186" s="572"/>
      <c r="AD186" s="572"/>
      <c r="AE186" s="572"/>
    </row>
    <row s="3878" customFormat="1" customHeight="1" ht="11.25">
      <c r="A187" s="994"/>
      <c r="B187" s="1676"/>
      <c r="C187" s="1676"/>
      <c r="D187" s="347"/>
      <c r="K187" s="1168"/>
      <c r="L187" s="1676"/>
      <c r="M187" s="1676"/>
      <c r="N187" s="1168"/>
      <c r="O187" s="1168"/>
      <c r="P187" s="1168"/>
      <c r="Q187" s="1168"/>
      <c r="R187" s="1676"/>
      <c r="S187" s="1168"/>
      <c r="T187" s="1168"/>
      <c r="U187" s="550"/>
      <c r="V187" s="1168"/>
      <c r="W187" s="1168"/>
      <c r="X187" s="1168"/>
      <c r="Y187" s="1168"/>
      <c r="Z187" s="1168"/>
      <c r="AA187" s="1672"/>
      <c r="AB187" s="572"/>
      <c r="AC187" s="572"/>
      <c r="AD187" s="572"/>
      <c r="AE187" s="572"/>
    </row>
    <row s="3878" customFormat="1" customHeight="1" ht="11.25">
      <c r="A188" s="994"/>
      <c r="B188" s="1676"/>
      <c r="C188" s="1676"/>
      <c r="D188" s="347"/>
      <c r="K188" s="1168"/>
      <c r="L188" s="1676"/>
      <c r="M188" s="1676"/>
      <c r="N188" s="1168"/>
      <c r="O188" s="1168"/>
      <c r="P188" s="1168"/>
      <c r="Q188" s="1168"/>
      <c r="R188" s="1676"/>
      <c r="S188" s="1168"/>
      <c r="T188" s="1168"/>
      <c r="U188" s="550"/>
      <c r="V188" s="1168"/>
      <c r="W188" s="1168"/>
      <c r="X188" s="1168"/>
      <c r="Y188" s="1168"/>
      <c r="Z188" s="1168"/>
      <c r="AA188" s="1672"/>
      <c r="AB188" s="572"/>
      <c r="AC188" s="572"/>
      <c r="AD188" s="572"/>
      <c r="AE188" s="572"/>
    </row>
    <row s="3878" customFormat="1" customHeight="1" ht="11.25">
      <c r="A189" s="994"/>
      <c r="B189" s="1676"/>
      <c r="C189" s="1676"/>
      <c r="D189" s="347"/>
      <c r="K189" s="1168"/>
      <c r="L189" s="1676"/>
      <c r="M189" s="1676"/>
      <c r="N189" s="1168"/>
      <c r="O189" s="1168"/>
      <c r="P189" s="1168"/>
      <c r="Q189" s="1168"/>
      <c r="R189" s="1676"/>
      <c r="S189" s="1168"/>
      <c r="T189" s="1168"/>
      <c r="U189" s="550"/>
      <c r="V189" s="1168"/>
      <c r="W189" s="1168"/>
      <c r="X189" s="1168"/>
      <c r="Y189" s="1168"/>
      <c r="Z189" s="1168"/>
      <c r="AA189" s="1672"/>
      <c r="AB189" s="572"/>
      <c r="AC189" s="572"/>
      <c r="AD189" s="572"/>
      <c r="AE189" s="572"/>
    </row>
    <row s="3878" customFormat="1" customHeight="1" ht="11.25">
      <c r="A190" s="994"/>
      <c r="B190" s="1676"/>
      <c r="C190" s="1676"/>
      <c r="D190" s="347"/>
      <c r="K190" s="1168"/>
      <c r="L190" s="1676"/>
      <c r="M190" s="1676"/>
      <c r="N190" s="1168"/>
      <c r="O190" s="1168"/>
      <c r="P190" s="1168"/>
      <c r="Q190" s="1168"/>
      <c r="R190" s="1676"/>
      <c r="S190" s="1168"/>
      <c r="T190" s="1168"/>
      <c r="U190" s="550"/>
      <c r="V190" s="1168"/>
      <c r="W190" s="1168"/>
      <c r="X190" s="1168"/>
      <c r="Y190" s="1168"/>
      <c r="Z190" s="1168"/>
      <c r="AA190" s="1672"/>
      <c r="AB190" s="572"/>
      <c r="AC190" s="572"/>
      <c r="AD190" s="572"/>
      <c r="AE190" s="572"/>
    </row>
    <row s="3878" customFormat="1" customHeight="1" ht="11.25">
      <c r="A191" s="994"/>
      <c r="B191" s="1676"/>
      <c r="C191" s="1676"/>
      <c r="D191" s="347"/>
      <c r="K191" s="1168"/>
      <c r="L191" s="1676"/>
      <c r="M191" s="1676"/>
      <c r="N191" s="1168"/>
      <c r="O191" s="1168"/>
      <c r="P191" s="1168"/>
      <c r="Q191" s="1168"/>
      <c r="R191" s="1676"/>
      <c r="S191" s="1168"/>
      <c r="T191" s="1168"/>
      <c r="U191" s="550"/>
      <c r="V191" s="1168"/>
      <c r="W191" s="1168"/>
      <c r="X191" s="1168"/>
      <c r="Y191" s="1168"/>
      <c r="Z191" s="1168"/>
      <c r="AA191" s="1672"/>
      <c r="AB191" s="572"/>
      <c r="AC191" s="572"/>
      <c r="AD191" s="572"/>
      <c r="AE191" s="572"/>
    </row>
    <row s="3878" customFormat="1" customHeight="1" ht="11.25">
      <c r="A192" s="994"/>
      <c r="B192" s="1676"/>
      <c r="C192" s="1676"/>
      <c r="D192" s="347"/>
      <c r="K192" s="1168"/>
      <c r="L192" s="1676"/>
      <c r="M192" s="1676"/>
      <c r="N192" s="1168"/>
      <c r="O192" s="1168"/>
      <c r="P192" s="1168"/>
      <c r="Q192" s="1168"/>
      <c r="R192" s="1676"/>
      <c r="S192" s="1168"/>
      <c r="T192" s="1168"/>
      <c r="U192" s="550"/>
      <c r="V192" s="1168"/>
      <c r="W192" s="1168"/>
      <c r="X192" s="1168"/>
      <c r="Y192" s="1168"/>
      <c r="Z192" s="1168"/>
      <c r="AA192" s="1672"/>
      <c r="AB192" s="572"/>
      <c r="AC192" s="572"/>
      <c r="AD192" s="572"/>
      <c r="AE192" s="572"/>
    </row>
    <row s="3878" customFormat="1" customHeight="1" ht="11.25">
      <c r="A193" s="994"/>
      <c r="B193" s="1676"/>
      <c r="C193" s="1676"/>
      <c r="D193" s="347"/>
      <c r="K193" s="1168"/>
      <c r="L193" s="1676"/>
      <c r="M193" s="1676"/>
      <c r="N193" s="1168"/>
      <c r="O193" s="1168"/>
      <c r="P193" s="1168"/>
      <c r="Q193" s="1168"/>
      <c r="R193" s="1676"/>
      <c r="S193" s="1168"/>
      <c r="T193" s="1168"/>
      <c r="U193" s="550"/>
      <c r="V193" s="1168"/>
      <c r="W193" s="1168"/>
      <c r="X193" s="1168"/>
      <c r="Y193" s="1168"/>
      <c r="Z193" s="1168"/>
      <c r="AA193" s="1672"/>
      <c r="AB193" s="572"/>
      <c r="AC193" s="572"/>
      <c r="AD193" s="572"/>
      <c r="AE193" s="572"/>
    </row>
    <row s="3878" customFormat="1" customHeight="1" ht="11.25">
      <c r="A194" s="994"/>
      <c r="B194" s="1676"/>
      <c r="C194" s="1676"/>
      <c r="D194" s="347"/>
      <c r="K194" s="1168"/>
      <c r="L194" s="1676"/>
      <c r="M194" s="1676"/>
      <c r="N194" s="1168"/>
      <c r="O194" s="1168"/>
      <c r="P194" s="1168"/>
      <c r="Q194" s="1168"/>
      <c r="R194" s="1676"/>
      <c r="S194" s="1168"/>
      <c r="T194" s="1168"/>
      <c r="U194" s="550"/>
      <c r="V194" s="1168"/>
      <c r="W194" s="1168"/>
      <c r="X194" s="1168"/>
      <c r="Y194" s="1168"/>
      <c r="Z194" s="1168"/>
      <c r="AA194" s="1672"/>
      <c r="AB194" s="572"/>
      <c r="AC194" s="572"/>
      <c r="AD194" s="572"/>
      <c r="AE194" s="572"/>
    </row>
    <row s="3878" customFormat="1" customHeight="1" ht="11.25">
      <c r="A195" s="994"/>
      <c r="B195" s="1676"/>
      <c r="C195" s="1676"/>
      <c r="D195" s="347"/>
      <c r="K195" s="1168"/>
      <c r="L195" s="1676"/>
      <c r="M195" s="1676"/>
      <c r="N195" s="1168"/>
      <c r="O195" s="1168"/>
      <c r="P195" s="1168"/>
      <c r="Q195" s="1168"/>
      <c r="R195" s="1676"/>
      <c r="S195" s="1168"/>
      <c r="T195" s="1168"/>
      <c r="U195" s="550"/>
      <c r="V195" s="1168"/>
      <c r="W195" s="1168"/>
      <c r="X195" s="1168"/>
      <c r="Y195" s="1168"/>
      <c r="Z195" s="1168"/>
      <c r="AA195" s="1672"/>
      <c r="AB195" s="572"/>
      <c r="AC195" s="572"/>
      <c r="AD195" s="572"/>
      <c r="AE195" s="572"/>
    </row>
    <row r="199" customHeight="1" ht="11.25">
      <c r="A199" s="997"/>
      <c r="B199" s="1671"/>
      <c r="D199" s="1671"/>
      <c r="K199" s="1671"/>
      <c r="N199" s="1671"/>
      <c r="O199" s="1671"/>
      <c r="P199" s="1671"/>
      <c r="Q199" s="1671"/>
      <c r="S199" s="1671"/>
      <c r="T199" s="1671"/>
      <c r="U199" s="1671"/>
      <c r="V199" s="1671"/>
      <c r="W199" s="1671"/>
      <c r="X199" s="1671"/>
      <c r="Y199" s="1671"/>
      <c r="Z199" s="1671"/>
      <c r="AA199" s="1671"/>
      <c r="AB199" s="1671"/>
      <c r="AC199" s="1671"/>
      <c r="AD199" s="1671"/>
      <c r="AE199" s="1671"/>
    </row>
    <row customHeight="1" ht="11.25">
      <c r="A200" s="997"/>
      <c r="B200" s="1671"/>
      <c r="D200" s="1671"/>
      <c r="K200" s="1671"/>
      <c r="N200" s="1671"/>
      <c r="O200" s="1671"/>
      <c r="P200" s="1671"/>
      <c r="Q200" s="1671"/>
      <c r="S200" s="1671"/>
      <c r="T200" s="1671"/>
      <c r="U200" s="1671"/>
      <c r="V200" s="1671"/>
      <c r="W200" s="1671"/>
      <c r="X200" s="1671"/>
      <c r="Y200" s="1671"/>
      <c r="Z200" s="1671"/>
      <c r="AA200" s="1671"/>
      <c r="AB200" s="1671"/>
      <c r="AC200" s="1671"/>
      <c r="AD200" s="1671"/>
      <c r="AE200" s="1671"/>
    </row>
    <row customHeight="1" ht="11.25">
      <c r="A201" s="997"/>
      <c r="B201" s="1671"/>
      <c r="D201" s="1671"/>
      <c r="K201" s="1671"/>
      <c r="N201" s="1671"/>
      <c r="O201" s="1671"/>
      <c r="P201" s="1671"/>
      <c r="Q201" s="1671"/>
      <c r="S201" s="1671"/>
      <c r="T201" s="1671"/>
      <c r="U201" s="1671"/>
      <c r="V201" s="1671"/>
      <c r="W201" s="1671"/>
      <c r="X201" s="1671"/>
      <c r="Y201" s="1671"/>
      <c r="Z201" s="1671"/>
      <c r="AA201" s="1671"/>
      <c r="AB201" s="1671"/>
      <c r="AC201" s="1671"/>
      <c r="AD201" s="1671"/>
      <c r="AE201" s="1671"/>
    </row>
    <row customHeight="1" ht="11.25">
      <c r="A202" s="997"/>
      <c r="B202" s="1671"/>
      <c r="D202" s="1671"/>
      <c r="K202" s="1671"/>
      <c r="N202" s="1671"/>
      <c r="O202" s="1671"/>
      <c r="P202" s="1671"/>
      <c r="Q202" s="1671"/>
      <c r="S202" s="1671"/>
      <c r="T202" s="1671"/>
      <c r="U202" s="1671"/>
      <c r="V202" s="1671"/>
      <c r="W202" s="1671"/>
      <c r="X202" s="1671"/>
      <c r="Y202" s="1671"/>
      <c r="Z202" s="1671"/>
      <c r="AA202" s="1671"/>
      <c r="AB202" s="1671"/>
      <c r="AC202" s="1671"/>
      <c r="AD202" s="1671"/>
      <c r="AE202" s="1671"/>
    </row>
    <row customHeight="1" ht="11.25">
      <c r="A203" s="997"/>
      <c r="B203" s="1671"/>
      <c r="D203" s="1671"/>
      <c r="K203" s="1671"/>
      <c r="N203" s="1671"/>
      <c r="O203" s="1671"/>
      <c r="P203" s="1671"/>
      <c r="Q203" s="1671"/>
      <c r="S203" s="1671"/>
      <c r="T203" s="1671"/>
      <c r="U203" s="1671"/>
      <c r="V203" s="1671"/>
      <c r="W203" s="1671"/>
      <c r="X203" s="1671"/>
      <c r="Y203" s="1671"/>
      <c r="Z203" s="1671"/>
      <c r="AA203" s="1671"/>
      <c r="AB203" s="1671"/>
      <c r="AC203" s="1671"/>
      <c r="AD203" s="1671"/>
      <c r="AE203" s="1671"/>
    </row>
    <row customHeight="1" ht="11.25">
      <c r="A204" s="997"/>
      <c r="B204" s="1671"/>
      <c r="D204" s="1671"/>
      <c r="K204" s="1671"/>
      <c r="N204" s="1671"/>
      <c r="O204" s="1671"/>
      <c r="P204" s="1671"/>
      <c r="Q204" s="1671"/>
      <c r="S204" s="1671"/>
      <c r="T204" s="1671"/>
      <c r="U204" s="1671"/>
      <c r="V204" s="1671"/>
      <c r="W204" s="1671"/>
      <c r="X204" s="1671"/>
      <c r="Y204" s="1671"/>
      <c r="Z204" s="1671"/>
      <c r="AA204" s="1671"/>
      <c r="AB204" s="1671"/>
      <c r="AC204" s="1671"/>
      <c r="AD204" s="1671"/>
      <c r="AE204" s="1671"/>
    </row>
    <row customHeight="1" ht="11.25">
      <c r="A205" s="997"/>
      <c r="B205" s="1671"/>
      <c r="D205" s="1671"/>
      <c r="K205" s="1671"/>
      <c r="N205" s="1671"/>
      <c r="O205" s="1671"/>
      <c r="P205" s="1671"/>
      <c r="Q205" s="1671"/>
      <c r="S205" s="1671"/>
      <c r="T205" s="1671"/>
      <c r="U205" s="1671"/>
      <c r="V205" s="1671"/>
      <c r="W205" s="1671"/>
      <c r="X205" s="1671"/>
      <c r="Y205" s="1671"/>
      <c r="Z205" s="1671"/>
      <c r="AA205" s="1671"/>
      <c r="AB205" s="1671"/>
      <c r="AC205" s="1671"/>
      <c r="AD205" s="1671"/>
      <c r="AE205" s="1671"/>
    </row>
    <row customHeight="1" ht="11.25">
      <c r="A206" s="997"/>
      <c r="B206" s="1671"/>
      <c r="D206" s="1671"/>
      <c r="K206" s="1671"/>
      <c r="N206" s="1671"/>
      <c r="O206" s="1671"/>
      <c r="P206" s="1671"/>
      <c r="Q206" s="1671"/>
      <c r="S206" s="1671"/>
      <c r="T206" s="1671"/>
      <c r="U206" s="1671"/>
      <c r="V206" s="1671"/>
      <c r="W206" s="1671"/>
      <c r="X206" s="1671"/>
      <c r="Y206" s="1671"/>
      <c r="Z206" s="1671"/>
      <c r="AA206" s="1671"/>
      <c r="AB206" s="1671"/>
      <c r="AC206" s="1671"/>
      <c r="AD206" s="1671"/>
      <c r="AE206" s="1671"/>
    </row>
    <row customHeight="1" ht="11.25">
      <c r="A207" s="997"/>
      <c r="B207" s="1671"/>
      <c r="D207" s="1671"/>
      <c r="K207" s="1671"/>
      <c r="N207" s="1671"/>
      <c r="O207" s="1671"/>
      <c r="P207" s="1671"/>
      <c r="Q207" s="1671"/>
      <c r="S207" s="1671"/>
      <c r="T207" s="1671"/>
      <c r="U207" s="1671"/>
      <c r="V207" s="1671"/>
      <c r="W207" s="1671"/>
      <c r="X207" s="1671"/>
      <c r="Y207" s="1671"/>
      <c r="Z207" s="1671"/>
      <c r="AA207" s="1671"/>
      <c r="AB207" s="1671"/>
      <c r="AC207" s="1671"/>
      <c r="AD207" s="1671"/>
      <c r="AE207" s="1671"/>
    </row>
    <row customHeight="1" ht="11.25">
      <c r="A208" s="997"/>
      <c r="B208" s="1671"/>
      <c r="D208" s="1671"/>
      <c r="K208" s="1671"/>
      <c r="N208" s="1671"/>
      <c r="O208" s="1671"/>
      <c r="P208" s="1671"/>
      <c r="Q208" s="1671"/>
      <c r="S208" s="1671"/>
      <c r="T208" s="1671"/>
      <c r="U208" s="1671"/>
      <c r="V208" s="1671"/>
      <c r="W208" s="1671"/>
      <c r="X208" s="1671"/>
      <c r="Y208" s="1671"/>
      <c r="Z208" s="1671"/>
      <c r="AA208" s="1671"/>
      <c r="AB208" s="1671"/>
      <c r="AC208" s="1671"/>
      <c r="AD208" s="1671"/>
      <c r="AE208" s="1671"/>
    </row>
    <row customHeight="1" ht="11.25">
      <c r="A209" s="997"/>
      <c r="B209" s="1671"/>
      <c r="D209" s="1671"/>
      <c r="K209" s="1671"/>
      <c r="N209" s="1671"/>
      <c r="O209" s="1671"/>
      <c r="P209" s="1671"/>
      <c r="Q209" s="1671"/>
      <c r="S209" s="1671"/>
      <c r="T209" s="1671"/>
      <c r="U209" s="1671"/>
      <c r="V209" s="1671"/>
      <c r="W209" s="1671"/>
      <c r="X209" s="1671"/>
      <c r="Y209" s="1671"/>
      <c r="Z209" s="1671"/>
      <c r="AA209" s="1671"/>
      <c r="AB209" s="1671"/>
      <c r="AC209" s="1671"/>
      <c r="AD209" s="1671"/>
      <c r="AE209" s="1671"/>
    </row>
  </sheetData>
  <sheetProtection formatColumns="0" formatRows="0" autoFilter="0" sort="0" insertRows="0" insertColumns="1" deleteRows="0" deleteColumns="0"/>
  <mergeCells count="9">
    <mergeCell ref="F39:J39"/>
    <mergeCell ref="F40:J40"/>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FB0A561-50A1-170F-DC5C-FF8E41B96C0C}" mc:Ignorable="x14ac xr xr2 xr3">
  <sheetPr>
    <tabColor theme="9" tint="-0.25"/>
  </sheetPr>
  <dimension ref="A1:W101"/>
  <sheetViews>
    <sheetView topLeftCell="A1" showGridLines="0" zoomScale="90" workbookViewId="0">
      <selection activeCell="A1" sqref="A1"/>
    </sheetView>
  </sheetViews>
  <sheetFormatPr defaultColWidth="10.57421875" customHeight="1" defaultRowHeight="11.25"/>
  <cols>
    <col min="1" max="1" style="4053" width="9.140625" hidden="1" customWidth="1"/>
    <col min="2" max="2" style="2611" width="3.57421875" hidden="1" customWidth="1"/>
    <col min="3" max="3" style="3153" width="3.7109375" customWidth="1"/>
    <col min="4" max="4" style="3153" width="7.7109375" customWidth="1"/>
    <col min="5" max="5" style="3153" width="69.8515625" customWidth="1"/>
    <col min="6" max="6" style="3153" width="11.140625" customWidth="1"/>
    <col min="7" max="8" style="3153" width="44.00390625" hidden="1" customWidth="1"/>
    <col min="9" max="10" style="2623" width="44.00390625" customWidth="1"/>
    <col min="11" max="11" style="3153" width="74.00390625" customWidth="1"/>
    <col min="12" max="12" style="3153" width="3.7109375" customWidth="1"/>
    <col min="13" max="23" style="3153" width="10.57421875"/>
  </cols>
  <sheetData>
    <row s="2624" customFormat="1" customHeight="1" ht="11.25" hidden="1">
      <c r="A1" s="542"/>
      <c r="B1" s="517"/>
      <c r="G1" s="423">
        <v>4</v>
      </c>
      <c r="I1" s="423">
        <v>4</v>
      </c>
      <c r="K1" s="423">
        <v>5</v>
      </c>
    </row>
    <row customHeight="1" ht="3"/>
    <row customHeight="1" ht="75">
      <c r="D3" s="2091"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092"/>
      <c r="F3" s="2093"/>
    </row>
    <row s="2623" customFormat="1" customHeight="1" ht="20.25">
      <c r="A4" s="958"/>
      <c r="B4" s="517"/>
      <c r="D4" s="2079" t="str">
        <f>IF(org=0,"Не определено",org)</f>
        <v>ЗАО "Байкалэнерго"</v>
      </c>
      <c r="E4" s="2080"/>
      <c r="F4" s="2081"/>
    </row>
    <row customHeight="1" ht="11.25">
      <c r="C5" s="515"/>
      <c r="D5" s="594"/>
      <c r="E5" s="594"/>
      <c r="F5" s="594"/>
      <c r="G5" s="594"/>
      <c r="H5" s="758"/>
      <c r="I5" s="594"/>
      <c r="J5" s="758"/>
      <c r="K5" s="594"/>
    </row>
    <row customHeight="1" ht="0.75">
      <c r="C6" s="515"/>
      <c r="D6" s="515"/>
      <c r="E6" s="528"/>
      <c r="F6" s="620"/>
      <c r="G6" s="1029"/>
      <c r="H6" s="1029"/>
      <c r="I6" s="1029" t="s">
        <v>118</v>
      </c>
      <c r="J6" s="1029"/>
    </row>
    <row customHeight="1" ht="11.25">
      <c r="D7" s="717"/>
      <c r="E7" s="2213" t="s">
        <v>106</v>
      </c>
      <c r="F7" s="2214"/>
      <c r="G7" s="2230" t="str">
        <f>IF(G6="","",INDEX(DIFFERENTIATION_UNMERGE_VD,MATCH(G6,DIFFERENTIATION_ID_DIFF,0)))</f>
        <v/>
      </c>
      <c r="H7" s="2231"/>
      <c r="I7" s="2230">
        <f>IF(I6="","",INDEX(DIFFERENTIATION_UNMERGE_VD,MATCH(I6,DIFFERENTIATION_ID_DIFF,0)))</f>
        <v>0</v>
      </c>
      <c r="J7" s="2231"/>
      <c r="K7" s="2028"/>
      <c r="L7" s="515"/>
    </row>
    <row customHeight="1" ht="11.25">
      <c r="A8" s="710"/>
      <c r="D8" s="717"/>
      <c r="E8" s="2213" t="s">
        <v>552</v>
      </c>
      <c r="F8" s="2214"/>
      <c r="G8" s="2230" t="str">
        <f>IF(G6="","",INDEX(DIFFERENTIATION_UNMERGE_AREA,MATCH(G6,DIFFERENTIATION_ID_DIFF,0)))</f>
        <v/>
      </c>
      <c r="H8" s="2231"/>
      <c r="I8" s="2230" t="str">
        <f>IF(I6="","",INDEX(DIFFERENTIATION_UNMERGE_AREA,MATCH(I6,DIFFERENTIATION_ID_DIFF,0)))</f>
        <v/>
      </c>
      <c r="J8" s="2231"/>
      <c r="K8" s="2036"/>
      <c r="L8" s="515"/>
    </row>
    <row customHeight="1" ht="11.25">
      <c r="A9" s="710"/>
      <c r="D9" s="717"/>
      <c r="E9" s="2213" t="s">
        <v>553</v>
      </c>
      <c r="F9" s="2214"/>
      <c r="G9" s="2230" t="str">
        <f>IF(G6="","",INDEX(DIFFERENTIATION_UNMERGE_SYSTEM,MATCH(G6,DIFFERENTIATION_ID_DIFF,0)))</f>
        <v/>
      </c>
      <c r="H9" s="2231"/>
      <c r="I9" s="2230" t="str">
        <f>IF(I6="","",INDEX(DIFFERENTIATION_UNMERGE_SYSTEM,MATCH(I6,DIFFERENTIATION_ID_DIFF,0)))</f>
        <v>без дифференциации</v>
      </c>
      <c r="J9" s="2231"/>
      <c r="K9" s="2036"/>
      <c r="L9" s="515"/>
    </row>
    <row s="2623" customFormat="1" customHeight="1" ht="11.25">
      <c r="A10" s="1028"/>
      <c r="B10" s="517"/>
      <c r="D10" s="1955" t="s">
        <v>293</v>
      </c>
      <c r="E10" s="1956"/>
      <c r="F10" s="1956"/>
      <c r="G10" s="1956"/>
      <c r="H10" s="1956"/>
      <c r="I10" s="1956"/>
      <c r="J10" s="1957"/>
      <c r="K10" s="2036"/>
      <c r="L10" s="515"/>
    </row>
    <row s="2627" customFormat="1" customHeight="1" ht="22.5">
      <c r="A11" s="2233"/>
      <c r="B11" s="2233"/>
      <c r="C11" s="663"/>
      <c r="D11" s="709" t="s">
        <v>88</v>
      </c>
      <c r="E11" s="711" t="s">
        <v>709</v>
      </c>
      <c r="F11" s="711" t="s">
        <v>554</v>
      </c>
      <c r="G11" s="471" t="s">
        <v>296</v>
      </c>
      <c r="H11" s="471" t="s">
        <v>385</v>
      </c>
      <c r="I11" s="813" t="s">
        <v>296</v>
      </c>
      <c r="J11" s="814" t="s">
        <v>385</v>
      </c>
      <c r="K11" s="2090"/>
      <c r="L11" s="664"/>
    </row>
    <row s="2611" customFormat="1" customHeight="1" ht="10.5">
      <c r="A12" s="959"/>
      <c r="D12" s="1032" t="s">
        <v>110</v>
      </c>
      <c r="E12" s="1032" t="s">
        <v>111</v>
      </c>
      <c r="F12" s="1032" t="s">
        <v>90</v>
      </c>
      <c r="G12" s="1033" t="str">
        <f>G1&amp;".1"</f>
        <v>4.1</v>
      </c>
      <c r="H12" s="1033" t="str">
        <f>G1&amp;".2"</f>
        <v>4.2</v>
      </c>
      <c r="I12" s="1033" t="str">
        <f>I1&amp;".1"</f>
        <v>4.1</v>
      </c>
      <c r="J12" s="1033" t="str">
        <f>I1&amp;".2"</f>
        <v>4.2</v>
      </c>
      <c r="K12" s="1033"/>
    </row>
    <row customHeight="1" ht="22.5">
      <c r="A13" s="2232" t="s">
        <v>710</v>
      </c>
      <c r="D13" s="960" t="s">
        <v>110</v>
      </c>
      <c r="E13" s="267" t="s">
        <v>711</v>
      </c>
      <c r="F13" s="666" t="s">
        <v>712</v>
      </c>
      <c r="G13" s="563"/>
      <c r="H13" s="667"/>
      <c r="I13" s="563"/>
      <c r="J13" s="667"/>
      <c r="K13" s="277" t="s">
        <v>713</v>
      </c>
      <c r="L13" s="726"/>
    </row>
    <row customHeight="1" ht="22.5">
      <c r="A14" s="2232"/>
      <c r="D14" s="545" t="s">
        <v>111</v>
      </c>
      <c r="E14" s="267" t="s">
        <v>714</v>
      </c>
      <c r="F14" s="666" t="s">
        <v>715</v>
      </c>
      <c r="G14" s="563"/>
      <c r="H14" s="668"/>
      <c r="I14" s="563"/>
      <c r="J14" s="668"/>
      <c r="K14" s="277" t="s">
        <v>716</v>
      </c>
      <c r="L14" s="726"/>
    </row>
    <row s="2623" customFormat="1" customHeight="1" ht="78.75">
      <c r="A15" s="2232"/>
      <c r="B15" s="517"/>
      <c r="D15" s="960" t="s">
        <v>90</v>
      </c>
      <c r="E15" s="713" t="s">
        <v>717</v>
      </c>
      <c r="F15" s="957" t="s">
        <v>299</v>
      </c>
      <c r="G15" s="957" t="s">
        <v>299</v>
      </c>
      <c r="H15" s="92"/>
      <c r="I15" s="957" t="s">
        <v>299</v>
      </c>
      <c r="J15" s="92"/>
      <c r="K15" s="277" t="s">
        <v>718</v>
      </c>
      <c r="L15" s="726"/>
    </row>
    <row s="2623" customFormat="1" customHeight="1" ht="22.5">
      <c r="A16" s="2232"/>
      <c r="B16" s="517"/>
      <c r="D16" s="960" t="s">
        <v>319</v>
      </c>
      <c r="E16" s="961" t="s">
        <v>719</v>
      </c>
      <c r="F16" s="957" t="s">
        <v>720</v>
      </c>
      <c r="G16" s="823"/>
      <c r="H16" s="92"/>
      <c r="I16" s="823"/>
      <c r="J16" s="92"/>
      <c r="K16" s="277"/>
      <c r="L16" s="726"/>
    </row>
    <row s="2623" customFormat="1" customHeight="1" ht="22.5">
      <c r="A17" s="2232"/>
      <c r="B17" s="517"/>
      <c r="D17" s="960" t="s">
        <v>327</v>
      </c>
      <c r="E17" s="961" t="s">
        <v>721</v>
      </c>
      <c r="F17" s="957" t="s">
        <v>722</v>
      </c>
      <c r="G17" s="823"/>
      <c r="H17" s="92"/>
      <c r="I17" s="823"/>
      <c r="J17" s="92"/>
      <c r="K17" s="277"/>
      <c r="L17" s="726"/>
    </row>
    <row s="2623" customFormat="1" customHeight="1" ht="33.75">
      <c r="A18" s="2232"/>
      <c r="B18" s="517"/>
      <c r="D18" s="960" t="s">
        <v>329</v>
      </c>
      <c r="E18" s="961" t="s">
        <v>723</v>
      </c>
      <c r="F18" s="957" t="s">
        <v>559</v>
      </c>
      <c r="G18" s="686"/>
      <c r="H18" s="92"/>
      <c r="I18" s="686"/>
      <c r="J18" s="92"/>
      <c r="K18" s="277"/>
      <c r="L18" s="726"/>
    </row>
    <row customHeight="1" ht="101.25">
      <c r="A19" s="2232"/>
      <c r="D19" s="960" t="s">
        <v>91</v>
      </c>
      <c r="E19" s="267" t="s">
        <v>724</v>
      </c>
      <c r="F19" s="666" t="s">
        <v>534</v>
      </c>
      <c r="G19" s="669"/>
      <c r="H19" s="668"/>
      <c r="I19" s="962"/>
      <c r="J19" s="668"/>
      <c r="K19" s="277" t="s">
        <v>725</v>
      </c>
      <c r="L19" s="726"/>
    </row>
    <row s="2623" customFormat="1" customHeight="1" ht="18.75">
      <c r="A20" s="2232"/>
      <c r="C20" s="963"/>
      <c r="D20" s="960" t="s">
        <v>655</v>
      </c>
      <c r="E20" s="961" t="s">
        <v>726</v>
      </c>
      <c r="F20" s="957" t="s">
        <v>299</v>
      </c>
      <c r="G20" s="957" t="s">
        <v>299</v>
      </c>
      <c r="H20" s="956" t="s">
        <v>299</v>
      </c>
      <c r="I20" s="957" t="s">
        <v>299</v>
      </c>
      <c r="J20" s="956" t="s">
        <v>299</v>
      </c>
      <c r="K20" s="955"/>
      <c r="L20" s="726"/>
      <c r="W20" s="681"/>
    </row>
    <row s="2623" customFormat="1" customHeight="1" ht="33.75">
      <c r="A21" s="2232"/>
      <c r="C21" s="963"/>
      <c r="D21" s="960" t="s">
        <v>658</v>
      </c>
      <c r="E21" s="582" t="s">
        <v>727</v>
      </c>
      <c r="F21" s="957" t="s">
        <v>728</v>
      </c>
      <c r="G21" s="949"/>
      <c r="H21" s="92"/>
      <c r="I21" s="949"/>
      <c r="J21" s="92"/>
      <c r="K21" s="955"/>
      <c r="L21" s="726"/>
      <c r="W21" s="681"/>
    </row>
    <row s="2623" customFormat="1" customHeight="1" ht="33.75">
      <c r="A22" s="2232"/>
      <c r="C22" s="963"/>
      <c r="D22" s="960" t="s">
        <v>661</v>
      </c>
      <c r="E22" s="582" t="s">
        <v>729</v>
      </c>
      <c r="F22" s="957" t="s">
        <v>730</v>
      </c>
      <c r="G22" s="949"/>
      <c r="H22" s="92"/>
      <c r="I22" s="949"/>
      <c r="J22" s="92"/>
      <c r="K22" s="955"/>
      <c r="L22" s="726"/>
      <c r="W22" s="681"/>
    </row>
    <row s="2623" customFormat="1" customHeight="1" ht="22.5">
      <c r="A23" s="2232"/>
      <c r="C23" s="963"/>
      <c r="D23" s="960" t="s">
        <v>698</v>
      </c>
      <c r="E23" s="961" t="s">
        <v>731</v>
      </c>
      <c r="F23" s="957" t="s">
        <v>299</v>
      </c>
      <c r="G23" s="957" t="s">
        <v>299</v>
      </c>
      <c r="H23" s="956" t="s">
        <v>299</v>
      </c>
      <c r="I23" s="957" t="s">
        <v>299</v>
      </c>
      <c r="J23" s="956" t="s">
        <v>299</v>
      </c>
      <c r="K23" s="955"/>
      <c r="L23" s="726"/>
      <c r="W23" s="681"/>
    </row>
    <row s="2623" customFormat="1" customHeight="1" ht="22.5">
      <c r="A24" s="2232"/>
      <c r="C24" s="963"/>
      <c r="D24" s="960" t="s">
        <v>732</v>
      </c>
      <c r="E24" s="582" t="s">
        <v>733</v>
      </c>
      <c r="F24" s="957" t="s">
        <v>734</v>
      </c>
      <c r="G24" s="949"/>
      <c r="H24" s="692"/>
      <c r="I24" s="949"/>
      <c r="J24" s="692"/>
      <c r="K24" s="955"/>
      <c r="L24" s="726"/>
      <c r="W24" s="681"/>
    </row>
    <row s="2623" customFormat="1" customHeight="1" ht="22.5">
      <c r="A25" s="2232"/>
      <c r="C25" s="963"/>
      <c r="D25" s="960" t="s">
        <v>735</v>
      </c>
      <c r="E25" s="582" t="s">
        <v>736</v>
      </c>
      <c r="F25" s="957" t="s">
        <v>299</v>
      </c>
      <c r="G25" s="957" t="s">
        <v>299</v>
      </c>
      <c r="H25" s="956" t="s">
        <v>299</v>
      </c>
      <c r="I25" s="957" t="s">
        <v>299</v>
      </c>
      <c r="J25" s="956" t="s">
        <v>299</v>
      </c>
      <c r="K25" s="955"/>
      <c r="L25" s="726"/>
      <c r="W25" s="681"/>
    </row>
    <row s="2623" customFormat="1" customHeight="1" ht="18.75">
      <c r="A26" s="2232"/>
      <c r="C26" s="963"/>
      <c r="D26" s="960" t="s">
        <v>737</v>
      </c>
      <c r="E26" s="559" t="s">
        <v>738</v>
      </c>
      <c r="F26" s="957" t="s">
        <v>739</v>
      </c>
      <c r="G26" s="686"/>
      <c r="H26" s="692"/>
      <c r="I26" s="686"/>
      <c r="J26" s="692"/>
      <c r="K26" s="955"/>
      <c r="L26" s="726"/>
      <c r="W26" s="681"/>
    </row>
    <row s="2623" customFormat="1" customHeight="1" ht="18.75">
      <c r="A27" s="2232"/>
      <c r="C27" s="963"/>
      <c r="D27" s="960" t="s">
        <v>740</v>
      </c>
      <c r="E27" s="559" t="s">
        <v>741</v>
      </c>
      <c r="F27" s="957" t="s">
        <v>742</v>
      </c>
      <c r="G27" s="686"/>
      <c r="H27" s="692"/>
      <c r="I27" s="686"/>
      <c r="J27" s="692"/>
      <c r="K27" s="955"/>
      <c r="L27" s="726"/>
      <c r="W27" s="681"/>
    </row>
    <row s="2623" customFormat="1" customHeight="1" ht="18.75">
      <c r="A28" s="2232"/>
      <c r="C28" s="963"/>
      <c r="D28" s="960" t="s">
        <v>743</v>
      </c>
      <c r="E28" s="582" t="s">
        <v>744</v>
      </c>
      <c r="F28" s="957" t="s">
        <v>299</v>
      </c>
      <c r="G28" s="957" t="s">
        <v>299</v>
      </c>
      <c r="H28" s="956" t="s">
        <v>299</v>
      </c>
      <c r="I28" s="957" t="s">
        <v>299</v>
      </c>
      <c r="J28" s="956" t="s">
        <v>299</v>
      </c>
      <c r="K28" s="955"/>
      <c r="L28" s="726"/>
      <c r="W28" s="681"/>
    </row>
    <row s="2623" customFormat="1" customHeight="1" ht="18.75">
      <c r="A29" s="2232"/>
      <c r="C29" s="963"/>
      <c r="D29" s="960" t="s">
        <v>745</v>
      </c>
      <c r="E29" s="559" t="s">
        <v>738</v>
      </c>
      <c r="F29" s="957" t="s">
        <v>746</v>
      </c>
      <c r="G29" s="686"/>
      <c r="H29" s="692"/>
      <c r="I29" s="686"/>
      <c r="J29" s="692"/>
      <c r="K29" s="955"/>
      <c r="L29" s="726"/>
      <c r="W29" s="681"/>
    </row>
    <row s="2623" customFormat="1" customHeight="1" ht="18.75">
      <c r="A30" s="2232"/>
      <c r="C30" s="963"/>
      <c r="D30" s="960" t="s">
        <v>747</v>
      </c>
      <c r="E30" s="559" t="s">
        <v>748</v>
      </c>
      <c r="F30" s="957" t="s">
        <v>749</v>
      </c>
      <c r="G30" s="686"/>
      <c r="H30" s="692"/>
      <c r="I30" s="686"/>
      <c r="J30" s="692"/>
      <c r="K30" s="955"/>
      <c r="L30" s="726"/>
      <c r="W30" s="681"/>
    </row>
    <row customHeight="1" ht="126.75">
      <c r="A31" s="2232"/>
      <c r="D31" s="960" t="s">
        <v>112</v>
      </c>
      <c r="E31" s="267" t="s">
        <v>750</v>
      </c>
      <c r="F31" s="666" t="s">
        <v>546</v>
      </c>
      <c r="G31" s="563"/>
      <c r="H31" s="668"/>
      <c r="I31" s="563"/>
      <c r="J31" s="668"/>
      <c r="K31" s="277" t="s">
        <v>751</v>
      </c>
      <c r="L31" s="726"/>
    </row>
    <row customHeight="1" ht="56.25">
      <c r="A32" s="2232"/>
      <c r="D32" s="960" t="s">
        <v>92</v>
      </c>
      <c r="E32" s="267" t="s">
        <v>752</v>
      </c>
      <c r="F32" s="545" t="s">
        <v>722</v>
      </c>
      <c r="G32" s="563"/>
      <c r="H32" s="668"/>
      <c r="I32" s="563"/>
      <c r="J32" s="668"/>
      <c r="K32" s="277" t="s">
        <v>753</v>
      </c>
      <c r="L32" s="726"/>
    </row>
    <row customHeight="1" ht="11.25">
      <c r="A33" s="2232"/>
      <c r="E33" s="670"/>
      <c r="F33" s="167"/>
      <c r="G33" s="167"/>
      <c r="H33" s="167"/>
      <c r="I33" s="167"/>
      <c r="J33" s="167"/>
      <c r="K33" s="167"/>
    </row>
    <row customHeight="1" ht="12.75">
      <c r="A34" s="2232"/>
      <c r="D34" s="49">
        <v>1</v>
      </c>
      <c r="E34" s="331" t="s">
        <v>754</v>
      </c>
    </row>
    <row customHeight="1" ht="11.25">
      <c r="A35" s="2232"/>
      <c r="D35" s="369"/>
      <c r="E35" s="331" t="s">
        <v>755</v>
      </c>
    </row>
    <row s="2627" customFormat="1" customHeight="1" ht="11.25">
      <c r="A36" s="1040"/>
      <c r="B36" s="524"/>
      <c r="D36" s="1041"/>
      <c r="E36" s="1042"/>
    </row>
    <row s="2623" customFormat="1" customHeight="1" ht="22.5" hidden="1">
      <c r="A37" s="2232" t="s">
        <v>756</v>
      </c>
      <c r="B37" s="517"/>
      <c r="D37" s="960">
        <v>1</v>
      </c>
      <c r="E37" s="713" t="s">
        <v>757</v>
      </c>
      <c r="F37" s="666" t="s">
        <v>712</v>
      </c>
      <c r="G37" s="563"/>
      <c r="H37" s="525"/>
      <c r="I37" s="563"/>
      <c r="J37" s="525"/>
      <c r="K37" s="277" t="s">
        <v>758</v>
      </c>
    </row>
    <row s="2623" customFormat="1" customHeight="1" ht="22.5" hidden="1">
      <c r="A38" s="2232"/>
      <c r="B38" s="517"/>
      <c r="D38" s="675" t="s">
        <v>111</v>
      </c>
      <c r="E38" s="1039" t="s">
        <v>759</v>
      </c>
      <c r="F38" s="1043" t="s">
        <v>534</v>
      </c>
      <c r="G38" s="1043" t="s">
        <v>534</v>
      </c>
      <c r="H38" s="1037"/>
      <c r="I38" s="1043" t="s">
        <v>534</v>
      </c>
      <c r="J38" s="1037"/>
      <c r="K38" s="1038"/>
    </row>
    <row s="2623" customFormat="1" customHeight="1" ht="33.75" hidden="1">
      <c r="A39" s="2232"/>
      <c r="B39" s="517"/>
      <c r="D39" s="671" t="s">
        <v>613</v>
      </c>
      <c r="E39" s="729" t="s">
        <v>760</v>
      </c>
      <c r="F39" s="666" t="s">
        <v>761</v>
      </c>
      <c r="G39" s="674"/>
      <c r="H39" s="1030"/>
      <c r="I39" s="674"/>
      <c r="J39" s="1030"/>
      <c r="K39" s="277" t="s">
        <v>762</v>
      </c>
    </row>
    <row s="2623" customFormat="1" customHeight="1" ht="33.75" hidden="1">
      <c r="A40" s="2232"/>
      <c r="B40" s="517"/>
      <c r="D40" s="671" t="s">
        <v>616</v>
      </c>
      <c r="E40" s="729" t="s">
        <v>763</v>
      </c>
      <c r="F40" s="1034" t="s">
        <v>764</v>
      </c>
      <c r="G40" s="747"/>
      <c r="H40" s="1030"/>
      <c r="I40" s="747"/>
      <c r="J40" s="1030"/>
      <c r="K40" s="277" t="s">
        <v>765</v>
      </c>
    </row>
    <row s="2623" customFormat="1" customHeight="1" ht="22.5" hidden="1">
      <c r="A41" s="2232"/>
      <c r="B41" s="517"/>
      <c r="D41" s="671" t="s">
        <v>90</v>
      </c>
      <c r="E41" s="728" t="s">
        <v>766</v>
      </c>
      <c r="F41" s="666" t="s">
        <v>534</v>
      </c>
      <c r="G41" s="666" t="s">
        <v>534</v>
      </c>
      <c r="H41" s="1031"/>
      <c r="I41" s="666" t="s">
        <v>534</v>
      </c>
      <c r="J41" s="1031"/>
      <c r="K41" s="290"/>
    </row>
    <row s="2623" customFormat="1" customHeight="1" ht="45" hidden="1">
      <c r="A42" s="2232"/>
      <c r="B42" s="517"/>
      <c r="D42" s="671" t="s">
        <v>319</v>
      </c>
      <c r="E42" s="729" t="s">
        <v>767</v>
      </c>
      <c r="F42" s="666" t="s">
        <v>546</v>
      </c>
      <c r="G42" s="563"/>
      <c r="H42" s="1031"/>
      <c r="I42" s="563"/>
      <c r="J42" s="1031"/>
      <c r="K42" s="290" t="s">
        <v>768</v>
      </c>
    </row>
    <row s="2623" customFormat="1" customHeight="1" ht="45" hidden="1">
      <c r="A43" s="2232"/>
      <c r="B43" s="517"/>
      <c r="D43" s="671" t="s">
        <v>327</v>
      </c>
      <c r="E43" s="673" t="s">
        <v>769</v>
      </c>
      <c r="F43" s="1035" t="s">
        <v>546</v>
      </c>
      <c r="G43" s="748"/>
      <c r="H43" s="1030"/>
      <c r="I43" s="748"/>
      <c r="J43" s="1030"/>
      <c r="K43" s="290" t="s">
        <v>770</v>
      </c>
    </row>
    <row s="2623" customFormat="1" customHeight="1" ht="11.25" hidden="1">
      <c r="A44" s="2232"/>
      <c r="B44" s="517"/>
      <c r="D44" s="671" t="s">
        <v>91</v>
      </c>
      <c r="E44" s="672" t="s">
        <v>771</v>
      </c>
      <c r="F44" s="666" t="s">
        <v>761</v>
      </c>
      <c r="G44" s="674"/>
      <c r="H44" s="1030"/>
      <c r="I44" s="674"/>
      <c r="J44" s="1030"/>
      <c r="K44" s="277"/>
    </row>
    <row s="2623" customFormat="1" customHeight="1" ht="11.25" hidden="1">
      <c r="A45" s="2232"/>
      <c r="B45" s="517"/>
      <c r="D45" s="671" t="s">
        <v>655</v>
      </c>
      <c r="E45" s="673" t="s">
        <v>772</v>
      </c>
      <c r="F45" s="666" t="s">
        <v>761</v>
      </c>
      <c r="G45" s="674"/>
      <c r="H45" s="1030"/>
      <c r="I45" s="674"/>
      <c r="J45" s="1030"/>
      <c r="K45" s="277"/>
    </row>
    <row s="2623" customFormat="1" customHeight="1" ht="11.25" hidden="1">
      <c r="A46" s="2232"/>
      <c r="B46" s="517"/>
      <c r="D46" s="671" t="s">
        <v>698</v>
      </c>
      <c r="E46" s="673" t="s">
        <v>773</v>
      </c>
      <c r="F46" s="666" t="s">
        <v>761</v>
      </c>
      <c r="G46" s="674"/>
      <c r="H46" s="1030"/>
      <c r="I46" s="674"/>
      <c r="J46" s="1030"/>
      <c r="K46" s="277"/>
    </row>
    <row s="2623" customFormat="1" customHeight="1" ht="11.25" hidden="1">
      <c r="A47" s="2232"/>
      <c r="B47" s="517"/>
      <c r="D47" s="671" t="s">
        <v>701</v>
      </c>
      <c r="E47" s="673" t="s">
        <v>774</v>
      </c>
      <c r="F47" s="666" t="s">
        <v>761</v>
      </c>
      <c r="G47" s="674"/>
      <c r="H47" s="1030"/>
      <c r="I47" s="674"/>
      <c r="J47" s="1030"/>
      <c r="K47" s="277"/>
    </row>
    <row s="2623" customFormat="1" customHeight="1" ht="11.25" hidden="1">
      <c r="A48" s="2232"/>
      <c r="B48" s="517"/>
      <c r="D48" s="671" t="s">
        <v>775</v>
      </c>
      <c r="E48" s="677" t="s">
        <v>776</v>
      </c>
      <c r="F48" s="666" t="s">
        <v>761</v>
      </c>
      <c r="G48" s="674"/>
      <c r="H48" s="1030"/>
      <c r="I48" s="674"/>
      <c r="J48" s="1030"/>
      <c r="K48" s="277"/>
    </row>
    <row s="2623" customFormat="1" customHeight="1" ht="11.25" hidden="1">
      <c r="A49" s="2232"/>
      <c r="B49" s="517"/>
      <c r="D49" s="671" t="s">
        <v>777</v>
      </c>
      <c r="E49" s="677" t="s">
        <v>778</v>
      </c>
      <c r="F49" s="666" t="s">
        <v>761</v>
      </c>
      <c r="G49" s="674"/>
      <c r="H49" s="1030"/>
      <c r="I49" s="674"/>
      <c r="J49" s="1030"/>
      <c r="K49" s="277"/>
    </row>
    <row s="2623" customFormat="1" customHeight="1" ht="11.25" hidden="1">
      <c r="A50" s="2232"/>
      <c r="B50" s="517"/>
      <c r="D50" s="671" t="s">
        <v>779</v>
      </c>
      <c r="E50" s="673" t="s">
        <v>780</v>
      </c>
      <c r="F50" s="666" t="s">
        <v>761</v>
      </c>
      <c r="G50" s="674"/>
      <c r="H50" s="1030"/>
      <c r="I50" s="674"/>
      <c r="J50" s="1030"/>
      <c r="K50" s="277"/>
    </row>
    <row s="2623" customFormat="1" customHeight="1" ht="11.25" hidden="1">
      <c r="A51" s="2232"/>
      <c r="B51" s="517"/>
      <c r="D51" s="671" t="s">
        <v>781</v>
      </c>
      <c r="E51" s="673" t="s">
        <v>782</v>
      </c>
      <c r="F51" s="666" t="s">
        <v>761</v>
      </c>
      <c r="G51" s="674"/>
      <c r="H51" s="1030"/>
      <c r="I51" s="674"/>
      <c r="J51" s="1030"/>
      <c r="K51" s="277"/>
    </row>
    <row s="2623" customFormat="1" customHeight="1" ht="45" hidden="1">
      <c r="A52" s="2232"/>
      <c r="B52" s="517"/>
      <c r="D52" s="671" t="s">
        <v>112</v>
      </c>
      <c r="E52" s="672" t="s">
        <v>783</v>
      </c>
      <c r="F52" s="666" t="s">
        <v>761</v>
      </c>
      <c r="G52" s="674"/>
      <c r="H52" s="1030"/>
      <c r="I52" s="674"/>
      <c r="J52" s="1030"/>
      <c r="K52" s="277"/>
    </row>
    <row s="2623" customFormat="1" customHeight="1" ht="11.25" hidden="1">
      <c r="A53" s="2232"/>
      <c r="B53" s="517"/>
      <c r="D53" s="671" t="s">
        <v>308</v>
      </c>
      <c r="E53" s="673" t="s">
        <v>772</v>
      </c>
      <c r="F53" s="666" t="s">
        <v>761</v>
      </c>
      <c r="G53" s="674"/>
      <c r="H53" s="1030"/>
      <c r="I53" s="674"/>
      <c r="J53" s="1030"/>
      <c r="K53" s="277"/>
    </row>
    <row s="2623" customFormat="1" customHeight="1" ht="11.25" hidden="1">
      <c r="A54" s="2232"/>
      <c r="B54" s="517"/>
      <c r="D54" s="671" t="s">
        <v>310</v>
      </c>
      <c r="E54" s="673" t="s">
        <v>773</v>
      </c>
      <c r="F54" s="666" t="s">
        <v>761</v>
      </c>
      <c r="G54" s="674"/>
      <c r="H54" s="1030"/>
      <c r="I54" s="674"/>
      <c r="J54" s="1030"/>
      <c r="K54" s="277"/>
    </row>
    <row s="2623" customFormat="1" customHeight="1" ht="11.25" hidden="1">
      <c r="A55" s="2232"/>
      <c r="B55" s="517"/>
      <c r="D55" s="671" t="s">
        <v>313</v>
      </c>
      <c r="E55" s="673" t="s">
        <v>774</v>
      </c>
      <c r="F55" s="666" t="s">
        <v>761</v>
      </c>
      <c r="G55" s="674"/>
      <c r="H55" s="1030"/>
      <c r="I55" s="674"/>
      <c r="J55" s="1030"/>
      <c r="K55" s="277"/>
    </row>
    <row s="2623" customFormat="1" customHeight="1" ht="11.25" hidden="1">
      <c r="A56" s="2232"/>
      <c r="B56" s="517"/>
      <c r="D56" s="671" t="s">
        <v>784</v>
      </c>
      <c r="E56" s="677" t="s">
        <v>776</v>
      </c>
      <c r="F56" s="666" t="s">
        <v>761</v>
      </c>
      <c r="G56" s="674"/>
      <c r="H56" s="1030"/>
      <c r="I56" s="674"/>
      <c r="J56" s="1030"/>
      <c r="K56" s="277"/>
    </row>
    <row s="2623" customFormat="1" customHeight="1" ht="11.25" hidden="1">
      <c r="A57" s="2232"/>
      <c r="B57" s="517"/>
      <c r="D57" s="671" t="s">
        <v>785</v>
      </c>
      <c r="E57" s="677" t="s">
        <v>778</v>
      </c>
      <c r="F57" s="666" t="s">
        <v>761</v>
      </c>
      <c r="G57" s="674"/>
      <c r="H57" s="1030"/>
      <c r="I57" s="674"/>
      <c r="J57" s="1030"/>
      <c r="K57" s="277"/>
    </row>
    <row s="2623" customFormat="1" customHeight="1" ht="11.25" hidden="1">
      <c r="A58" s="2232"/>
      <c r="B58" s="517"/>
      <c r="D58" s="671" t="s">
        <v>315</v>
      </c>
      <c r="E58" s="673" t="s">
        <v>780</v>
      </c>
      <c r="F58" s="666" t="s">
        <v>761</v>
      </c>
      <c r="G58" s="674"/>
      <c r="H58" s="1030"/>
      <c r="I58" s="674"/>
      <c r="J58" s="1030"/>
      <c r="K58" s="277"/>
    </row>
    <row s="2623" customFormat="1" customHeight="1" ht="11.25" hidden="1">
      <c r="A59" s="2232"/>
      <c r="B59" s="517"/>
      <c r="D59" s="671" t="s">
        <v>786</v>
      </c>
      <c r="E59" s="673" t="s">
        <v>782</v>
      </c>
      <c r="F59" s="666" t="s">
        <v>761</v>
      </c>
      <c r="G59" s="674"/>
      <c r="H59" s="1030"/>
      <c r="I59" s="674"/>
      <c r="J59" s="1030"/>
      <c r="K59" s="277"/>
    </row>
    <row s="2623" customFormat="1" customHeight="1" ht="33.75" hidden="1">
      <c r="A60" s="2232"/>
      <c r="B60" s="517"/>
      <c r="D60" s="671" t="s">
        <v>92</v>
      </c>
      <c r="E60" s="672" t="s">
        <v>787</v>
      </c>
      <c r="F60" s="727" t="s">
        <v>546</v>
      </c>
      <c r="G60" s="748"/>
      <c r="H60" s="1030"/>
      <c r="I60" s="748"/>
      <c r="J60" s="1030"/>
      <c r="K60" s="290" t="s">
        <v>788</v>
      </c>
    </row>
    <row s="2623" customFormat="1" customHeight="1" ht="33.75" hidden="1">
      <c r="A61" s="2232"/>
      <c r="B61" s="517"/>
      <c r="D61" s="671" t="s">
        <v>93</v>
      </c>
      <c r="E61" s="672" t="s">
        <v>789</v>
      </c>
      <c r="F61" s="732" t="s">
        <v>722</v>
      </c>
      <c r="G61" s="674"/>
      <c r="H61" s="1030"/>
      <c r="I61" s="674"/>
      <c r="J61" s="1030"/>
      <c r="K61" s="277"/>
    </row>
    <row s="2623" customFormat="1" customHeight="1" ht="22.5" hidden="1">
      <c r="A62" s="2232"/>
      <c r="B62" s="517" t="s">
        <v>576</v>
      </c>
      <c r="D62" s="671" t="s">
        <v>113</v>
      </c>
      <c r="E62" s="672" t="s">
        <v>790</v>
      </c>
      <c r="F62" s="732" t="s">
        <v>299</v>
      </c>
      <c r="G62" s="388"/>
      <c r="H62" s="1030"/>
      <c r="I62" s="388"/>
      <c r="J62" s="1030"/>
      <c r="K62" s="277" t="s">
        <v>791</v>
      </c>
    </row>
    <row s="2623" customFormat="1" customHeight="1" ht="45" hidden="1">
      <c r="A63" s="2232"/>
      <c r="B63" s="517" t="s">
        <v>576</v>
      </c>
      <c r="D63" s="671" t="s">
        <v>792</v>
      </c>
      <c r="E63" s="673" t="s">
        <v>793</v>
      </c>
      <c r="F63" s="727" t="s">
        <v>299</v>
      </c>
      <c r="G63" s="388"/>
      <c r="H63" s="1030"/>
      <c r="I63" s="388"/>
      <c r="J63" s="1030"/>
      <c r="K63" s="277" t="s">
        <v>791</v>
      </c>
    </row>
    <row s="2627" customFormat="1" customHeight="1" ht="11.25">
      <c r="A64" s="1040"/>
      <c r="B64" s="524"/>
      <c r="D64" s="1041"/>
      <c r="E64" s="1042"/>
    </row>
    <row s="2623" customFormat="1" customHeight="1" ht="22.5" hidden="1">
      <c r="A65" s="2232" t="s">
        <v>794</v>
      </c>
      <c r="B65" s="517"/>
      <c r="D65" s="671">
        <v>1</v>
      </c>
      <c r="E65" s="750" t="s">
        <v>795</v>
      </c>
      <c r="F65" s="746" t="s">
        <v>712</v>
      </c>
      <c r="G65" s="747"/>
      <c r="H65" s="1036"/>
      <c r="I65" s="747"/>
      <c r="J65" s="1036"/>
      <c r="K65" s="289" t="s">
        <v>796</v>
      </c>
    </row>
    <row s="2623" customFormat="1" customHeight="1" ht="56.25" hidden="1">
      <c r="A66" s="2232"/>
      <c r="B66" s="517"/>
      <c r="D66" s="749" t="s">
        <v>111</v>
      </c>
      <c r="E66" s="713" t="s">
        <v>797</v>
      </c>
      <c r="F66" s="666" t="s">
        <v>534</v>
      </c>
      <c r="G66" s="666" t="s">
        <v>534</v>
      </c>
      <c r="H66" s="525"/>
      <c r="I66" s="666" t="s">
        <v>534</v>
      </c>
      <c r="J66" s="525"/>
      <c r="K66" s="277"/>
    </row>
    <row s="2623" customFormat="1" customHeight="1" ht="33.75" hidden="1">
      <c r="A67" s="2232"/>
      <c r="B67" s="517"/>
      <c r="D67" s="749" t="s">
        <v>610</v>
      </c>
      <c r="E67" s="961" t="s">
        <v>798</v>
      </c>
      <c r="F67" s="666" t="s">
        <v>764</v>
      </c>
      <c r="G67" s="733"/>
      <c r="H67" s="525"/>
      <c r="I67" s="733"/>
      <c r="J67" s="525"/>
      <c r="K67" s="277"/>
    </row>
    <row s="2623" customFormat="1" customHeight="1" ht="22.5" hidden="1">
      <c r="A68" s="2232"/>
      <c r="B68" s="517"/>
      <c r="D68" s="749" t="s">
        <v>300</v>
      </c>
      <c r="E68" s="961" t="s">
        <v>799</v>
      </c>
      <c r="F68" s="666" t="s">
        <v>764</v>
      </c>
      <c r="G68" s="733"/>
      <c r="H68" s="525"/>
      <c r="I68" s="733"/>
      <c r="J68" s="525"/>
      <c r="K68" s="277"/>
    </row>
    <row s="2623" customFormat="1" customHeight="1" ht="22.5" hidden="1">
      <c r="A69" s="2232"/>
      <c r="B69" s="517"/>
      <c r="D69" s="749" t="s">
        <v>303</v>
      </c>
      <c r="E69" s="961" t="s">
        <v>800</v>
      </c>
      <c r="F69" s="727" t="s">
        <v>546</v>
      </c>
      <c r="G69" s="748"/>
      <c r="H69" s="525"/>
      <c r="I69" s="748"/>
      <c r="J69" s="525"/>
      <c r="K69" s="277"/>
    </row>
    <row s="2623" customFormat="1" customHeight="1" ht="22.5" hidden="1">
      <c r="A70" s="2232"/>
      <c r="B70" s="517"/>
      <c r="D70" s="749" t="s">
        <v>630</v>
      </c>
      <c r="E70" s="961" t="s">
        <v>801</v>
      </c>
      <c r="F70" s="727" t="s">
        <v>546</v>
      </c>
      <c r="G70" s="748"/>
      <c r="H70" s="525"/>
      <c r="I70" s="748"/>
      <c r="J70" s="525"/>
      <c r="K70" s="277"/>
    </row>
    <row s="2623" customFormat="1" customHeight="1" ht="22.5" hidden="1">
      <c r="A71" s="2232"/>
      <c r="B71" s="517"/>
      <c r="D71" s="671" t="s">
        <v>90</v>
      </c>
      <c r="E71" s="672" t="s">
        <v>802</v>
      </c>
      <c r="F71" s="666" t="s">
        <v>764</v>
      </c>
      <c r="G71" s="563"/>
      <c r="H71" s="1037"/>
      <c r="I71" s="563"/>
      <c r="J71" s="1037"/>
      <c r="K71" s="290"/>
    </row>
    <row s="2623" customFormat="1" customHeight="1" ht="56.25" hidden="1">
      <c r="A72" s="2232"/>
      <c r="B72" s="517"/>
      <c r="D72" s="671" t="s">
        <v>91</v>
      </c>
      <c r="E72" s="672" t="s">
        <v>803</v>
      </c>
      <c r="F72" s="727" t="s">
        <v>546</v>
      </c>
      <c r="G72" s="748"/>
      <c r="H72" s="1030"/>
      <c r="I72" s="748"/>
      <c r="J72" s="1030"/>
      <c r="K72" s="290"/>
    </row>
    <row s="2623" customFormat="1" customHeight="1" ht="33.75" hidden="1">
      <c r="A73" s="2232"/>
      <c r="B73" s="517"/>
      <c r="D73" s="671" t="s">
        <v>112</v>
      </c>
      <c r="E73" s="672" t="s">
        <v>804</v>
      </c>
      <c r="F73" s="732" t="s">
        <v>722</v>
      </c>
      <c r="G73" s="674"/>
      <c r="H73" s="1030"/>
      <c r="I73" s="674"/>
      <c r="J73" s="1030"/>
      <c r="K73" s="277"/>
    </row>
    <row s="2623" customFormat="1" customHeight="1" ht="22.5" hidden="1">
      <c r="A74" s="2232"/>
      <c r="B74" s="517" t="s">
        <v>576</v>
      </c>
      <c r="D74" s="671" t="s">
        <v>92</v>
      </c>
      <c r="E74" s="672" t="s">
        <v>805</v>
      </c>
      <c r="F74" s="732" t="s">
        <v>299</v>
      </c>
      <c r="G74" s="388"/>
      <c r="H74" s="1030"/>
      <c r="I74" s="388"/>
      <c r="J74" s="1030"/>
      <c r="K74" s="277" t="s">
        <v>791</v>
      </c>
    </row>
    <row s="2623" customFormat="1" customHeight="1" ht="45" hidden="1">
      <c r="A75" s="2232"/>
      <c r="B75" s="517" t="s">
        <v>576</v>
      </c>
      <c r="D75" s="671" t="s">
        <v>806</v>
      </c>
      <c r="E75" s="673" t="s">
        <v>807</v>
      </c>
      <c r="F75" s="727" t="s">
        <v>299</v>
      </c>
      <c r="G75" s="388"/>
      <c r="H75" s="1030"/>
      <c r="I75" s="388"/>
      <c r="J75" s="1030"/>
      <c r="K75" s="277" t="s">
        <v>791</v>
      </c>
    </row>
    <row s="2627" customFormat="1" customHeight="1" ht="11.25">
      <c r="A76" s="1040"/>
      <c r="B76" s="524"/>
      <c r="D76" s="1041"/>
      <c r="E76" s="1042"/>
    </row>
    <row s="2623" customFormat="1" customHeight="1" ht="11.25" hidden="1">
      <c r="A77" s="2232" t="s">
        <v>808</v>
      </c>
      <c r="B77" s="517"/>
      <c r="D77" s="671">
        <v>1</v>
      </c>
      <c r="E77" s="672" t="s">
        <v>809</v>
      </c>
      <c r="F77" s="727" t="s">
        <v>712</v>
      </c>
      <c r="G77" s="730"/>
      <c r="H77" s="1030"/>
      <c r="I77" s="730"/>
      <c r="J77" s="1030"/>
      <c r="K77" s="277" t="s">
        <v>810</v>
      </c>
    </row>
    <row s="2623" customFormat="1" customHeight="1" ht="11.25" hidden="1">
      <c r="A78" s="2232"/>
      <c r="B78" s="517"/>
      <c r="D78" s="671" t="s">
        <v>111</v>
      </c>
      <c r="E78" s="672" t="s">
        <v>811</v>
      </c>
      <c r="F78" s="727" t="s">
        <v>712</v>
      </c>
      <c r="G78" s="730"/>
      <c r="H78" s="1030"/>
      <c r="I78" s="730"/>
      <c r="J78" s="1030"/>
      <c r="K78" s="277" t="s">
        <v>812</v>
      </c>
    </row>
    <row s="2623" customFormat="1" customHeight="1" ht="22.5" hidden="1">
      <c r="A79" s="2232"/>
      <c r="B79" s="517"/>
      <c r="D79" s="671" t="s">
        <v>90</v>
      </c>
      <c r="E79" s="728" t="s">
        <v>813</v>
      </c>
      <c r="F79" s="666" t="s">
        <v>761</v>
      </c>
      <c r="G79" s="730"/>
      <c r="H79" s="1030"/>
      <c r="I79" s="730"/>
      <c r="J79" s="1030"/>
      <c r="K79" s="277" t="s">
        <v>814</v>
      </c>
    </row>
    <row s="2623" customFormat="1" customHeight="1" ht="11.25" hidden="1">
      <c r="A80" s="2232"/>
      <c r="B80" s="517"/>
      <c r="D80" s="671" t="s">
        <v>319</v>
      </c>
      <c r="E80" s="729" t="s">
        <v>815</v>
      </c>
      <c r="F80" s="666" t="s">
        <v>761</v>
      </c>
      <c r="G80" s="730"/>
      <c r="H80" s="1030"/>
      <c r="I80" s="730"/>
      <c r="J80" s="1030"/>
      <c r="K80" s="277"/>
    </row>
    <row s="2623" customFormat="1" customHeight="1" ht="11.25" hidden="1">
      <c r="A81" s="2232"/>
      <c r="B81" s="517"/>
      <c r="D81" s="671" t="s">
        <v>327</v>
      </c>
      <c r="E81" s="729" t="s">
        <v>816</v>
      </c>
      <c r="F81" s="666" t="s">
        <v>761</v>
      </c>
      <c r="G81" s="730"/>
      <c r="H81" s="1030"/>
      <c r="I81" s="730"/>
      <c r="J81" s="1030"/>
      <c r="K81" s="277"/>
    </row>
    <row s="2623" customFormat="1" customHeight="1" ht="11.25" hidden="1">
      <c r="A82" s="2232"/>
      <c r="B82" s="517"/>
      <c r="D82" s="671" t="s">
        <v>329</v>
      </c>
      <c r="E82" s="729" t="s">
        <v>817</v>
      </c>
      <c r="F82" s="666" t="s">
        <v>761</v>
      </c>
      <c r="G82" s="730"/>
      <c r="H82" s="1030"/>
      <c r="I82" s="730"/>
      <c r="J82" s="1030"/>
      <c r="K82" s="277"/>
    </row>
    <row s="2623" customFormat="1" customHeight="1" ht="11.25" hidden="1">
      <c r="A83" s="2232"/>
      <c r="B83" s="517"/>
      <c r="D83" s="671" t="s">
        <v>331</v>
      </c>
      <c r="E83" s="729" t="s">
        <v>818</v>
      </c>
      <c r="F83" s="666" t="s">
        <v>761</v>
      </c>
      <c r="G83" s="730"/>
      <c r="H83" s="1030"/>
      <c r="I83" s="730"/>
      <c r="J83" s="1030"/>
      <c r="K83" s="277"/>
    </row>
    <row s="2623" customFormat="1" customHeight="1" ht="11.25" hidden="1">
      <c r="A84" s="2232"/>
      <c r="B84" s="517"/>
      <c r="D84" s="671" t="s">
        <v>819</v>
      </c>
      <c r="E84" s="729" t="s">
        <v>820</v>
      </c>
      <c r="F84" s="666" t="s">
        <v>761</v>
      </c>
      <c r="G84" s="730"/>
      <c r="H84" s="1030"/>
      <c r="I84" s="730"/>
      <c r="J84" s="1030"/>
      <c r="K84" s="277"/>
    </row>
    <row s="2623" customFormat="1" customHeight="1" ht="11.25" hidden="1">
      <c r="A85" s="2232"/>
      <c r="B85" s="517"/>
      <c r="D85" s="671" t="s">
        <v>821</v>
      </c>
      <c r="E85" s="729" t="s">
        <v>822</v>
      </c>
      <c r="F85" s="666" t="s">
        <v>761</v>
      </c>
      <c r="G85" s="730"/>
      <c r="H85" s="1030"/>
      <c r="I85" s="730"/>
      <c r="J85" s="1030"/>
      <c r="K85" s="277"/>
    </row>
    <row s="2623" customFormat="1" customHeight="1" ht="11.25" hidden="1">
      <c r="A86" s="2232"/>
      <c r="B86" s="517"/>
      <c r="D86" s="671" t="s">
        <v>823</v>
      </c>
      <c r="E86" s="729" t="s">
        <v>824</v>
      </c>
      <c r="F86" s="666" t="s">
        <v>761</v>
      </c>
      <c r="G86" s="730"/>
      <c r="H86" s="1030"/>
      <c r="I86" s="730"/>
      <c r="J86" s="1030"/>
      <c r="K86" s="277"/>
    </row>
    <row s="2623" customFormat="1" customHeight="1" ht="45" hidden="1">
      <c r="A87" s="2232"/>
      <c r="B87" s="517"/>
      <c r="D87" s="671" t="s">
        <v>91</v>
      </c>
      <c r="E87" s="672" t="s">
        <v>825</v>
      </c>
      <c r="F87" s="666" t="s">
        <v>761</v>
      </c>
      <c r="G87" s="730"/>
      <c r="H87" s="1030"/>
      <c r="I87" s="730"/>
      <c r="J87" s="1030"/>
      <c r="K87" s="277" t="s">
        <v>826</v>
      </c>
    </row>
    <row s="2623" customFormat="1" customHeight="1" ht="11.25" hidden="1">
      <c r="A88" s="2232"/>
      <c r="B88" s="517"/>
      <c r="D88" s="671" t="s">
        <v>655</v>
      </c>
      <c r="E88" s="729" t="s">
        <v>815</v>
      </c>
      <c r="F88" s="666" t="s">
        <v>761</v>
      </c>
      <c r="G88" s="730"/>
      <c r="H88" s="1030"/>
      <c r="I88" s="730"/>
      <c r="J88" s="1030"/>
      <c r="K88" s="277"/>
    </row>
    <row s="2623" customFormat="1" customHeight="1" ht="11.25" hidden="1">
      <c r="A89" s="2232"/>
      <c r="B89" s="517"/>
      <c r="D89" s="671" t="s">
        <v>698</v>
      </c>
      <c r="E89" s="729" t="s">
        <v>816</v>
      </c>
      <c r="F89" s="666" t="s">
        <v>761</v>
      </c>
      <c r="G89" s="730"/>
      <c r="H89" s="1030"/>
      <c r="I89" s="730"/>
      <c r="J89" s="1030"/>
      <c r="K89" s="277"/>
    </row>
    <row s="2623" customFormat="1" customHeight="1" ht="11.25" hidden="1">
      <c r="A90" s="2232"/>
      <c r="B90" s="517"/>
      <c r="D90" s="671" t="s">
        <v>701</v>
      </c>
      <c r="E90" s="729" t="s">
        <v>817</v>
      </c>
      <c r="F90" s="666" t="s">
        <v>761</v>
      </c>
      <c r="G90" s="730"/>
      <c r="H90" s="1030"/>
      <c r="I90" s="730"/>
      <c r="J90" s="1030"/>
      <c r="K90" s="277"/>
    </row>
    <row s="2623" customFormat="1" customHeight="1" ht="11.25" hidden="1">
      <c r="A91" s="2232"/>
      <c r="B91" s="517"/>
      <c r="D91" s="671" t="s">
        <v>779</v>
      </c>
      <c r="E91" s="729" t="s">
        <v>818</v>
      </c>
      <c r="F91" s="666" t="s">
        <v>761</v>
      </c>
      <c r="G91" s="730"/>
      <c r="H91" s="1030"/>
      <c r="I91" s="730"/>
      <c r="J91" s="1030"/>
      <c r="K91" s="277"/>
    </row>
    <row s="2623" customFormat="1" customHeight="1" ht="11.25" hidden="1">
      <c r="A92" s="2232"/>
      <c r="B92" s="517"/>
      <c r="D92" s="671" t="s">
        <v>781</v>
      </c>
      <c r="E92" s="729" t="s">
        <v>820</v>
      </c>
      <c r="F92" s="666" t="s">
        <v>761</v>
      </c>
      <c r="G92" s="730"/>
      <c r="H92" s="1030"/>
      <c r="I92" s="730"/>
      <c r="J92" s="1030"/>
      <c r="K92" s="277"/>
    </row>
    <row s="2623" customFormat="1" customHeight="1" ht="11.25" hidden="1">
      <c r="A93" s="2232"/>
      <c r="B93" s="517"/>
      <c r="D93" s="671" t="s">
        <v>827</v>
      </c>
      <c r="E93" s="729" t="s">
        <v>822</v>
      </c>
      <c r="F93" s="666" t="s">
        <v>761</v>
      </c>
      <c r="G93" s="730"/>
      <c r="H93" s="1030"/>
      <c r="I93" s="730"/>
      <c r="J93" s="1030"/>
      <c r="K93" s="277"/>
    </row>
    <row s="2623" customFormat="1" customHeight="1" ht="11.25" hidden="1">
      <c r="A94" s="2232"/>
      <c r="B94" s="517"/>
      <c r="D94" s="671" t="s">
        <v>828</v>
      </c>
      <c r="E94" s="729" t="s">
        <v>824</v>
      </c>
      <c r="F94" s="666" t="s">
        <v>761</v>
      </c>
      <c r="G94" s="730"/>
      <c r="H94" s="1030"/>
      <c r="I94" s="730"/>
      <c r="J94" s="1030"/>
      <c r="K94" s="277"/>
    </row>
    <row s="2623" customFormat="1" customHeight="1" ht="24.75" hidden="1">
      <c r="A95" s="2232"/>
      <c r="B95" s="517"/>
      <c r="D95" s="671" t="s">
        <v>112</v>
      </c>
      <c r="E95" s="672" t="s">
        <v>829</v>
      </c>
      <c r="F95" s="731" t="s">
        <v>546</v>
      </c>
      <c r="G95" s="733"/>
      <c r="H95" s="1030"/>
      <c r="I95" s="733"/>
      <c r="J95" s="1030"/>
      <c r="K95" s="277" t="s">
        <v>830</v>
      </c>
    </row>
    <row s="2623" customFormat="1" customHeight="1" ht="33.75" hidden="1">
      <c r="A96" s="2232"/>
      <c r="B96" s="517"/>
      <c r="D96" s="671" t="s">
        <v>92</v>
      </c>
      <c r="E96" s="672" t="s">
        <v>831</v>
      </c>
      <c r="F96" s="732" t="s">
        <v>722</v>
      </c>
      <c r="G96" s="734"/>
      <c r="H96" s="1030"/>
      <c r="I96" s="734"/>
      <c r="J96" s="1030"/>
      <c r="K96" s="277"/>
    </row>
    <row s="2623" customFormat="1" customHeight="1" ht="22.5" hidden="1">
      <c r="A97" s="2232"/>
      <c r="B97" s="517" t="s">
        <v>576</v>
      </c>
      <c r="D97" s="671" t="s">
        <v>93</v>
      </c>
      <c r="E97" s="672" t="s">
        <v>832</v>
      </c>
      <c r="F97" s="732" t="s">
        <v>299</v>
      </c>
      <c r="G97" s="391"/>
      <c r="H97" s="1030"/>
      <c r="I97" s="391"/>
      <c r="J97" s="1030"/>
      <c r="K97" s="277" t="s">
        <v>791</v>
      </c>
    </row>
    <row s="2623" customFormat="1" customHeight="1" ht="45" hidden="1">
      <c r="A98" s="2232"/>
      <c r="B98" s="517" t="s">
        <v>576</v>
      </c>
      <c r="D98" s="671" t="s">
        <v>833</v>
      </c>
      <c r="E98" s="673" t="s">
        <v>834</v>
      </c>
      <c r="F98" s="727" t="s">
        <v>299</v>
      </c>
      <c r="G98" s="391"/>
      <c r="H98" s="1030"/>
      <c r="I98" s="391"/>
      <c r="J98" s="1030"/>
      <c r="K98" s="277" t="s">
        <v>791</v>
      </c>
    </row>
    <row s="2623" customFormat="1" customHeight="1" ht="95.25" hidden="1">
      <c r="A99" s="2232"/>
      <c r="B99" s="517" t="s">
        <v>576</v>
      </c>
      <c r="D99" s="671" t="s">
        <v>113</v>
      </c>
      <c r="E99" s="672" t="s">
        <v>835</v>
      </c>
      <c r="F99" s="727" t="s">
        <v>299</v>
      </c>
      <c r="G99" s="391"/>
      <c r="H99" s="1030"/>
      <c r="I99" s="391"/>
      <c r="J99" s="1030"/>
      <c r="K99" s="277" t="s">
        <v>791</v>
      </c>
    </row>
    <row s="2623" customFormat="1" customHeight="1" ht="22.5" hidden="1">
      <c r="A100" s="2232"/>
      <c r="B100" s="517" t="s">
        <v>576</v>
      </c>
      <c r="D100" s="671" t="s">
        <v>149</v>
      </c>
      <c r="E100" s="672" t="s">
        <v>836</v>
      </c>
      <c r="F100" s="727" t="s">
        <v>299</v>
      </c>
      <c r="G100" s="391"/>
      <c r="H100" s="1030"/>
      <c r="I100" s="391"/>
      <c r="J100" s="1030"/>
      <c r="K100" s="277" t="s">
        <v>791</v>
      </c>
    </row>
    <row s="2627" customFormat="1" customHeight="1" ht="11.25">
      <c r="A101" s="1040"/>
      <c r="B101" s="524"/>
      <c r="D101" s="1041"/>
      <c r="E101" s="1042"/>
    </row>
  </sheetData>
  <sheetProtection formatColumns="0" formatRows="0" autoFilter="0" sort="0" insertRows="0" insertColumns="1" deleteRows="0" deleteColumns="0"/>
  <mergeCells count="18">
    <mergeCell ref="A37:A63"/>
    <mergeCell ref="A65:A75"/>
    <mergeCell ref="A77:A100"/>
    <mergeCell ref="A13:A35"/>
    <mergeCell ref="A11:B11"/>
    <mergeCell ref="D3:F3"/>
    <mergeCell ref="K7:K11"/>
    <mergeCell ref="G7:H7"/>
    <mergeCell ref="E7:F7"/>
    <mergeCell ref="E8:F8"/>
    <mergeCell ref="E9:F9"/>
    <mergeCell ref="G8:H8"/>
    <mergeCell ref="G9:H9"/>
    <mergeCell ref="D4:F4"/>
    <mergeCell ref="I7:J7"/>
    <mergeCell ref="I8:J8"/>
    <mergeCell ref="I9:J9"/>
    <mergeCell ref="D10:J10"/>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J13:J14 J31:J32">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6A5FE5B-F004-606E-6727-429EC977FF35}" mc:Ignorable="x14ac xr xr2 xr3">
  <sheetPr>
    <tabColor rgb="FFE26B0A"/>
  </sheetPr>
  <dimension ref="A1:U39"/>
  <sheetViews>
    <sheetView topLeftCell="A1" showGridLines="0" zoomScale="90" workbookViewId="0">
      <selection activeCell="A1" sqref="A1"/>
    </sheetView>
  </sheetViews>
  <sheetFormatPr defaultColWidth="10.57421875" customHeight="1" defaultRowHeight="15"/>
  <cols>
    <col min="1" max="1" style="3151" width="9.140625" hidden="1" customWidth="1"/>
    <col min="2" max="2" style="3153" width="9.140625" hidden="1" customWidth="1"/>
    <col min="3" max="3" style="4152" width="4.7109375" customWidth="1"/>
    <col min="4" max="4" style="3153" width="6.28125" customWidth="1"/>
    <col min="5" max="5" style="3153" width="36.7109375" customWidth="1"/>
    <col min="6" max="6" style="3153" width="9.57421875" customWidth="1"/>
    <col min="7" max="7" style="2623" width="25.7109375" hidden="1" customWidth="1"/>
    <col min="8" max="8" style="2623" width="33.7109375" hidden="1" customWidth="1"/>
    <col min="9" max="9" style="3153" width="25.7109375" customWidth="1"/>
    <col min="10" max="10" style="3153" width="33.7109375" customWidth="1"/>
    <col min="11" max="11" style="2624" width="93.421875" customWidth="1"/>
    <col min="12" max="20" style="3153" width="10.57421875"/>
    <col min="21" max="21" style="4086" width="10.57421875"/>
  </cols>
  <sheetData>
    <row s="2624" customFormat="1" customHeight="1" ht="15" hidden="1">
      <c r="C1" s="678"/>
      <c r="G1" s="423">
        <v>4</v>
      </c>
      <c r="I1" s="423">
        <v>4</v>
      </c>
      <c r="U1" s="426"/>
    </row>
    <row s="2624" customFormat="1" customHeight="1" ht="15" hidden="1">
      <c r="C2" s="678"/>
      <c r="U2" s="426"/>
    </row>
    <row customHeight="1" ht="22.5" hidden="1">
      <c r="A3" s="511"/>
      <c r="B3" s="2234"/>
      <c r="C3" s="2235"/>
      <c r="D3" s="695" t="str">
        <f>B3&amp;".1"</f>
        <v>.1</v>
      </c>
      <c r="E3" s="696" t="s">
        <v>837</v>
      </c>
      <c r="F3" s="697" t="s">
        <v>299</v>
      </c>
      <c r="G3" s="692"/>
      <c r="H3" s="407"/>
      <c r="I3" s="692"/>
      <c r="J3" s="407"/>
      <c r="K3" s="277" t="s">
        <v>838</v>
      </c>
    </row>
    <row customHeight="1" ht="15" hidden="1">
      <c r="A4" s="511"/>
      <c r="B4" s="2234"/>
      <c r="C4" s="2235"/>
      <c r="D4" s="695" t="str">
        <f>B3&amp;".2"</f>
        <v>.2</v>
      </c>
      <c r="E4" s="696" t="s">
        <v>839</v>
      </c>
      <c r="F4" s="697" t="s">
        <v>299</v>
      </c>
      <c r="G4" s="1778" t="s">
        <v>24</v>
      </c>
      <c r="H4" s="407"/>
      <c r="I4" s="1778" t="s">
        <v>24</v>
      </c>
      <c r="J4" s="407"/>
      <c r="K4" s="277" t="s">
        <v>840</v>
      </c>
    </row>
    <row s="2624" customFormat="1" customHeight="1" ht="15" hidden="1">
      <c r="C5" s="678"/>
      <c r="U5" s="426"/>
    </row>
    <row customHeight="1" ht="22.5" hidden="1">
      <c r="A6" s="511"/>
      <c r="B6" s="2234"/>
      <c r="C6" s="2235"/>
      <c r="D6" s="695" t="str">
        <f>B6&amp;".1"</f>
        <v>.1</v>
      </c>
      <c r="E6" s="696" t="s">
        <v>841</v>
      </c>
      <c r="F6" s="697" t="s">
        <v>299</v>
      </c>
      <c r="G6" s="692"/>
      <c r="H6" s="407"/>
      <c r="I6" s="692"/>
      <c r="J6" s="407"/>
      <c r="K6" s="277" t="s">
        <v>842</v>
      </c>
    </row>
    <row customHeight="1" ht="15" hidden="1">
      <c r="A7" s="511"/>
      <c r="B7" s="2234"/>
      <c r="C7" s="2235"/>
      <c r="D7" s="695" t="str">
        <f>B6&amp;".2"</f>
        <v>.2</v>
      </c>
      <c r="E7" s="696" t="s">
        <v>839</v>
      </c>
      <c r="F7" s="697" t="s">
        <v>299</v>
      </c>
      <c r="G7" s="1778" t="s">
        <v>24</v>
      </c>
      <c r="H7" s="407"/>
      <c r="I7" s="1778" t="s">
        <v>24</v>
      </c>
      <c r="J7" s="407"/>
      <c r="K7" s="277" t="s">
        <v>840</v>
      </c>
    </row>
    <row s="2624" customFormat="1" customHeight="1" ht="15" hidden="1">
      <c r="C8" s="678"/>
      <c r="U8" s="426"/>
    </row>
    <row customHeight="1" ht="22.5" hidden="1">
      <c r="A9" s="511"/>
      <c r="B9" s="2234"/>
      <c r="C9" s="2235"/>
      <c r="D9" s="695" t="str">
        <f>B9&amp;".1"</f>
        <v>.1</v>
      </c>
      <c r="E9" s="696" t="s">
        <v>843</v>
      </c>
      <c r="F9" s="697" t="s">
        <v>299</v>
      </c>
      <c r="G9" s="703" t="s">
        <v>24</v>
      </c>
      <c r="H9" s="407" t="s">
        <v>24</v>
      </c>
      <c r="I9" s="703" t="s">
        <v>24</v>
      </c>
      <c r="J9" s="407" t="s">
        <v>24</v>
      </c>
      <c r="K9" s="277"/>
    </row>
    <row customHeight="1" ht="15" hidden="1">
      <c r="A10" s="511"/>
      <c r="B10" s="2234"/>
      <c r="C10" s="2235"/>
      <c r="D10" s="695" t="str">
        <f>B9&amp;".2"</f>
        <v>.2</v>
      </c>
      <c r="E10" s="696" t="s">
        <v>844</v>
      </c>
      <c r="F10" s="697" t="s">
        <v>299</v>
      </c>
      <c r="G10" s="1772" t="s">
        <v>24</v>
      </c>
      <c r="H10" s="407" t="s">
        <v>24</v>
      </c>
      <c r="I10" s="1772" t="s">
        <v>24</v>
      </c>
      <c r="J10" s="407" t="s">
        <v>24</v>
      </c>
      <c r="K10" s="277" t="s">
        <v>845</v>
      </c>
    </row>
    <row customHeight="1" ht="15" hidden="1">
      <c r="A11" s="511"/>
      <c r="B11" s="2234"/>
      <c r="C11" s="2235"/>
      <c r="D11" s="695" t="str">
        <f>B9&amp;".3"</f>
        <v>.3</v>
      </c>
      <c r="E11" s="696" t="s">
        <v>846</v>
      </c>
      <c r="F11" s="697" t="s">
        <v>299</v>
      </c>
      <c r="G11" s="1772" t="s">
        <v>24</v>
      </c>
      <c r="H11" s="407" t="s">
        <v>24</v>
      </c>
      <c r="I11" s="1772" t="s">
        <v>24</v>
      </c>
      <c r="J11" s="407" t="s">
        <v>24</v>
      </c>
      <c r="K11" s="277" t="s">
        <v>847</v>
      </c>
    </row>
    <row s="2624" customFormat="1" customHeight="1" ht="15" hidden="1">
      <c r="C12" s="678"/>
      <c r="U12" s="426"/>
    </row>
    <row customHeight="1" ht="33.75" hidden="1">
      <c r="A13" s="511"/>
      <c r="B13" s="2234"/>
      <c r="C13" s="2235"/>
      <c r="D13" s="695" t="str">
        <f>B13&amp;".1"</f>
        <v>.1</v>
      </c>
      <c r="E13" s="696" t="s">
        <v>848</v>
      </c>
      <c r="F13" s="697" t="s">
        <v>299</v>
      </c>
      <c r="G13" s="703" t="s">
        <v>24</v>
      </c>
      <c r="H13" s="407" t="s">
        <v>24</v>
      </c>
      <c r="I13" s="703" t="s">
        <v>24</v>
      </c>
      <c r="J13" s="407" t="s">
        <v>24</v>
      </c>
      <c r="K13" s="277" t="s">
        <v>849</v>
      </c>
    </row>
    <row customHeight="1" ht="15" hidden="1">
      <c r="B14" s="2234"/>
      <c r="C14" s="2235"/>
      <c r="D14" s="695" t="str">
        <f>B13&amp;".2"</f>
        <v>.2</v>
      </c>
      <c r="E14" s="696" t="s">
        <v>850</v>
      </c>
      <c r="F14" s="697" t="s">
        <v>299</v>
      </c>
      <c r="G14" s="1772" t="s">
        <v>24</v>
      </c>
      <c r="H14" s="407" t="s">
        <v>24</v>
      </c>
      <c r="I14" s="1772" t="s">
        <v>24</v>
      </c>
      <c r="J14" s="407" t="s">
        <v>24</v>
      </c>
      <c r="K14" s="277" t="s">
        <v>851</v>
      </c>
    </row>
    <row s="2624" customFormat="1" customHeight="1" ht="15" hidden="1">
      <c r="C15" s="678"/>
      <c r="U15" s="426"/>
    </row>
    <row s="2624" customFormat="1" customHeight="1" ht="15" hidden="1">
      <c r="C16" s="678"/>
      <c r="U16" s="426"/>
    </row>
    <row s="2624" customFormat="1" customHeight="1" ht="15" hidden="1">
      <c r="C17" s="678"/>
      <c r="U17" s="426"/>
    </row>
    <row s="2624" customFormat="1" customHeight="1" ht="15" hidden="1">
      <c r="C18" s="678"/>
      <c r="U18" s="426"/>
    </row>
    <row s="2624" customFormat="1" customHeight="1" ht="15" hidden="1">
      <c r="C19" s="678"/>
      <c r="U19" s="426"/>
    </row>
    <row s="2624" customFormat="1" customHeight="1" ht="15" hidden="1">
      <c r="C20" s="678"/>
      <c r="U20" s="426"/>
    </row>
    <row customHeight="1" ht="15">
      <c r="C21" s="162"/>
      <c r="D21" s="515"/>
      <c r="E21" s="515"/>
      <c r="F21" s="515"/>
      <c r="G21" s="515"/>
      <c r="H21" s="515"/>
      <c r="I21" s="515"/>
      <c r="J21" s="515"/>
    </row>
    <row customHeight="1" ht="22.5">
      <c r="C22" s="162"/>
      <c r="D22" s="2085"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085"/>
      <c r="F22" s="2085"/>
      <c r="G22" s="2085"/>
      <c r="H22" s="2085"/>
      <c r="I22" s="2085"/>
      <c r="J22" s="682"/>
      <c r="K22" s="543"/>
    </row>
    <row customHeight="1" ht="15">
      <c r="C23" s="162"/>
      <c r="D23" s="2053" t="str">
        <f>IF(org=0,"Не определено",org)</f>
        <v>ЗАО "Байкалэнерго"</v>
      </c>
      <c r="E23" s="2053"/>
      <c r="F23" s="2053"/>
      <c r="G23" s="2053"/>
      <c r="H23" s="2053"/>
      <c r="I23" s="2053"/>
      <c r="J23" s="682"/>
      <c r="K23" s="543"/>
    </row>
    <row customHeight="1" ht="15">
      <c r="C24" s="162"/>
      <c r="D24" s="515"/>
      <c r="E24" s="515"/>
      <c r="F24" s="515"/>
      <c r="G24" s="543">
        <v>22</v>
      </c>
      <c r="H24" s="758"/>
      <c r="I24" s="543">
        <v>22</v>
      </c>
      <c r="J24" s="758"/>
    </row>
    <row s="2623" customFormat="1" customHeight="1" ht="0.75">
      <c r="A25" s="765"/>
      <c r="C25" s="162"/>
      <c r="D25" s="515"/>
      <c r="E25" s="515"/>
      <c r="F25" s="515"/>
      <c r="G25" s="543"/>
      <c r="H25" s="758"/>
      <c r="I25" s="543" t="s">
        <v>118</v>
      </c>
      <c r="J25" s="758"/>
      <c r="K25" s="423"/>
      <c r="U25" s="681"/>
    </row>
    <row customHeight="1" ht="15">
      <c r="C26" s="162"/>
      <c r="D26" s="717"/>
      <c r="E26" s="2213" t="s">
        <v>106</v>
      </c>
      <c r="F26" s="2214"/>
      <c r="G26" s="2236" t="str">
        <f>IF(G25="","",INDEX(DIFFERENTIATION_UNMERGE_VD,MATCH(G25,DIFFERENTIATION_ID_DIFF,0)))</f>
        <v/>
      </c>
      <c r="H26" s="2237"/>
      <c r="I26" s="2236">
        <f>IF(I25="","",INDEX(DIFFERENTIATION_UNMERGE_VD,MATCH(I25,DIFFERENTIATION_ID_DIFF,0)))</f>
        <v>0</v>
      </c>
      <c r="J26" s="2237"/>
      <c r="K26" s="2028" t="s">
        <v>294</v>
      </c>
    </row>
    <row s="2623" customFormat="1" customHeight="1" ht="15">
      <c r="A27" s="765"/>
      <c r="C27" s="162"/>
      <c r="D27" s="717"/>
      <c r="E27" s="2213" t="s">
        <v>552</v>
      </c>
      <c r="F27" s="2214"/>
      <c r="G27" s="2236" t="str">
        <f>IF(G25="","",INDEX(DIFFERENTIATION_UNMERGE_AREA,MATCH(G25,DIFFERENTIATION_ID_DIFF,0)))</f>
        <v/>
      </c>
      <c r="H27" s="2237"/>
      <c r="I27" s="2236" t="str">
        <f>IF(I25="","",INDEX(DIFFERENTIATION_UNMERGE_AREA,MATCH(I25,DIFFERENTIATION_ID_DIFF,0)))</f>
        <v/>
      </c>
      <c r="J27" s="2237"/>
      <c r="K27" s="2032"/>
      <c r="U27" s="681"/>
    </row>
    <row s="2623" customFormat="1" customHeight="1" ht="15">
      <c r="A28" s="765"/>
      <c r="C28" s="162"/>
      <c r="D28" s="717"/>
      <c r="E28" s="2213" t="s">
        <v>553</v>
      </c>
      <c r="F28" s="2214"/>
      <c r="G28" s="2236" t="str">
        <f>IF(G25="","",INDEX(DIFFERENTIATION_UNMERGE_SYSTEM,MATCH(G25,DIFFERENTIATION_ID_DIFF,0)))</f>
        <v/>
      </c>
      <c r="H28" s="2237"/>
      <c r="I28" s="2236" t="str">
        <f>IF(I25="","",INDEX(DIFFERENTIATION_UNMERGE_SYSTEM,MATCH(I25,DIFFERENTIATION_ID_DIFF,0)))</f>
        <v>без дифференциации</v>
      </c>
      <c r="J28" s="2237"/>
      <c r="K28" s="2032"/>
      <c r="U28" s="681"/>
    </row>
    <row s="2623" customFormat="1" customHeight="1" ht="15">
      <c r="A29" s="765"/>
      <c r="C29" s="162"/>
      <c r="D29" s="2215" t="s">
        <v>293</v>
      </c>
      <c r="E29" s="2216"/>
      <c r="F29" s="2216"/>
      <c r="G29" s="893"/>
      <c r="H29" s="893"/>
      <c r="I29" s="893"/>
      <c r="J29" s="894"/>
      <c r="K29" s="2032"/>
      <c r="U29" s="681"/>
    </row>
    <row customHeight="1" ht="33.75">
      <c r="C30" s="162"/>
      <c r="D30" s="767" t="s">
        <v>88</v>
      </c>
      <c r="E30" s="766" t="s">
        <v>295</v>
      </c>
      <c r="F30" s="766" t="s">
        <v>554</v>
      </c>
      <c r="G30" s="814" t="s">
        <v>296</v>
      </c>
      <c r="H30" s="813" t="s">
        <v>385</v>
      </c>
      <c r="I30" s="690" t="s">
        <v>296</v>
      </c>
      <c r="J30" s="471" t="s">
        <v>385</v>
      </c>
      <c r="K30" s="2038"/>
    </row>
    <row customHeight="1" ht="15" hidden="1">
      <c r="C31" s="162"/>
      <c r="D31" s="599"/>
      <c r="E31" s="599"/>
      <c r="F31" s="599"/>
      <c r="G31" s="665"/>
      <c r="H31" s="665"/>
      <c r="I31" s="665"/>
      <c r="J31" s="665"/>
      <c r="K31" s="277"/>
    </row>
    <row customHeight="1" ht="22.5">
      <c r="A32" s="511"/>
      <c r="B32" s="511" t="s">
        <v>852</v>
      </c>
      <c r="C32" s="532"/>
      <c r="D32" s="698">
        <v>1</v>
      </c>
      <c r="E32" s="699" t="s">
        <v>853</v>
      </c>
      <c r="F32" s="697" t="s">
        <v>299</v>
      </c>
      <c r="G32" s="819" t="s">
        <v>299</v>
      </c>
      <c r="H32" s="819" t="s">
        <v>299</v>
      </c>
      <c r="I32" s="697" t="s">
        <v>299</v>
      </c>
      <c r="J32" s="697" t="s">
        <v>299</v>
      </c>
      <c r="K32" s="277"/>
    </row>
    <row customHeight="1" ht="11.25">
      <c r="A33" s="511"/>
      <c r="C33" s="511"/>
      <c r="D33" s="343"/>
      <c r="E33" s="586" t="s">
        <v>574</v>
      </c>
      <c r="F33" s="578"/>
      <c r="G33" s="578"/>
      <c r="H33" s="578"/>
      <c r="I33" s="578"/>
      <c r="J33" s="578"/>
      <c r="K33" s="579"/>
      <c r="U33" s="511"/>
    </row>
    <row customHeight="1" ht="22.5">
      <c r="A34" s="511"/>
      <c r="B34" s="587" t="s">
        <v>854</v>
      </c>
      <c r="C34" s="532"/>
      <c r="D34" s="698">
        <v>2</v>
      </c>
      <c r="E34" s="699" t="s">
        <v>855</v>
      </c>
      <c r="F34" s="826" t="s">
        <v>299</v>
      </c>
      <c r="G34" s="826" t="s">
        <v>299</v>
      </c>
      <c r="H34" s="826" t="s">
        <v>299</v>
      </c>
      <c r="I34" s="697"/>
      <c r="J34" s="697"/>
      <c r="K34" s="277"/>
    </row>
    <row customHeight="1" ht="11.25">
      <c r="A35" s="511"/>
      <c r="C35" s="511"/>
      <c r="D35" s="343"/>
      <c r="E35" s="586" t="s">
        <v>856</v>
      </c>
      <c r="F35" s="578"/>
      <c r="G35" s="700"/>
      <c r="H35" s="578"/>
      <c r="I35" s="700"/>
      <c r="J35" s="578"/>
      <c r="K35" s="579"/>
      <c r="U35" s="511"/>
    </row>
    <row customHeight="1" ht="67.5">
      <c r="A36" s="511"/>
      <c r="B36" s="511" t="s">
        <v>857</v>
      </c>
      <c r="C36" s="532"/>
      <c r="D36" s="698">
        <v>3</v>
      </c>
      <c r="E36" s="699" t="s">
        <v>858</v>
      </c>
      <c r="F36" s="701" t="s">
        <v>299</v>
      </c>
      <c r="G36" s="820" t="s">
        <v>859</v>
      </c>
      <c r="H36" s="819" t="s">
        <v>299</v>
      </c>
      <c r="I36" s="530" t="s">
        <v>859</v>
      </c>
      <c r="J36" s="697" t="s">
        <v>299</v>
      </c>
      <c r="K36" s="277" t="s">
        <v>860</v>
      </c>
    </row>
    <row customHeight="1" ht="11.25">
      <c r="A37" s="511"/>
      <c r="C37" s="511"/>
      <c r="D37" s="343"/>
      <c r="E37" s="586" t="s">
        <v>861</v>
      </c>
      <c r="F37" s="578"/>
      <c r="G37" s="700"/>
      <c r="H37" s="700"/>
      <c r="I37" s="700"/>
      <c r="J37" s="700"/>
      <c r="K37" s="579"/>
      <c r="U37" s="511"/>
    </row>
    <row customHeight="1" ht="67.5">
      <c r="A38" s="511"/>
      <c r="B38" s="511" t="s">
        <v>862</v>
      </c>
      <c r="C38" s="532"/>
      <c r="D38" s="698">
        <v>4</v>
      </c>
      <c r="E38" s="699" t="s">
        <v>863</v>
      </c>
      <c r="F38" s="701" t="s">
        <v>299</v>
      </c>
      <c r="G38" s="820" t="s">
        <v>859</v>
      </c>
      <c r="H38" s="821" t="s">
        <v>299</v>
      </c>
      <c r="I38" s="530" t="s">
        <v>859</v>
      </c>
      <c r="J38" s="527" t="s">
        <v>299</v>
      </c>
      <c r="K38" s="685" t="s">
        <v>864</v>
      </c>
    </row>
    <row customHeight="1" ht="11.25">
      <c r="A39" s="511"/>
      <c r="C39" s="511"/>
      <c r="D39" s="343"/>
      <c r="E39" s="586" t="s">
        <v>865</v>
      </c>
      <c r="F39" s="578"/>
      <c r="G39" s="578"/>
      <c r="H39" s="702"/>
      <c r="I39" s="578"/>
      <c r="J39" s="702"/>
      <c r="K39" s="579"/>
      <c r="U39" s="511"/>
    </row>
  </sheetData>
  <sheetProtection formatColumns="0" formatRows="0" autoFilter="0" sort="0" insertRows="0" insertColumns="1" deleteRows="0" deleteColumns="0"/>
  <mergeCells count="21">
    <mergeCell ref="G28:H28"/>
    <mergeCell ref="K26:K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J3:J4 J6:J7 H3:H4 H6:H7 H9:H11 H13:H14 J9:J11">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034CAD5-D624-9D58-4351-B4244A4B5F41}" mc:Ignorable="x14ac xr xr2 xr3">
  <sheetPr>
    <tabColor theme="9" tint="-0.25"/>
  </sheetPr>
  <dimension ref="A1:AD15"/>
  <sheetViews>
    <sheetView topLeftCell="A1" showGridLines="0" zoomScale="85" workbookViewId="0">
      <selection activeCell="A1" sqref="A1"/>
    </sheetView>
  </sheetViews>
  <sheetFormatPr defaultColWidth="9.140625" customHeight="1" defaultRowHeight="10.5"/>
  <cols>
    <col min="1" max="3" style="4153" width="6.7109375" hidden="1" customWidth="1"/>
    <col min="4" max="4" style="2624" width="6.7109375" hidden="1" customWidth="1"/>
    <col min="5" max="5" style="2627" width="3.7109375" customWidth="1"/>
    <col min="6" max="6" style="2623" width="6.28125" customWidth="1"/>
    <col min="7" max="7" style="2623" width="37.7109375" customWidth="1"/>
    <col min="8" max="8" style="2939" width="16.57421875" customWidth="1"/>
    <col min="9" max="10" style="2623" width="19.7109375" customWidth="1"/>
    <col min="11" max="11" style="2623" width="25.00390625" customWidth="1"/>
    <col min="12" max="13" style="2623" width="25.7109375" customWidth="1"/>
    <col min="14" max="16" style="2623" width="17.7109375" customWidth="1"/>
    <col min="17" max="24" style="2623" width="19.7109375" customWidth="1"/>
    <col min="25" max="25" style="2623" width="8.00390625" customWidth="1"/>
    <col min="26" max="26" style="2623" width="3.28125" customWidth="1"/>
    <col min="27" max="27" style="2623" width="6.28125" customWidth="1"/>
    <col min="28" max="28" style="2623" width="34.140625" customWidth="1"/>
    <col min="29" max="30" style="2623" width="9.140625"/>
  </cols>
  <sheetData>
    <row s="2624" customFormat="1" customHeight="1" ht="10.5" hidden="1">
      <c r="A1" s="901"/>
      <c r="B1" s="901"/>
      <c r="C1" s="901"/>
      <c r="E1" s="543"/>
      <c r="H1" s="1168"/>
    </row>
    <row customHeight="1" ht="10.5" hidden="1"/>
    <row s="3097" customFormat="1" customHeight="1" ht="10.5" hidden="1">
      <c r="A3" s="901"/>
      <c r="B3" s="901"/>
      <c r="C3" s="901"/>
      <c r="D3" s="423"/>
      <c r="E3" s="360"/>
      <c r="H3" s="1164"/>
    </row>
    <row customHeight="1" ht="3"/>
    <row customHeight="1" ht="25.5">
      <c r="F5" s="2140"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140"/>
      <c r="H5" s="2140"/>
      <c r="I5" s="2140"/>
      <c r="J5" s="2140"/>
      <c r="K5" s="2140"/>
      <c r="M5" s="588"/>
      <c r="AB5" s="912"/>
    </row>
    <row s="2948" customFormat="1" customHeight="1" ht="15.75">
      <c r="A6" s="1174"/>
      <c r="B6" s="1174"/>
      <c r="C6" s="1174"/>
      <c r="D6" s="1168"/>
      <c r="E6" s="1675"/>
      <c r="F6" s="2141" t="str">
        <f>IF(org=0,"Не определено",org)</f>
        <v>ЗАО "Байкалэнерго"</v>
      </c>
      <c r="G6" s="2141"/>
      <c r="H6" s="2141"/>
      <c r="I6" s="2141"/>
      <c r="J6" s="2141"/>
      <c r="K6" s="2141"/>
      <c r="M6" s="588"/>
      <c r="AB6" s="1156"/>
    </row>
    <row r="8" customHeight="1" ht="10.5">
      <c r="A8" s="1058"/>
      <c r="B8" s="1058"/>
      <c r="C8" s="1058"/>
      <c r="F8" s="1955" t="s">
        <v>293</v>
      </c>
      <c r="G8" s="1956"/>
      <c r="H8" s="1956"/>
      <c r="I8" s="1956"/>
      <c r="J8" s="1956"/>
      <c r="K8" s="1956"/>
      <c r="L8" s="1956"/>
      <c r="M8" s="1956"/>
      <c r="N8" s="1956"/>
      <c r="O8" s="1956"/>
      <c r="P8" s="1956"/>
      <c r="Q8" s="1956"/>
      <c r="R8" s="1956"/>
      <c r="S8" s="1956"/>
      <c r="T8" s="1956"/>
      <c r="U8" s="1956"/>
      <c r="V8" s="1956"/>
      <c r="W8" s="1956"/>
      <c r="X8" s="1956"/>
      <c r="Y8" s="1956"/>
      <c r="Z8" s="1956"/>
      <c r="AA8" s="1956"/>
      <c r="AB8" s="1957"/>
    </row>
    <row customHeight="1" ht="41.25">
      <c r="A9" s="911"/>
      <c r="B9" s="911"/>
      <c r="C9" s="911"/>
      <c r="F9" s="1971" t="s">
        <v>88</v>
      </c>
      <c r="G9" s="1971" t="s">
        <v>866</v>
      </c>
      <c r="H9" s="2028" t="s">
        <v>867</v>
      </c>
      <c r="I9" s="1971" t="s">
        <v>868</v>
      </c>
      <c r="J9" s="1971" t="s">
        <v>869</v>
      </c>
      <c r="K9" s="1971" t="s">
        <v>870</v>
      </c>
      <c r="L9" s="1971" t="s">
        <v>871</v>
      </c>
      <c r="M9" s="1971" t="s">
        <v>872</v>
      </c>
      <c r="N9" s="2062" t="s">
        <v>873</v>
      </c>
      <c r="O9" s="2062"/>
      <c r="P9" s="2062"/>
      <c r="Q9" s="2242" t="s">
        <v>874</v>
      </c>
      <c r="R9" s="2243"/>
      <c r="S9" s="2243"/>
      <c r="T9" s="2244"/>
      <c r="U9" s="2242" t="s">
        <v>875</v>
      </c>
      <c r="V9" s="2243"/>
      <c r="W9" s="2243"/>
      <c r="X9" s="2244"/>
      <c r="Y9" s="1955" t="s">
        <v>876</v>
      </c>
      <c r="Z9" s="1956"/>
      <c r="AA9" s="1956"/>
      <c r="AB9" s="1957"/>
    </row>
    <row customHeight="1" ht="41.25">
      <c r="A10" s="911"/>
      <c r="B10" s="911"/>
      <c r="C10" s="911"/>
      <c r="F10" s="2028"/>
      <c r="G10" s="2028"/>
      <c r="H10" s="2090"/>
      <c r="I10" s="2028"/>
      <c r="J10" s="2028"/>
      <c r="K10" s="2028"/>
      <c r="L10" s="2028"/>
      <c r="M10" s="2028"/>
      <c r="N10" s="909" t="s">
        <v>877</v>
      </c>
      <c r="O10" s="909" t="s">
        <v>878</v>
      </c>
      <c r="P10" s="910" t="s">
        <v>879</v>
      </c>
      <c r="Q10" s="921" t="s">
        <v>89</v>
      </c>
      <c r="R10" s="921" t="s">
        <v>880</v>
      </c>
      <c r="S10" s="921" t="s">
        <v>881</v>
      </c>
      <c r="T10" s="922" t="s">
        <v>882</v>
      </c>
      <c r="U10" s="921" t="s">
        <v>89</v>
      </c>
      <c r="V10" s="921" t="s">
        <v>883</v>
      </c>
      <c r="W10" s="921" t="s">
        <v>881</v>
      </c>
      <c r="X10" s="922" t="s">
        <v>882</v>
      </c>
      <c r="Y10" s="289" t="s">
        <v>884</v>
      </c>
      <c r="Z10" s="1955" t="s">
        <v>88</v>
      </c>
      <c r="AA10" s="1957"/>
      <c r="AB10" s="1056" t="s">
        <v>885</v>
      </c>
    </row>
    <row s="2611" customFormat="1" customHeight="1" ht="5.25" hidden="1">
      <c r="A11" s="1059"/>
      <c r="B11" s="1059"/>
      <c r="C11" s="1059"/>
      <c r="E11" s="1057"/>
      <c r="F11" s="2240" t="s">
        <v>371</v>
      </c>
      <c r="G11" s="2245"/>
      <c r="H11" s="2238"/>
      <c r="I11" s="2238"/>
      <c r="J11" s="2238"/>
      <c r="K11" s="2241"/>
      <c r="L11" s="2241"/>
      <c r="M11" s="2241"/>
      <c r="N11" s="2238"/>
      <c r="O11" s="2238"/>
      <c r="P11" s="1971"/>
      <c r="Q11" s="2041"/>
      <c r="R11" s="2041"/>
      <c r="S11" s="2041"/>
      <c r="T11" s="2238"/>
      <c r="U11" s="2041"/>
      <c r="V11" s="2041"/>
      <c r="W11" s="2041"/>
      <c r="X11" s="2238"/>
      <c r="Y11" s="1982"/>
      <c r="Z11" s="1982"/>
      <c r="AA11" s="1982"/>
      <c r="AB11" s="1982"/>
      <c r="AD11" s="517" t="s">
        <v>886</v>
      </c>
    </row>
    <row s="2611" customFormat="1" customHeight="1" ht="5.25" hidden="1">
      <c r="A12" s="902"/>
      <c r="B12" s="902"/>
      <c r="C12" s="902"/>
      <c r="E12" s="524"/>
      <c r="F12" s="2240"/>
      <c r="G12" s="2245"/>
      <c r="H12" s="2238"/>
      <c r="I12" s="2238"/>
      <c r="J12" s="2238"/>
      <c r="K12" s="2241"/>
      <c r="L12" s="2241"/>
      <c r="M12" s="2241"/>
      <c r="N12" s="2238"/>
      <c r="O12" s="2238"/>
      <c r="P12" s="1971"/>
      <c r="Q12" s="2041"/>
      <c r="R12" s="2041"/>
      <c r="S12" s="2041"/>
      <c r="T12" s="2238"/>
      <c r="U12" s="2041"/>
      <c r="V12" s="2041"/>
      <c r="W12" s="2041"/>
      <c r="X12" s="2238"/>
      <c r="Y12" s="2239"/>
      <c r="Z12" s="2239"/>
      <c r="AA12" s="2239"/>
      <c r="AB12" s="2239"/>
    </row>
    <row customHeight="1" ht="10.5">
      <c r="F13" s="908"/>
      <c r="G13" s="656" t="s">
        <v>887</v>
      </c>
      <c r="H13" s="1176"/>
      <c r="I13" s="578"/>
      <c r="J13" s="578"/>
      <c r="K13" s="578"/>
      <c r="L13" s="578"/>
      <c r="M13" s="578"/>
      <c r="N13" s="578"/>
      <c r="O13" s="578"/>
      <c r="P13" s="578"/>
      <c r="Q13" s="578"/>
      <c r="R13" s="578"/>
      <c r="S13" s="578"/>
      <c r="T13" s="578"/>
      <c r="U13" s="578"/>
      <c r="V13" s="578"/>
      <c r="W13" s="578"/>
      <c r="X13" s="578"/>
      <c r="Y13" s="578"/>
      <c r="Z13" s="702"/>
      <c r="AA13" s="702"/>
      <c r="AB13" s="923"/>
    </row>
    <row r="15" s="2611" customFormat="1" customHeight="1" ht="10.5">
      <c r="A15" s="1175"/>
      <c r="B15" s="1175"/>
      <c r="C15" s="1175"/>
      <c r="E15" s="524"/>
      <c r="H15" s="517">
        <f>_xlfn.IFERROR(MATCH("нет",IP_MAIN_DIFFERENTIATION_EVENTS_FLAG,0),0)</f>
        <v>0</v>
      </c>
    </row>
  </sheetData>
  <sheetProtection formatColumns="0" formatRows="0" autoFilter="0" sort="0" insertRows="0" insertColumns="1" deleteRows="0" deleteColumns="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9AE4417-B9A2-6B52-F10F-64C3558AC49C}" mc:Ignorable="x14ac xr xr2 xr3">
  <sheetPr>
    <tabColor theme="9" tint="-0.25"/>
  </sheetPr>
  <dimension ref="A1:BF19"/>
  <sheetViews>
    <sheetView topLeftCell="A1" showGridLines="0" zoomScale="90" workbookViewId="0">
      <selection activeCell="A1" sqref="A1"/>
    </sheetView>
  </sheetViews>
  <sheetFormatPr defaultColWidth="9.140625" customHeight="1" defaultRowHeight="10.5"/>
  <cols>
    <col min="1" max="3" style="4153" width="4.140625" hidden="1" customWidth="1"/>
    <col min="4" max="4" style="2624" width="4.140625" hidden="1" customWidth="1"/>
    <col min="5" max="5" style="2627" width="3.7109375" customWidth="1"/>
    <col min="6" max="6" style="2623" width="14.421875" customWidth="1"/>
    <col min="7" max="7" style="2623" width="3.7109375" customWidth="1"/>
    <col min="8" max="8" style="2939" width="7.7109375" customWidth="1"/>
    <col min="9" max="10" style="2623" width="16.7109375" customWidth="1"/>
    <col min="11" max="11" style="2623" width="25.7109375" customWidth="1"/>
    <col min="12" max="12" style="4205" width="8.00390625" customWidth="1"/>
    <col min="13" max="13" style="4205" width="15.57421875" customWidth="1"/>
    <col min="14" max="14" style="2623" width="3.28125" customWidth="1"/>
    <col min="15" max="15" style="2623" width="4.7109375" customWidth="1"/>
    <col min="16" max="16" style="2623" width="9.00390625" customWidth="1"/>
    <col min="17" max="17" style="2623" width="21.7109375" customWidth="1"/>
    <col min="18" max="18" style="2623" width="14.7109375" customWidth="1"/>
    <col min="19" max="20" style="2623" width="17.7109375" customWidth="1"/>
    <col min="21" max="21" style="2623" width="9.7109375" customWidth="1"/>
    <col min="22" max="22" style="2623" width="12.7109375" customWidth="1"/>
    <col min="23" max="23" style="2623" width="9.7109375" customWidth="1"/>
    <col min="24" max="24" style="2623" width="21.7109375" customWidth="1"/>
    <col min="25" max="25" style="2623" width="12.7109375" customWidth="1"/>
    <col min="26" max="26" style="2623" width="3.28125" customWidth="1"/>
    <col min="27" max="27" style="2623" width="7.140625" customWidth="1"/>
    <col min="28" max="28" style="2623" width="38.421875" customWidth="1"/>
    <col min="29" max="29" style="2623" width="15.7109375" customWidth="1"/>
    <col min="30" max="30" style="4205" width="37.57421875" customWidth="1"/>
    <col min="31" max="31" style="2623" width="15.7109375" customWidth="1"/>
    <col min="32" max="33" style="2623" width="16.7109375" customWidth="1"/>
    <col min="34" max="34" style="4227" width="16.7109375" customWidth="1"/>
    <col min="35" max="35" style="4228" width="16.7109375" customWidth="1"/>
    <col min="36" max="37" style="2623" width="16.7109375" customWidth="1"/>
    <col min="38" max="58" style="2623" width="9.140625"/>
  </cols>
  <sheetData>
    <row s="2624" customFormat="1" customHeight="1" ht="10.5" hidden="1">
      <c r="A1" s="901"/>
      <c r="B1" s="901"/>
      <c r="C1" s="901"/>
      <c r="E1" s="543"/>
      <c r="H1" s="1168"/>
      <c r="L1" s="1136"/>
      <c r="M1" s="1136"/>
      <c r="AD1" s="1136"/>
      <c r="AH1" s="1155"/>
      <c r="AI1" s="1148"/>
    </row>
    <row customHeight="1" ht="10.5" hidden="1"/>
    <row s="3097" customFormat="1" customHeight="1" ht="10.5" hidden="1">
      <c r="A3" s="901"/>
      <c r="B3" s="901"/>
      <c r="C3" s="901"/>
      <c r="D3" s="423"/>
      <c r="E3" s="360"/>
      <c r="H3" s="1164"/>
      <c r="L3" s="1134"/>
      <c r="M3" s="1134"/>
      <c r="AD3" s="1134"/>
      <c r="AH3" s="1153"/>
      <c r="AI3" s="1146"/>
    </row>
    <row customHeight="1" ht="3"/>
    <row customHeight="1" ht="25.5">
      <c r="F5" s="2140"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140"/>
      <c r="H5" s="2140"/>
      <c r="I5" s="2140"/>
      <c r="J5" s="2140"/>
      <c r="K5" s="2140"/>
      <c r="L5" s="1143"/>
      <c r="M5" s="1143"/>
      <c r="AG5" s="912"/>
      <c r="AH5" s="1156"/>
    </row>
    <row customHeight="1" ht="10.5">
      <c r="F6" s="2053" t="str">
        <f>IF(org=0,"Не определено",org)</f>
        <v>ЗАО "Байкалэнерго"</v>
      </c>
      <c r="G6" s="2053"/>
      <c r="H6" s="2053"/>
      <c r="I6" s="2053"/>
      <c r="J6" s="2053"/>
      <c r="K6" s="2053"/>
      <c r="L6" s="1144"/>
      <c r="M6" s="1144"/>
    </row>
    <row customHeight="1" ht="11.25">
      <c r="E7" s="914"/>
      <c r="F7" s="925"/>
      <c r="G7" s="925"/>
      <c r="H7" s="1194"/>
      <c r="I7" s="925"/>
      <c r="J7" s="925"/>
      <c r="K7" s="927"/>
      <c r="L7" s="1141"/>
      <c r="M7" s="1141"/>
      <c r="N7" s="925"/>
      <c r="O7" s="925"/>
      <c r="P7" s="925"/>
      <c r="Q7" s="927"/>
      <c r="R7" s="925"/>
      <c r="S7" s="925"/>
      <c r="T7" s="925"/>
      <c r="U7" s="925"/>
      <c r="V7" s="925"/>
      <c r="W7" s="925"/>
      <c r="X7" s="925"/>
      <c r="Y7" s="925"/>
      <c r="Z7" s="925"/>
      <c r="AA7" s="925"/>
      <c r="AB7" s="925"/>
      <c r="AC7" s="926"/>
      <c r="AD7" s="1140"/>
      <c r="AE7" s="926"/>
      <c r="AF7" s="925"/>
      <c r="AG7" s="925"/>
      <c r="AH7" s="1158"/>
      <c r="AI7" s="1151"/>
      <c r="AJ7" s="925"/>
      <c r="AK7" s="925"/>
      <c r="AL7" s="916"/>
      <c r="AM7" s="916"/>
      <c r="AN7" s="916"/>
      <c r="AO7" s="913"/>
      <c r="AP7" s="913"/>
      <c r="AQ7" s="913"/>
      <c r="AR7" s="913"/>
      <c r="AS7" s="913"/>
      <c r="AT7" s="913"/>
      <c r="AU7" s="913"/>
      <c r="AV7" s="913"/>
      <c r="AW7" s="913"/>
      <c r="AX7" s="913"/>
      <c r="AY7" s="913"/>
      <c r="AZ7" s="913"/>
      <c r="BA7" s="913"/>
      <c r="BB7" s="913"/>
      <c r="BC7" s="913"/>
      <c r="BD7" s="913"/>
      <c r="BE7" s="913"/>
      <c r="BF7" s="913"/>
    </row>
    <row customHeight="1" ht="10.5">
      <c r="E8" s="914"/>
      <c r="F8" s="2255" t="s">
        <v>293</v>
      </c>
      <c r="G8" s="2256"/>
      <c r="H8" s="2256"/>
      <c r="I8" s="2256"/>
      <c r="J8" s="2256"/>
      <c r="K8" s="2256"/>
      <c r="L8" s="2256"/>
      <c r="M8" s="2256"/>
      <c r="N8" s="2256"/>
      <c r="O8" s="2256"/>
      <c r="P8" s="2256"/>
      <c r="Q8" s="2256"/>
      <c r="R8" s="2256"/>
      <c r="S8" s="2256"/>
      <c r="T8" s="2256"/>
      <c r="U8" s="2256"/>
      <c r="V8" s="2256"/>
      <c r="W8" s="2256"/>
      <c r="X8" s="2256"/>
      <c r="Y8" s="2256"/>
      <c r="Z8" s="2256"/>
      <c r="AA8" s="2256"/>
      <c r="AB8" s="2256"/>
      <c r="AC8" s="2256"/>
      <c r="AD8" s="2256"/>
      <c r="AE8" s="2256"/>
      <c r="AF8" s="2256"/>
      <c r="AG8" s="2256"/>
      <c r="AH8" s="2256"/>
      <c r="AI8" s="2256"/>
      <c r="AJ8" s="2256"/>
      <c r="AK8" s="2257"/>
      <c r="AL8" s="915"/>
      <c r="AM8" s="913"/>
      <c r="AN8" s="913"/>
      <c r="AO8" s="913"/>
      <c r="AP8" s="913"/>
      <c r="AQ8" s="913"/>
      <c r="AR8" s="913"/>
      <c r="AS8" s="913"/>
      <c r="AT8" s="913"/>
      <c r="AU8" s="913"/>
      <c r="AV8" s="913"/>
      <c r="AW8" s="913"/>
      <c r="AX8" s="913"/>
      <c r="AY8" s="913"/>
      <c r="AZ8" s="913"/>
      <c r="BA8" s="913"/>
      <c r="BB8" s="913"/>
      <c r="BC8" s="913"/>
      <c r="BD8" s="913"/>
      <c r="BE8" s="913"/>
      <c r="BF8" s="913"/>
    </row>
    <row customHeight="1" ht="23.25">
      <c r="A9" s="911"/>
      <c r="B9" s="911"/>
      <c r="C9" s="911"/>
      <c r="E9" s="914"/>
      <c r="F9" s="2248" t="s">
        <v>888</v>
      </c>
      <c r="G9" s="2249" t="s">
        <v>889</v>
      </c>
      <c r="H9" s="2250"/>
      <c r="I9" s="1971" t="s">
        <v>890</v>
      </c>
      <c r="J9" s="1971"/>
      <c r="K9" s="1971" t="s">
        <v>891</v>
      </c>
      <c r="L9" s="1971"/>
      <c r="M9" s="1971"/>
      <c r="N9" s="1971"/>
      <c r="O9" s="1971"/>
      <c r="P9" s="1971"/>
      <c r="Q9" s="1971"/>
      <c r="R9" s="1971"/>
      <c r="S9" s="1971"/>
      <c r="T9" s="1971"/>
      <c r="U9" s="1971"/>
      <c r="V9" s="1971"/>
      <c r="W9" s="1971"/>
      <c r="X9" s="1971"/>
      <c r="Y9" s="1971"/>
      <c r="Z9" s="2029" t="s">
        <v>892</v>
      </c>
      <c r="AA9" s="2030"/>
      <c r="AB9" s="1971" t="s">
        <v>893</v>
      </c>
      <c r="AC9" s="1971"/>
      <c r="AD9" s="1971"/>
      <c r="AE9" s="1971"/>
      <c r="AF9" s="2028" t="s">
        <v>894</v>
      </c>
      <c r="AG9" s="1971" t="s">
        <v>895</v>
      </c>
      <c r="AH9" s="1971"/>
      <c r="AI9" s="2028" t="s">
        <v>896</v>
      </c>
      <c r="AJ9" s="1971" t="s">
        <v>897</v>
      </c>
      <c r="AK9" s="1971"/>
      <c r="AL9" s="1150"/>
      <c r="AM9" s="913"/>
      <c r="AN9" s="913"/>
      <c r="AO9" s="913"/>
      <c r="AP9" s="913"/>
      <c r="AQ9" s="913"/>
      <c r="AR9" s="913"/>
      <c r="AS9" s="913"/>
      <c r="AT9" s="913"/>
      <c r="AU9" s="913"/>
      <c r="AV9" s="913"/>
      <c r="AW9" s="913"/>
      <c r="AX9" s="913"/>
      <c r="AY9" s="913"/>
      <c r="AZ9" s="913"/>
      <c r="BA9" s="913"/>
      <c r="BB9" s="913"/>
      <c r="BC9" s="913"/>
      <c r="BD9" s="913"/>
      <c r="BE9" s="913"/>
      <c r="BF9" s="913"/>
    </row>
    <row customHeight="1" ht="23.25">
      <c r="A10" s="911"/>
      <c r="B10" s="911"/>
      <c r="C10" s="911"/>
      <c r="E10" s="918"/>
      <c r="F10" s="2248"/>
      <c r="G10" s="2251"/>
      <c r="H10" s="2252"/>
      <c r="I10" s="1971"/>
      <c r="J10" s="1971"/>
      <c r="K10" s="1971" t="s">
        <v>898</v>
      </c>
      <c r="L10" s="1955" t="s">
        <v>899</v>
      </c>
      <c r="M10" s="1957"/>
      <c r="N10" s="1971" t="s">
        <v>900</v>
      </c>
      <c r="O10" s="1971"/>
      <c r="P10" s="1971"/>
      <c r="Q10" s="1971"/>
      <c r="R10" s="1971"/>
      <c r="S10" s="1971"/>
      <c r="T10" s="1971"/>
      <c r="U10" s="1971"/>
      <c r="V10" s="1971"/>
      <c r="W10" s="1971"/>
      <c r="X10" s="1971"/>
      <c r="Y10" s="1971"/>
      <c r="Z10" s="2031"/>
      <c r="AA10" s="2032"/>
      <c r="AB10" s="1971"/>
      <c r="AC10" s="1971"/>
      <c r="AD10" s="1971"/>
      <c r="AE10" s="1971"/>
      <c r="AF10" s="2036"/>
      <c r="AG10" s="1971"/>
      <c r="AH10" s="1971"/>
      <c r="AI10" s="2036"/>
      <c r="AJ10" s="1971"/>
      <c r="AK10" s="1971"/>
      <c r="AL10" s="1150"/>
      <c r="AM10" s="919"/>
      <c r="AN10" s="919"/>
      <c r="AO10" s="919"/>
      <c r="AP10" s="919"/>
      <c r="AQ10" s="919"/>
      <c r="AR10" s="919"/>
      <c r="AS10" s="919"/>
      <c r="AT10" s="919"/>
      <c r="AU10" s="919"/>
      <c r="AV10" s="919"/>
      <c r="AW10" s="919"/>
      <c r="AX10" s="919"/>
      <c r="AY10" s="919"/>
      <c r="AZ10" s="919"/>
      <c r="BA10" s="919"/>
      <c r="BB10" s="919"/>
      <c r="BC10" s="919"/>
      <c r="BD10" s="919"/>
      <c r="BE10" s="919"/>
      <c r="BF10" s="919"/>
    </row>
    <row s="4205" customFormat="1" customHeight="1" ht="23.25">
      <c r="A11" s="1137"/>
      <c r="B11" s="1137"/>
      <c r="C11" s="1137"/>
      <c r="D11" s="1136"/>
      <c r="E11" s="1138"/>
      <c r="F11" s="2248"/>
      <c r="G11" s="2251"/>
      <c r="H11" s="2252"/>
      <c r="I11" s="1971"/>
      <c r="J11" s="1971"/>
      <c r="K11" s="1971"/>
      <c r="L11" s="2028" t="s">
        <v>901</v>
      </c>
      <c r="M11" s="2028" t="s">
        <v>902</v>
      </c>
      <c r="N11" s="1971" t="s">
        <v>903</v>
      </c>
      <c r="O11" s="1971"/>
      <c r="P11" s="2246" t="s">
        <v>884</v>
      </c>
      <c r="Q11" s="2246" t="s">
        <v>904</v>
      </c>
      <c r="R11" s="2246" t="s">
        <v>905</v>
      </c>
      <c r="S11" s="2246" t="s">
        <v>906</v>
      </c>
      <c r="T11" s="2246"/>
      <c r="U11" s="2246"/>
      <c r="V11" s="2246"/>
      <c r="W11" s="2246"/>
      <c r="X11" s="2246"/>
      <c r="Y11" s="2246"/>
      <c r="Z11" s="2031"/>
      <c r="AA11" s="2032"/>
      <c r="AB11" s="1971" t="s">
        <v>907</v>
      </c>
      <c r="AC11" s="1971"/>
      <c r="AD11" s="1955" t="s">
        <v>908</v>
      </c>
      <c r="AE11" s="1957"/>
      <c r="AF11" s="2036"/>
      <c r="AG11" s="1971"/>
      <c r="AH11" s="1971"/>
      <c r="AI11" s="2036"/>
      <c r="AJ11" s="1971"/>
      <c r="AK11" s="1971"/>
      <c r="AL11" s="1150"/>
      <c r="AM11" s="1135"/>
      <c r="AN11" s="1135"/>
      <c r="AO11" s="1135"/>
      <c r="AP11" s="1135"/>
      <c r="AQ11" s="1135"/>
      <c r="AR11" s="1135"/>
      <c r="AS11" s="1135"/>
      <c r="AT11" s="1135"/>
      <c r="AU11" s="1135"/>
      <c r="AV11" s="1135"/>
      <c r="AW11" s="1135"/>
      <c r="AX11" s="1135"/>
      <c r="AY11" s="1135"/>
      <c r="AZ11" s="1135"/>
      <c r="BA11" s="1135"/>
      <c r="BB11" s="1135"/>
      <c r="BC11" s="1135"/>
      <c r="BD11" s="1135"/>
      <c r="BE11" s="1135"/>
      <c r="BF11" s="1135"/>
    </row>
    <row customHeight="1" ht="33.75">
      <c r="A12" s="911"/>
      <c r="B12" s="911"/>
      <c r="C12" s="911"/>
      <c r="E12" s="914"/>
      <c r="F12" s="2248"/>
      <c r="G12" s="2253"/>
      <c r="H12" s="2254"/>
      <c r="I12" s="1161" t="s">
        <v>89</v>
      </c>
      <c r="J12" s="1161" t="s">
        <v>909</v>
      </c>
      <c r="K12" s="1971"/>
      <c r="L12" s="2090"/>
      <c r="M12" s="2090"/>
      <c r="N12" s="1971"/>
      <c r="O12" s="1971"/>
      <c r="P12" s="2246"/>
      <c r="Q12" s="2246"/>
      <c r="R12" s="2246"/>
      <c r="S12" s="1142" t="s">
        <v>86</v>
      </c>
      <c r="T12" s="1142" t="s">
        <v>87</v>
      </c>
      <c r="U12" s="1142" t="s">
        <v>85</v>
      </c>
      <c r="V12" s="1142" t="s">
        <v>910</v>
      </c>
      <c r="W12" s="1142" t="s">
        <v>85</v>
      </c>
      <c r="X12" s="1142" t="s">
        <v>911</v>
      </c>
      <c r="Y12" s="1142" t="s">
        <v>912</v>
      </c>
      <c r="Z12" s="2037"/>
      <c r="AA12" s="2038"/>
      <c r="AB12" s="1149" t="s">
        <v>913</v>
      </c>
      <c r="AC12" s="1149" t="s">
        <v>914</v>
      </c>
      <c r="AD12" s="1149" t="s">
        <v>913</v>
      </c>
      <c r="AE12" s="1149" t="s">
        <v>914</v>
      </c>
      <c r="AF12" s="2090"/>
      <c r="AG12" s="1162" t="s">
        <v>915</v>
      </c>
      <c r="AH12" s="1162" t="s">
        <v>916</v>
      </c>
      <c r="AI12" s="2090"/>
      <c r="AJ12" s="1162" t="s">
        <v>915</v>
      </c>
      <c r="AK12" s="1162" t="s">
        <v>916</v>
      </c>
      <c r="AL12" s="1150"/>
      <c r="AM12" s="913"/>
      <c r="AN12" s="913"/>
      <c r="AO12" s="913"/>
      <c r="AP12" s="913"/>
      <c r="AQ12" s="913"/>
      <c r="AR12" s="913"/>
      <c r="AS12" s="913"/>
      <c r="AT12" s="913"/>
      <c r="AU12" s="913"/>
      <c r="AV12" s="913"/>
      <c r="AW12" s="913"/>
      <c r="AX12" s="913"/>
      <c r="AY12" s="913"/>
      <c r="AZ12" s="913"/>
      <c r="BA12" s="913"/>
      <c r="BB12" s="913"/>
      <c r="BC12" s="913"/>
      <c r="BD12" s="913"/>
      <c r="BE12" s="913"/>
      <c r="BF12" s="913"/>
    </row>
    <row customHeight="1" ht="0.75">
      <c r="E13" s="914"/>
      <c r="F13" s="1132">
        <v>0</v>
      </c>
      <c r="G13" s="1132"/>
      <c r="H13" s="1132"/>
      <c r="I13" s="1132"/>
      <c r="J13" s="1132"/>
      <c r="K13" s="1139"/>
      <c r="L13" s="1139"/>
      <c r="M13" s="1139"/>
      <c r="N13" s="1139"/>
      <c r="O13" s="1139"/>
      <c r="P13" s="1139"/>
      <c r="Q13" s="1139"/>
      <c r="R13" s="1139"/>
      <c r="S13" s="1139"/>
      <c r="T13" s="1139"/>
      <c r="U13" s="1139"/>
      <c r="V13" s="1139"/>
      <c r="W13" s="1139"/>
      <c r="X13" s="1139"/>
      <c r="Y13" s="1139"/>
      <c r="Z13" s="1139"/>
      <c r="AA13" s="1139"/>
      <c r="AB13" s="1139"/>
      <c r="AC13" s="1139"/>
      <c r="AD13" s="1139"/>
      <c r="AE13" s="1139"/>
      <c r="AF13" s="1139"/>
      <c r="AG13" s="1139"/>
      <c r="AH13" s="1157"/>
      <c r="AI13" s="1150"/>
      <c r="AJ13" s="1139"/>
      <c r="AK13" s="1139"/>
      <c r="AL13" s="915"/>
      <c r="AM13" s="913"/>
      <c r="AN13" s="913"/>
      <c r="AO13" s="913"/>
      <c r="AP13" s="913"/>
      <c r="AQ13" s="913"/>
      <c r="AR13" s="913"/>
      <c r="AS13" s="913"/>
      <c r="AT13" s="913"/>
      <c r="AU13" s="913"/>
      <c r="AV13" s="913"/>
      <c r="AW13" s="913"/>
      <c r="AX13" s="913"/>
      <c r="AY13" s="913"/>
      <c r="AZ13" s="913"/>
      <c r="BA13" s="913"/>
      <c r="BB13" s="913"/>
      <c r="BC13" s="913"/>
      <c r="BD13" s="913"/>
      <c r="BE13" s="913"/>
      <c r="BF13" s="913"/>
    </row>
    <row customHeight="1" ht="10.5">
      <c r="E14" s="913"/>
      <c r="F14" s="924"/>
      <c r="G14" s="924"/>
      <c r="H14" s="1181"/>
      <c r="I14" s="924"/>
      <c r="J14" s="924"/>
      <c r="K14" s="924"/>
      <c r="L14" s="1139"/>
      <c r="M14" s="1139"/>
      <c r="N14" s="924"/>
      <c r="O14" s="924"/>
      <c r="P14" s="924"/>
      <c r="Q14" s="924"/>
      <c r="R14" s="924"/>
      <c r="S14" s="924"/>
      <c r="T14" s="924"/>
      <c r="U14" s="924"/>
      <c r="V14" s="924"/>
      <c r="W14" s="924"/>
      <c r="X14" s="924"/>
      <c r="Y14" s="924"/>
      <c r="Z14" s="924"/>
      <c r="AA14" s="924"/>
      <c r="AB14" s="924"/>
      <c r="AC14" s="924"/>
      <c r="AD14" s="1139"/>
      <c r="AE14" s="924"/>
      <c r="AF14" s="924"/>
      <c r="AG14" s="924"/>
      <c r="AH14" s="1157"/>
      <c r="AI14" s="1150"/>
      <c r="AJ14" s="924"/>
      <c r="AK14" s="924"/>
      <c r="AL14" s="913"/>
      <c r="AM14" s="913"/>
      <c r="AN14" s="913"/>
      <c r="AO14" s="913"/>
      <c r="AP14" s="913"/>
      <c r="AQ14" s="913"/>
      <c r="AR14" s="913"/>
      <c r="AS14" s="913"/>
      <c r="AT14" s="913"/>
      <c r="AU14" s="913"/>
      <c r="AV14" s="913"/>
      <c r="AW14" s="913"/>
      <c r="AX14" s="913"/>
      <c r="AY14" s="913"/>
      <c r="AZ14" s="913"/>
      <c r="BA14" s="913"/>
      <c r="BB14" s="913"/>
      <c r="BC14" s="913"/>
      <c r="BD14" s="913"/>
      <c r="BE14" s="913"/>
      <c r="BF14" s="913"/>
    </row>
    <row customHeight="1" ht="12.75">
      <c r="E15" s="913"/>
      <c r="F15" s="920" t="s">
        <v>917</v>
      </c>
      <c r="G15" s="920"/>
      <c r="H15" s="1180"/>
      <c r="I15" s="920"/>
      <c r="J15" s="920"/>
      <c r="K15" s="917"/>
      <c r="L15" s="1135"/>
      <c r="M15" s="1135"/>
      <c r="N15" s="919"/>
      <c r="O15" s="919"/>
      <c r="P15" s="919"/>
      <c r="Q15" s="919"/>
      <c r="R15" s="919"/>
      <c r="S15" s="919"/>
      <c r="T15" s="919"/>
      <c r="U15" s="919"/>
      <c r="V15" s="919"/>
      <c r="W15" s="919"/>
      <c r="X15" s="919"/>
      <c r="Y15" s="919"/>
      <c r="Z15" s="917"/>
      <c r="AA15" s="917"/>
      <c r="AB15" s="917"/>
      <c r="AC15" s="917"/>
      <c r="AD15" s="1135"/>
      <c r="AE15" s="917"/>
      <c r="AF15" s="917"/>
      <c r="AG15" s="917"/>
      <c r="AH15" s="1154"/>
      <c r="AI15" s="1147"/>
      <c r="AJ15" s="917"/>
      <c r="AK15" s="917"/>
      <c r="AL15" s="913"/>
      <c r="AM15" s="913"/>
      <c r="AN15" s="913"/>
      <c r="AO15" s="913"/>
      <c r="AP15" s="913"/>
      <c r="AQ15" s="913"/>
      <c r="AR15" s="913"/>
      <c r="AS15" s="913"/>
      <c r="AT15" s="913"/>
      <c r="AU15" s="913"/>
      <c r="AV15" s="913"/>
      <c r="AW15" s="913"/>
      <c r="AX15" s="913"/>
      <c r="AY15" s="913"/>
      <c r="AZ15" s="913"/>
      <c r="BA15" s="913"/>
      <c r="BB15" s="913"/>
      <c r="BC15" s="913"/>
      <c r="BD15" s="913"/>
      <c r="BE15" s="913"/>
      <c r="BF15" s="913"/>
    </row>
    <row r="17" customHeight="1" ht="10.5">
      <c r="E17" s="913"/>
      <c r="F17" s="2247"/>
      <c r="G17" s="2247"/>
      <c r="H17" s="2247"/>
      <c r="I17" s="2247"/>
      <c r="J17" s="2247"/>
      <c r="K17" s="917"/>
      <c r="L17" s="1135"/>
      <c r="M17" s="1135"/>
      <c r="N17" s="919"/>
      <c r="O17" s="919"/>
      <c r="P17" s="919"/>
      <c r="Q17" s="919"/>
      <c r="R17" s="919"/>
      <c r="S17" s="919"/>
      <c r="T17" s="919"/>
      <c r="U17" s="919"/>
      <c r="V17" s="919"/>
      <c r="W17" s="919"/>
      <c r="X17" s="919"/>
      <c r="Y17" s="919"/>
      <c r="Z17" s="917"/>
      <c r="AA17" s="917"/>
      <c r="AB17" s="917"/>
      <c r="AC17" s="917"/>
      <c r="AD17" s="1135"/>
      <c r="AE17" s="917"/>
      <c r="AF17" s="917"/>
      <c r="AG17" s="917"/>
      <c r="AH17" s="1154"/>
      <c r="AI17" s="1147"/>
      <c r="AJ17" s="917"/>
      <c r="AK17" s="917"/>
      <c r="AL17" s="913"/>
      <c r="AM17" s="913"/>
      <c r="AN17" s="913"/>
      <c r="AO17" s="913"/>
      <c r="AP17" s="913"/>
      <c r="AQ17" s="913"/>
      <c r="AR17" s="913"/>
      <c r="AS17" s="913"/>
      <c r="AT17" s="913"/>
      <c r="AU17" s="913"/>
      <c r="AV17" s="913"/>
      <c r="AW17" s="913"/>
      <c r="AX17" s="913"/>
      <c r="AY17" s="913"/>
      <c r="AZ17" s="913"/>
      <c r="BA17" s="913"/>
      <c r="BB17" s="913"/>
      <c r="BC17" s="913"/>
      <c r="BD17" s="913"/>
      <c r="BE17" s="913"/>
      <c r="BF17" s="913"/>
    </row>
    <row customHeight="1" ht="10.5">
      <c r="E18" s="913"/>
      <c r="F18" s="2247"/>
      <c r="G18" s="2247"/>
      <c r="H18" s="2247"/>
      <c r="I18" s="2247"/>
      <c r="J18" s="2247"/>
      <c r="K18" s="917"/>
      <c r="L18" s="1135"/>
      <c r="M18" s="1135"/>
      <c r="N18" s="919"/>
      <c r="O18" s="919"/>
      <c r="P18" s="919"/>
      <c r="Q18" s="919"/>
      <c r="R18" s="919"/>
      <c r="S18" s="919"/>
      <c r="T18" s="919"/>
      <c r="U18" s="919"/>
      <c r="V18" s="919"/>
      <c r="W18" s="919"/>
      <c r="X18" s="919"/>
      <c r="Y18" s="919"/>
      <c r="Z18" s="917"/>
      <c r="AA18" s="917"/>
      <c r="AB18" s="917"/>
      <c r="AC18" s="917"/>
      <c r="AD18" s="1135"/>
      <c r="AE18" s="917"/>
      <c r="AF18" s="917"/>
      <c r="AG18" s="917"/>
      <c r="AH18" s="1154"/>
      <c r="AI18" s="1147"/>
      <c r="AJ18" s="917"/>
      <c r="AK18" s="917"/>
      <c r="AL18" s="913"/>
      <c r="AM18" s="913"/>
      <c r="AN18" s="913"/>
      <c r="AO18" s="913"/>
      <c r="AP18" s="913"/>
      <c r="AQ18" s="913"/>
      <c r="AR18" s="913"/>
      <c r="AS18" s="913"/>
      <c r="AT18" s="913"/>
      <c r="AU18" s="913"/>
      <c r="AV18" s="913"/>
      <c r="AW18" s="913"/>
      <c r="AX18" s="913"/>
      <c r="AY18" s="913"/>
      <c r="AZ18" s="913"/>
      <c r="BA18" s="913"/>
      <c r="BB18" s="913"/>
      <c r="BC18" s="913"/>
      <c r="BD18" s="913"/>
      <c r="BE18" s="913"/>
      <c r="BF18" s="913"/>
    </row>
    <row customHeight="1" ht="10.5">
      <c r="E19" s="913"/>
      <c r="F19" s="2247"/>
      <c r="G19" s="2247"/>
      <c r="H19" s="2247"/>
      <c r="I19" s="2247"/>
      <c r="J19" s="2247"/>
      <c r="K19" s="917"/>
      <c r="L19" s="1135"/>
      <c r="M19" s="1135"/>
      <c r="N19" s="919"/>
      <c r="O19" s="919"/>
      <c r="P19" s="919"/>
      <c r="Q19" s="919"/>
      <c r="R19" s="919"/>
      <c r="S19" s="919"/>
      <c r="T19" s="919"/>
      <c r="U19" s="919"/>
      <c r="V19" s="919"/>
      <c r="W19" s="919"/>
      <c r="X19" s="919"/>
      <c r="Y19" s="919"/>
      <c r="Z19" s="917"/>
      <c r="AA19" s="917"/>
      <c r="AB19" s="917"/>
      <c r="AC19" s="917"/>
      <c r="AD19" s="1135"/>
      <c r="AE19" s="917"/>
      <c r="AF19" s="917"/>
      <c r="AG19" s="917"/>
      <c r="AH19" s="1154"/>
      <c r="AI19" s="1147"/>
      <c r="AJ19" s="917"/>
      <c r="AK19" s="917"/>
      <c r="AL19" s="913"/>
      <c r="AM19" s="913"/>
      <c r="AN19" s="913"/>
      <c r="AO19" s="913"/>
      <c r="AP19" s="913"/>
      <c r="AQ19" s="913"/>
      <c r="AR19" s="913"/>
      <c r="AS19" s="913"/>
      <c r="AT19" s="913"/>
      <c r="AU19" s="913"/>
      <c r="AV19" s="913"/>
      <c r="AW19" s="913"/>
      <c r="AX19" s="913"/>
      <c r="AY19" s="913"/>
      <c r="AZ19" s="913"/>
      <c r="BA19" s="913"/>
      <c r="BB19" s="913"/>
      <c r="BC19" s="913"/>
      <c r="BD19" s="913"/>
      <c r="BE19" s="913"/>
      <c r="BF19" s="913"/>
    </row>
  </sheetData>
  <sheetProtection formatColumns="0" formatRows="0" autoFilter="0" sort="0" insertRows="0" insertColumns="1" deleteRows="0" deleteColumns="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9BFDDB3-3A7C-D9A3-A75A-3CE6C3F5AE98}" mc:Ignorable="x14ac xr xr2 xr3">
  <sheetPr>
    <tabColor theme="9" tint="-0.25"/>
  </sheetPr>
  <dimension ref="A1:V58"/>
  <sheetViews>
    <sheetView topLeftCell="A1" showGridLines="0" zoomScale="85" workbookViewId="0">
      <selection activeCell="A1" sqref="A1"/>
    </sheetView>
  </sheetViews>
  <sheetFormatPr defaultColWidth="9.140625" customHeight="1" defaultRowHeight="10.5"/>
  <cols>
    <col min="1" max="3" style="4155" width="4.140625" hidden="1" customWidth="1"/>
    <col min="4" max="4" style="3292" width="4.140625" hidden="1" customWidth="1"/>
    <col min="5" max="5" style="2627" width="3.7109375" customWidth="1"/>
    <col min="6" max="6" style="2939" width="6.28125" customWidth="1"/>
    <col min="7" max="7" style="2939" width="60.140625" customWidth="1"/>
    <col min="8" max="9" style="2939" width="21.7109375" hidden="1" customWidth="1"/>
    <col min="10" max="10" style="2939" width="0.140625" customWidth="1"/>
    <col min="11" max="11" style="2939" width="1.7109375" customWidth="1"/>
    <col min="12" max="22" style="2939" width="9.140625"/>
  </cols>
  <sheetData>
    <row s="3292" customFormat="1" customHeight="1" ht="10.5" hidden="1">
      <c r="A1" s="1174"/>
      <c r="B1" s="1174"/>
      <c r="C1" s="1174"/>
      <c r="E1" s="543"/>
    </row>
    <row customHeight="1" ht="10.5" hidden="1"/>
    <row s="2938" customFormat="1" customHeight="1" ht="10.5" hidden="1">
      <c r="A3" s="1174"/>
      <c r="B3" s="1174"/>
      <c r="C3" s="1174"/>
      <c r="D3" s="1168"/>
      <c r="E3" s="360"/>
    </row>
    <row customHeight="1" ht="3"/>
    <row customHeight="1" ht="25.5">
      <c r="F5" s="2140"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140"/>
      <c r="H5" s="2140"/>
      <c r="I5" s="2140"/>
      <c r="J5" s="2140"/>
    </row>
    <row customHeight="1" ht="10.5">
      <c r="F6" s="2053" t="str">
        <f>IF(org=0,"Не определено",org)</f>
        <v>ЗАО "Байкалэнерго"</v>
      </c>
      <c r="G6" s="2053"/>
      <c r="H6" s="2053"/>
      <c r="I6" s="2053"/>
      <c r="J6" s="2053"/>
    </row>
    <row customHeight="1" ht="11.25">
      <c r="E7" s="1178"/>
      <c r="F7" s="1245"/>
      <c r="G7" s="1245"/>
      <c r="H7" s="1245"/>
      <c r="I7" s="1245"/>
      <c r="J7" s="1245"/>
      <c r="K7" s="1165"/>
      <c r="L7" s="1165"/>
      <c r="M7" s="1165"/>
      <c r="N7" s="1165"/>
      <c r="O7" s="1165"/>
      <c r="P7" s="1165"/>
      <c r="Q7" s="1165"/>
      <c r="R7" s="1165"/>
      <c r="S7" s="1165"/>
      <c r="T7" s="1165"/>
      <c r="U7" s="1165"/>
      <c r="V7" s="1165"/>
    </row>
    <row s="2611" customFormat="1" customHeight="1" ht="5.25">
      <c r="A8" s="1175"/>
      <c r="B8" s="1175"/>
      <c r="C8" s="1175"/>
      <c r="E8" s="1246"/>
      <c r="F8" s="1247"/>
      <c r="G8" s="1247"/>
      <c r="H8" s="1247"/>
      <c r="I8" s="1247"/>
      <c r="J8" s="1247"/>
      <c r="K8" s="1246"/>
      <c r="L8" s="1246"/>
      <c r="M8" s="1246"/>
      <c r="N8" s="1246"/>
      <c r="O8" s="1246"/>
      <c r="P8" s="1246"/>
      <c r="Q8" s="1246"/>
      <c r="R8" s="1246"/>
      <c r="S8" s="1246"/>
      <c r="T8" s="1246"/>
      <c r="U8" s="1246"/>
      <c r="V8" s="1246"/>
    </row>
    <row customHeight="1" ht="10.5">
      <c r="E9" s="1178"/>
      <c r="F9" s="2258" t="s">
        <v>293</v>
      </c>
      <c r="G9" s="2259"/>
      <c r="H9" s="2259"/>
      <c r="I9" s="2259"/>
      <c r="J9" s="2259"/>
      <c r="K9" s="1258"/>
      <c r="L9" s="1165"/>
      <c r="M9" s="1165"/>
      <c r="N9" s="1165"/>
      <c r="O9" s="1165"/>
      <c r="P9" s="1165"/>
      <c r="Q9" s="1165"/>
      <c r="R9" s="1165"/>
      <c r="S9" s="1165"/>
      <c r="T9" s="1165"/>
      <c r="U9" s="1165"/>
      <c r="V9" s="1165"/>
    </row>
    <row customHeight="1" ht="24">
      <c r="E10" s="1165"/>
      <c r="F10" s="2262" t="s">
        <v>88</v>
      </c>
      <c r="G10" s="2267" t="s">
        <v>918</v>
      </c>
      <c r="H10" s="2265" t="s">
        <v>919</v>
      </c>
      <c r="I10" s="2265"/>
      <c r="J10" s="2265"/>
      <c r="K10" s="1251"/>
      <c r="L10" s="1165"/>
      <c r="M10" s="1165"/>
      <c r="N10" s="1165"/>
      <c r="O10" s="1165"/>
      <c r="P10" s="1165"/>
      <c r="Q10" s="1165"/>
      <c r="R10" s="1165"/>
      <c r="S10" s="1165"/>
      <c r="T10" s="1165"/>
      <c r="U10" s="1165"/>
      <c r="V10" s="1165"/>
    </row>
    <row customHeight="1" ht="24">
      <c r="E11" s="1165"/>
      <c r="F11" s="2263"/>
      <c r="G11" s="2267"/>
      <c r="H11" s="2266">
        <f>INDEX(IP_MAIN_LIST_NAME_IP,MATCH(H8,IP_MAIN_LIST_IP_ID,0))&amp;" ("&amp;INDEX(IP_MAIN_START_DATE,MATCH(H8,IP_MAIN_LIST_IP_ID,0))&amp;"-"&amp;INDEX(IP_MAIN_END_DATE,MATCH(H8,IP_MAIN_LIST_IP_ID,0))&amp;")"</f>
      </c>
      <c r="I11" s="2266"/>
      <c r="J11" s="2266"/>
      <c r="K11" s="1251"/>
      <c r="L11" s="1165"/>
      <c r="M11" s="1165"/>
      <c r="N11" s="1165"/>
      <c r="O11" s="1165"/>
      <c r="P11" s="1165"/>
      <c r="Q11" s="1165"/>
      <c r="R11" s="1165"/>
      <c r="S11" s="1165"/>
      <c r="T11" s="1165"/>
      <c r="U11" s="1165"/>
      <c r="V11" s="1165"/>
    </row>
    <row customHeight="1" ht="10.5">
      <c r="F12" s="2264"/>
      <c r="G12" s="2267"/>
      <c r="H12" s="1244" t="s">
        <v>920</v>
      </c>
      <c r="I12" s="1250"/>
      <c r="J12" s="1244"/>
      <c r="K12" s="1252"/>
    </row>
    <row customHeight="1" ht="10.5" hidden="1">
      <c r="F13" s="1244">
        <v>1</v>
      </c>
      <c r="G13" s="1244">
        <v>2</v>
      </c>
      <c r="H13" s="1244">
        <v>3</v>
      </c>
      <c r="I13" s="1244">
        <v>4</v>
      </c>
      <c r="J13" s="1244">
        <v>5</v>
      </c>
      <c r="K13" s="1252"/>
    </row>
    <row customHeight="1" ht="11.25">
      <c r="F14" s="1243" t="s">
        <v>921</v>
      </c>
      <c r="G14" s="2260" t="s">
        <v>922</v>
      </c>
      <c r="H14" s="2260"/>
      <c r="I14" s="2260"/>
      <c r="J14" s="2260"/>
      <c r="K14" s="1252"/>
    </row>
    <row customHeight="1" ht="11.25">
      <c r="F15" s="1248">
        <v>1</v>
      </c>
      <c r="G15" s="696" t="s">
        <v>923</v>
      </c>
      <c r="H15" s="1254">
        <f>SUM(I15:J15)</f>
        <v>0</v>
      </c>
      <c r="I15" s="1254">
        <f>SUM(I16:I27)</f>
        <v>0</v>
      </c>
      <c r="J15" s="1243"/>
      <c r="K15" s="1252"/>
    </row>
    <row customHeight="1" ht="22.5">
      <c r="F16" s="1248" t="s">
        <v>924</v>
      </c>
      <c r="G16" s="1255" t="s">
        <v>925</v>
      </c>
      <c r="H16" s="1254">
        <f>SUM(I16:J16)</f>
        <v>0</v>
      </c>
      <c r="I16" s="1253"/>
      <c r="J16" s="1243"/>
      <c r="K16" s="1252"/>
    </row>
    <row customHeight="1" ht="22.5">
      <c r="F17" s="1248" t="s">
        <v>926</v>
      </c>
      <c r="G17" s="1255" t="s">
        <v>927</v>
      </c>
      <c r="H17" s="1254">
        <f>SUM(I17:J17)</f>
        <v>0</v>
      </c>
      <c r="I17" s="1253"/>
      <c r="J17" s="1243"/>
      <c r="K17" s="1252"/>
    </row>
    <row customHeight="1" ht="33.75">
      <c r="F18" s="1248" t="s">
        <v>928</v>
      </c>
      <c r="G18" s="1255" t="s">
        <v>929</v>
      </c>
      <c r="H18" s="1254">
        <f>SUM(I18:J18)</f>
        <v>0</v>
      </c>
      <c r="I18" s="1253"/>
      <c r="J18" s="1243"/>
      <c r="K18" s="1252"/>
    </row>
    <row customHeight="1" ht="33.75">
      <c r="F19" s="1248" t="s">
        <v>930</v>
      </c>
      <c r="G19" s="1255" t="s">
        <v>931</v>
      </c>
      <c r="H19" s="1254">
        <f>SUM(I19:J19)</f>
        <v>0</v>
      </c>
      <c r="I19" s="1253"/>
      <c r="J19" s="1243"/>
      <c r="K19" s="1252"/>
    </row>
    <row customHeight="1" ht="45">
      <c r="F20" s="1248" t="s">
        <v>932</v>
      </c>
      <c r="G20" s="1255" t="s">
        <v>933</v>
      </c>
      <c r="H20" s="1254">
        <f>SUM(I20:J20)</f>
        <v>0</v>
      </c>
      <c r="I20" s="1253"/>
      <c r="J20" s="1243"/>
      <c r="K20" s="1252"/>
    </row>
    <row customHeight="1" ht="33.75">
      <c r="F21" s="1248" t="s">
        <v>934</v>
      </c>
      <c r="G21" s="1255" t="s">
        <v>935</v>
      </c>
      <c r="H21" s="1254">
        <f>SUM(I21:J21)</f>
        <v>0</v>
      </c>
      <c r="I21" s="1253"/>
      <c r="J21" s="1243"/>
      <c r="K21" s="1252"/>
    </row>
    <row customHeight="1" ht="33.75">
      <c r="F22" s="1248" t="s">
        <v>936</v>
      </c>
      <c r="G22" s="1255" t="s">
        <v>937</v>
      </c>
      <c r="H22" s="1254">
        <f>SUM(I22:J22)</f>
        <v>0</v>
      </c>
      <c r="I22" s="1253"/>
      <c r="J22" s="1243"/>
      <c r="K22" s="1252"/>
    </row>
    <row customHeight="1" ht="22.5">
      <c r="F23" s="1248" t="s">
        <v>938</v>
      </c>
      <c r="G23" s="1255" t="s">
        <v>939</v>
      </c>
      <c r="H23" s="1254">
        <f>SUM(I23:J23)</f>
        <v>0</v>
      </c>
      <c r="I23" s="1253"/>
      <c r="J23" s="1243"/>
      <c r="K23" s="1252"/>
    </row>
    <row customHeight="1" ht="22.5">
      <c r="F24" s="1248" t="s">
        <v>940</v>
      </c>
      <c r="G24" s="1255" t="s">
        <v>941</v>
      </c>
      <c r="H24" s="1254">
        <f>SUM(I24:J24)</f>
        <v>0</v>
      </c>
      <c r="I24" s="1253"/>
      <c r="J24" s="1243"/>
      <c r="K24" s="1252"/>
    </row>
    <row customHeight="1" ht="33.75">
      <c r="F25" s="1248" t="s">
        <v>942</v>
      </c>
      <c r="G25" s="1255" t="s">
        <v>943</v>
      </c>
      <c r="H25" s="1254">
        <f>SUM(I25:J25)</f>
        <v>0</v>
      </c>
      <c r="I25" s="1253"/>
      <c r="J25" s="1243"/>
      <c r="K25" s="1252"/>
    </row>
    <row customHeight="1" ht="33.75">
      <c r="F26" s="1248" t="s">
        <v>944</v>
      </c>
      <c r="G26" s="1255" t="s">
        <v>945</v>
      </c>
      <c r="H26" s="1254">
        <f>SUM(I26:J26)</f>
        <v>0</v>
      </c>
      <c r="I26" s="1253"/>
      <c r="J26" s="1243"/>
      <c r="K26" s="1252"/>
    </row>
    <row customHeight="1" ht="11.25">
      <c r="F27" s="1248" t="s">
        <v>946</v>
      </c>
      <c r="G27" s="1255" t="s">
        <v>947</v>
      </c>
      <c r="H27" s="1254">
        <f>SUM(I27:J27)</f>
        <v>0</v>
      </c>
      <c r="I27" s="1253"/>
      <c r="J27" s="1243"/>
      <c r="K27" s="1252"/>
    </row>
    <row customHeight="1" ht="11.25">
      <c r="F28" s="1248">
        <v>2</v>
      </c>
      <c r="G28" s="696" t="s">
        <v>948</v>
      </c>
      <c r="H28" s="1254">
        <f>SUM(I28:J28)</f>
        <v>0</v>
      </c>
      <c r="I28" s="1254">
        <f>SUM(I29:I31)</f>
        <v>0</v>
      </c>
      <c r="J28" s="1243"/>
      <c r="K28" s="1252"/>
    </row>
    <row customHeight="1" ht="11.25">
      <c r="F29" s="1248" t="s">
        <v>610</v>
      </c>
      <c r="G29" s="1255" t="s">
        <v>949</v>
      </c>
      <c r="H29" s="1254">
        <f>SUM(I29:J29)</f>
        <v>0</v>
      </c>
      <c r="I29" s="1253"/>
      <c r="J29" s="1243"/>
      <c r="K29" s="1252"/>
    </row>
    <row customHeight="1" ht="11.25">
      <c r="F30" s="1248" t="s">
        <v>300</v>
      </c>
      <c r="G30" s="1255" t="s">
        <v>950</v>
      </c>
      <c r="H30" s="1254">
        <f>SUM(I30:J30)</f>
        <v>0</v>
      </c>
      <c r="I30" s="1253"/>
      <c r="J30" s="1243"/>
      <c r="K30" s="1252"/>
    </row>
    <row customHeight="1" ht="11.25">
      <c r="F31" s="1248" t="s">
        <v>303</v>
      </c>
      <c r="G31" s="1255" t="s">
        <v>951</v>
      </c>
      <c r="H31" s="1254">
        <f>SUM(I31:J31)</f>
        <v>0</v>
      </c>
      <c r="I31" s="1253"/>
      <c r="J31" s="1243"/>
      <c r="K31" s="1252"/>
    </row>
    <row customHeight="1" ht="11.25">
      <c r="F32" s="1248">
        <v>3</v>
      </c>
      <c r="G32" s="696" t="s">
        <v>952</v>
      </c>
      <c r="H32" s="1254">
        <f>SUM(I32:J32)</f>
        <v>0</v>
      </c>
      <c r="I32" s="1254">
        <f>SUM(I33:I34)</f>
        <v>0</v>
      </c>
      <c r="J32" s="1243"/>
      <c r="K32" s="1252"/>
    </row>
    <row customHeight="1" ht="33.75">
      <c r="F33" s="1248" t="s">
        <v>319</v>
      </c>
      <c r="G33" s="1255" t="s">
        <v>953</v>
      </c>
      <c r="H33" s="1254">
        <f>SUM(I33:J33)</f>
        <v>0</v>
      </c>
      <c r="I33" s="1253"/>
      <c r="J33" s="1243"/>
      <c r="K33" s="1252"/>
    </row>
    <row customHeight="1" ht="11.25">
      <c r="F34" s="1248" t="s">
        <v>327</v>
      </c>
      <c r="G34" s="1255" t="s">
        <v>954</v>
      </c>
      <c r="H34" s="1254">
        <f>SUM(I34:J34)</f>
        <v>0</v>
      </c>
      <c r="I34" s="1253"/>
      <c r="J34" s="1243"/>
      <c r="K34" s="1252"/>
    </row>
    <row customHeight="1" ht="11.25">
      <c r="F35" s="1248">
        <v>4</v>
      </c>
      <c r="G35" s="696" t="s">
        <v>955</v>
      </c>
      <c r="H35" s="1254">
        <f>SUM(I35:J35)</f>
        <v>0</v>
      </c>
      <c r="I35" s="1253"/>
      <c r="J35" s="1243"/>
      <c r="K35" s="1252"/>
    </row>
    <row customHeight="1" ht="11.25">
      <c r="F36" s="1248"/>
      <c r="G36" s="699" t="s">
        <v>956</v>
      </c>
      <c r="H36" s="1254">
        <f>SUM(I36:J36)</f>
        <v>0</v>
      </c>
      <c r="I36" s="1254">
        <f>SUM(I15,I28,I32,I35)</f>
        <v>0</v>
      </c>
      <c r="J36" s="1243"/>
      <c r="K36" s="1252"/>
    </row>
    <row customHeight="1" ht="27.75">
      <c r="F37" s="1249" t="s">
        <v>957</v>
      </c>
      <c r="G37" s="2261" t="s">
        <v>958</v>
      </c>
      <c r="H37" s="2261"/>
      <c r="I37" s="2261"/>
      <c r="J37" s="2261"/>
      <c r="K37" s="1252"/>
    </row>
    <row customHeight="1" ht="22.5">
      <c r="F38" s="1248" t="s">
        <v>110</v>
      </c>
      <c r="G38" s="696" t="s">
        <v>959</v>
      </c>
      <c r="H38" s="1254">
        <f>SUM(I38:J38)</f>
        <v>0</v>
      </c>
      <c r="I38" s="1254">
        <f>SUM(I39,I44,I47)</f>
        <v>0</v>
      </c>
      <c r="J38" s="1243"/>
      <c r="K38" s="1252"/>
    </row>
    <row customHeight="1" ht="11.25">
      <c r="F39" s="1248" t="s">
        <v>924</v>
      </c>
      <c r="G39" s="1255" t="s">
        <v>923</v>
      </c>
      <c r="H39" s="1254">
        <f>SUM(I39:J39)</f>
        <v>0</v>
      </c>
      <c r="I39" s="1254">
        <f>SUM(I40:I43)</f>
        <v>0</v>
      </c>
      <c r="J39" s="1243"/>
      <c r="K39" s="1252"/>
    </row>
    <row customHeight="1" ht="22.5">
      <c r="F40" s="1248" t="s">
        <v>960</v>
      </c>
      <c r="G40" s="1256" t="s">
        <v>961</v>
      </c>
      <c r="H40" s="1254">
        <f>SUM(I40:J40)</f>
        <v>0</v>
      </c>
      <c r="I40" s="1253"/>
      <c r="J40" s="1243"/>
      <c r="K40" s="1252"/>
    </row>
    <row customHeight="1" ht="11.25">
      <c r="F41" s="1248" t="s">
        <v>962</v>
      </c>
      <c r="G41" s="1256" t="s">
        <v>963</v>
      </c>
      <c r="H41" s="1254">
        <f>SUM(I41:J41)</f>
        <v>0</v>
      </c>
      <c r="I41" s="1253"/>
      <c r="J41" s="1243"/>
      <c r="K41" s="1252"/>
    </row>
    <row customHeight="1" ht="11.25">
      <c r="F42" s="1248" t="s">
        <v>964</v>
      </c>
      <c r="G42" s="1256" t="s">
        <v>965</v>
      </c>
      <c r="H42" s="1254">
        <f>SUM(I42:J42)</f>
        <v>0</v>
      </c>
      <c r="I42" s="1253"/>
      <c r="J42" s="1243"/>
      <c r="K42" s="1252"/>
    </row>
    <row customHeight="1" ht="33.75">
      <c r="F43" s="1248" t="s">
        <v>966</v>
      </c>
      <c r="G43" s="1256" t="s">
        <v>967</v>
      </c>
      <c r="H43" s="1254">
        <f>SUM(I43:J43)</f>
        <v>0</v>
      </c>
      <c r="I43" s="1253"/>
      <c r="J43" s="1243"/>
      <c r="K43" s="1252"/>
    </row>
    <row customHeight="1" ht="11.25">
      <c r="F44" s="1248" t="s">
        <v>926</v>
      </c>
      <c r="G44" s="1255" t="s">
        <v>952</v>
      </c>
      <c r="H44" s="1254">
        <f>SUM(I44:J44)</f>
        <v>0</v>
      </c>
      <c r="I44" s="1254">
        <f>SUM(I45:I46)</f>
        <v>0</v>
      </c>
      <c r="J44" s="1243"/>
      <c r="K44" s="1252"/>
    </row>
    <row customHeight="1" ht="45">
      <c r="F45" s="1248" t="s">
        <v>968</v>
      </c>
      <c r="G45" s="1256" t="s">
        <v>953</v>
      </c>
      <c r="H45" s="1254">
        <f>SUM(I45:J45)</f>
        <v>0</v>
      </c>
      <c r="I45" s="1253"/>
      <c r="J45" s="1243"/>
      <c r="K45" s="1252"/>
    </row>
    <row customHeight="1" ht="11.25">
      <c r="F46" s="1248" t="s">
        <v>969</v>
      </c>
      <c r="G46" s="1256" t="s">
        <v>954</v>
      </c>
      <c r="H46" s="1254">
        <f>SUM(I46:J46)</f>
        <v>0</v>
      </c>
      <c r="I46" s="1253"/>
      <c r="J46" s="1243"/>
      <c r="K46" s="1252"/>
    </row>
    <row customHeight="1" ht="11.25">
      <c r="F47" s="1248" t="s">
        <v>928</v>
      </c>
      <c r="G47" s="1255" t="s">
        <v>970</v>
      </c>
      <c r="H47" s="1254">
        <f>SUM(I47:J47)</f>
        <v>0</v>
      </c>
      <c r="I47" s="1253"/>
      <c r="J47" s="1243"/>
      <c r="K47" s="1252"/>
    </row>
    <row customHeight="1" ht="22.5">
      <c r="F48" s="1248" t="s">
        <v>111</v>
      </c>
      <c r="G48" s="696" t="s">
        <v>971</v>
      </c>
      <c r="H48" s="1254">
        <f>SUM(I48:J48)</f>
        <v>0</v>
      </c>
      <c r="I48" s="1254">
        <f>SUM(I49,I54,I57)</f>
        <v>0</v>
      </c>
      <c r="J48" s="1243"/>
      <c r="K48" s="1252"/>
    </row>
    <row customHeight="1" ht="11.25">
      <c r="F49" s="1248" t="s">
        <v>610</v>
      </c>
      <c r="G49" s="1255" t="s">
        <v>923</v>
      </c>
      <c r="H49" s="1254">
        <f>SUM(I49:J49)</f>
        <v>0</v>
      </c>
      <c r="I49" s="1254">
        <f>SUM(I50:I53)</f>
        <v>0</v>
      </c>
      <c r="J49" s="1243"/>
      <c r="K49" s="1252"/>
    </row>
    <row customHeight="1" ht="22.5">
      <c r="F50" s="1248" t="s">
        <v>613</v>
      </c>
      <c r="G50" s="1256" t="s">
        <v>961</v>
      </c>
      <c r="H50" s="1254">
        <f>SUM(I50:J50)</f>
        <v>0</v>
      </c>
      <c r="I50" s="1253"/>
      <c r="J50" s="1243"/>
      <c r="K50" s="1252"/>
    </row>
    <row customHeight="1" ht="11.25">
      <c r="F51" s="1248" t="s">
        <v>616</v>
      </c>
      <c r="G51" s="1256" t="s">
        <v>963</v>
      </c>
      <c r="H51" s="1254">
        <f>SUM(I51:J51)</f>
        <v>0</v>
      </c>
      <c r="I51" s="1253"/>
      <c r="J51" s="1243"/>
      <c r="K51" s="1252"/>
    </row>
    <row customHeight="1" ht="11.25">
      <c r="F52" s="1248" t="s">
        <v>972</v>
      </c>
      <c r="G52" s="1256" t="s">
        <v>965</v>
      </c>
      <c r="H52" s="1254">
        <f>SUM(I52:J52)</f>
        <v>0</v>
      </c>
      <c r="I52" s="1253"/>
      <c r="J52" s="1243"/>
      <c r="K52" s="1252"/>
    </row>
    <row customHeight="1" ht="33.75">
      <c r="F53" s="1248" t="s">
        <v>973</v>
      </c>
      <c r="G53" s="1256" t="s">
        <v>967</v>
      </c>
      <c r="H53" s="1254">
        <f>SUM(I53:J53)</f>
        <v>0</v>
      </c>
      <c r="I53" s="1253"/>
      <c r="J53" s="1243"/>
      <c r="K53" s="1252"/>
    </row>
    <row customHeight="1" ht="11.25">
      <c r="F54" s="1248" t="s">
        <v>300</v>
      </c>
      <c r="G54" s="1255" t="s">
        <v>952</v>
      </c>
      <c r="H54" s="1254">
        <f>SUM(I54:J54)</f>
        <v>0</v>
      </c>
      <c r="I54" s="1254">
        <f>SUM(I55:I56)</f>
        <v>0</v>
      </c>
      <c r="J54" s="1243"/>
      <c r="K54" s="1252"/>
    </row>
    <row customHeight="1" ht="45">
      <c r="F55" s="1248" t="s">
        <v>620</v>
      </c>
      <c r="G55" s="1256" t="s">
        <v>953</v>
      </c>
      <c r="H55" s="1254">
        <f>SUM(I55:J55)</f>
        <v>0</v>
      </c>
      <c r="I55" s="1253"/>
      <c r="J55" s="1243"/>
      <c r="K55" s="1252"/>
    </row>
    <row customHeight="1" ht="11.25">
      <c r="F56" s="1248" t="s">
        <v>622</v>
      </c>
      <c r="G56" s="1256" t="s">
        <v>954</v>
      </c>
      <c r="H56" s="1254">
        <f>SUM(I56:J56)</f>
        <v>0</v>
      </c>
      <c r="I56" s="1253"/>
      <c r="J56" s="1243"/>
      <c r="K56" s="1252"/>
    </row>
    <row customHeight="1" ht="11.25">
      <c r="F57" s="1248" t="s">
        <v>303</v>
      </c>
      <c r="G57" s="1255" t="s">
        <v>970</v>
      </c>
      <c r="H57" s="1254">
        <f>SUM(I57:J57)</f>
        <v>0</v>
      </c>
      <c r="I57" s="1253"/>
      <c r="J57" s="1243"/>
      <c r="K57" s="1252"/>
    </row>
    <row customHeight="1" ht="11.25">
      <c r="F58" s="1248"/>
      <c r="G58" s="1257" t="s">
        <v>956</v>
      </c>
      <c r="H58" s="1254">
        <f>SUM(I58:J58)</f>
        <v>0</v>
      </c>
      <c r="I58" s="1254">
        <f>SUM(I38,I48)</f>
        <v>0</v>
      </c>
      <c r="J58" s="1243"/>
      <c r="K58" s="1252"/>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EE6E44D-0D6E-9A2F-F95F-3CBFBBAFB4FC}" mc:Ignorable="x14ac xr xr2 xr3">
  <sheetPr>
    <tabColor theme="9" tint="-0.25"/>
  </sheetPr>
  <dimension ref="A1:GB24"/>
  <sheetViews>
    <sheetView topLeftCell="A1" showGridLines="0" zoomScale="90" workbookViewId="0">
      <selection activeCell="A1" sqref="A1"/>
    </sheetView>
  </sheetViews>
  <sheetFormatPr defaultColWidth="9.140625" customHeight="1" defaultRowHeight="12"/>
  <cols>
    <col min="1" max="1" style="4329" width="4.7109375" hidden="1" customWidth="1"/>
    <col min="2" max="2" style="4330" width="4.7109375" hidden="1" customWidth="1"/>
    <col min="3" max="4" style="4329" width="4.7109375" hidden="1" customWidth="1"/>
    <col min="5" max="5" style="4329" width="3.57421875" customWidth="1"/>
    <col min="6" max="6" style="4329" width="6.7109375" customWidth="1"/>
    <col min="7" max="7" style="4329" width="18.7109375" customWidth="1"/>
    <col min="8" max="8" style="4329" width="27.28125" customWidth="1"/>
    <col min="9" max="9" style="4329" width="18.7109375" customWidth="1"/>
    <col min="10" max="14" style="4329" width="0.8515625" hidden="1" customWidth="1"/>
    <col min="15" max="28" style="4329" width="21.7109375" customWidth="1"/>
    <col min="29" max="71" style="4329" width="0.8515625" customWidth="1"/>
    <col min="72" max="79" style="4329" width="21.7109375" hidden="1" customWidth="1"/>
    <col min="80" max="81" style="4329" width="29.140625" hidden="1" customWidth="1"/>
    <col min="82" max="89" style="4329" width="21.7109375" hidden="1" customWidth="1"/>
    <col min="90" max="102" style="4329" width="0.7109375" hidden="1" customWidth="1"/>
    <col min="103" max="114" style="4329" width="21.7109375" hidden="1" customWidth="1"/>
    <col min="115" max="178" style="4329" width="0.7109375" hidden="1" customWidth="1"/>
    <col min="179" max="179" style="4329" width="0.140625" customWidth="1"/>
    <col min="180" max="184" style="4329" width="9.140625"/>
  </cols>
  <sheetData>
    <row s="4257" customFormat="1" customHeight="1" ht="12" hidden="1">
      <c r="B1" s="929"/>
      <c r="C1" s="930"/>
      <c r="D1" s="930"/>
    </row>
    <row s="4257" customFormat="1" customHeight="1" ht="12" hidden="1">
      <c r="B2" s="929"/>
      <c r="C2" s="930"/>
      <c r="D2" s="930"/>
      <c r="E2" s="930"/>
      <c r="F2" s="930"/>
      <c r="G2" s="930"/>
      <c r="H2" s="930"/>
      <c r="I2" s="930"/>
      <c r="J2" s="930"/>
      <c r="K2" s="930"/>
      <c r="L2" s="930"/>
      <c r="M2" s="930"/>
      <c r="N2" s="930"/>
      <c r="O2" s="930"/>
      <c r="P2" s="930"/>
      <c r="Q2" s="930"/>
      <c r="R2" s="930"/>
      <c r="S2" s="930"/>
      <c r="T2" s="930"/>
      <c r="U2" s="930"/>
      <c r="V2" s="930"/>
      <c r="W2" s="930"/>
      <c r="X2" s="930"/>
      <c r="Y2" s="930"/>
      <c r="Z2" s="930"/>
      <c r="AA2" s="930"/>
      <c r="AB2" s="931"/>
      <c r="AC2" s="930"/>
      <c r="AD2" s="930"/>
      <c r="AE2" s="930"/>
      <c r="AF2" s="930"/>
      <c r="AG2" s="930"/>
      <c r="AH2" s="930"/>
      <c r="AI2" s="930"/>
      <c r="AJ2" s="930"/>
      <c r="AK2" s="930"/>
      <c r="AL2" s="930"/>
      <c r="AM2" s="930"/>
      <c r="AN2" s="930"/>
      <c r="AO2" s="930"/>
      <c r="AP2" s="930"/>
      <c r="AQ2" s="930"/>
      <c r="AR2" s="930"/>
      <c r="AS2" s="930"/>
      <c r="AT2" s="930"/>
      <c r="AU2" s="930"/>
      <c r="AV2" s="930"/>
      <c r="AW2" s="930"/>
      <c r="AX2" s="930"/>
      <c r="AY2" s="930"/>
      <c r="AZ2" s="930"/>
      <c r="BA2" s="930"/>
      <c r="BB2" s="930"/>
      <c r="BC2" s="930"/>
      <c r="BD2" s="930"/>
      <c r="BE2" s="930"/>
      <c r="BF2" s="930"/>
      <c r="BG2" s="930"/>
      <c r="BH2" s="930"/>
      <c r="BI2" s="930"/>
      <c r="BJ2" s="930"/>
      <c r="BK2" s="930"/>
      <c r="BL2" s="930"/>
      <c r="BM2" s="930"/>
      <c r="BN2" s="930"/>
      <c r="BO2" s="930"/>
      <c r="BP2" s="930"/>
      <c r="BQ2" s="930"/>
      <c r="BR2" s="930"/>
      <c r="BS2" s="930"/>
      <c r="BT2" s="930"/>
      <c r="BU2" s="930"/>
      <c r="BV2" s="930"/>
      <c r="BW2" s="930"/>
      <c r="BX2" s="930"/>
      <c r="BY2" s="930"/>
      <c r="BZ2" s="930"/>
      <c r="CA2" s="930"/>
      <c r="CB2" s="930"/>
      <c r="CC2" s="930"/>
      <c r="CD2" s="930"/>
      <c r="CE2" s="930"/>
      <c r="CF2" s="930"/>
      <c r="CG2" s="930"/>
      <c r="CH2" s="930"/>
      <c r="CI2" s="930"/>
      <c r="CJ2" s="930"/>
      <c r="CK2" s="930"/>
      <c r="CL2" s="930"/>
      <c r="CM2" s="930"/>
      <c r="CN2" s="930"/>
      <c r="CO2" s="930"/>
      <c r="CP2" s="930"/>
      <c r="CQ2" s="930"/>
      <c r="CR2" s="930"/>
      <c r="CS2" s="930"/>
      <c r="CT2" s="930"/>
      <c r="CU2" s="930"/>
      <c r="CV2" s="930"/>
      <c r="CW2" s="930"/>
      <c r="CX2" s="930"/>
      <c r="CY2" s="930"/>
      <c r="CZ2" s="930"/>
      <c r="DA2" s="930"/>
      <c r="DB2" s="930"/>
      <c r="DC2" s="930"/>
      <c r="DD2" s="930"/>
      <c r="DE2" s="930"/>
      <c r="DF2" s="930"/>
      <c r="DG2" s="930"/>
      <c r="DH2" s="930"/>
      <c r="DI2" s="930"/>
      <c r="DJ2" s="930"/>
      <c r="DK2" s="930"/>
      <c r="DL2" s="930"/>
      <c r="DM2" s="930"/>
      <c r="DN2" s="930"/>
      <c r="DO2" s="930"/>
      <c r="DP2" s="930"/>
      <c r="DQ2" s="930"/>
      <c r="DR2" s="930"/>
      <c r="DS2" s="930"/>
      <c r="DT2" s="930"/>
      <c r="DU2" s="930"/>
      <c r="DV2" s="930"/>
      <c r="DW2" s="930"/>
      <c r="DX2" s="930"/>
      <c r="DY2" s="930"/>
      <c r="DZ2" s="930"/>
      <c r="EA2" s="930"/>
      <c r="EB2" s="930"/>
      <c r="EC2" s="930"/>
      <c r="ED2" s="930"/>
      <c r="EE2" s="930"/>
      <c r="EF2" s="930"/>
      <c r="EG2" s="930"/>
      <c r="EH2" s="930"/>
      <c r="EI2" s="930"/>
      <c r="EJ2" s="930"/>
      <c r="EK2" s="930"/>
      <c r="EL2" s="930"/>
      <c r="EM2" s="930"/>
      <c r="EN2" s="930"/>
      <c r="EO2" s="930"/>
      <c r="EP2" s="930"/>
      <c r="EQ2" s="930"/>
      <c r="ER2" s="930"/>
      <c r="ES2" s="930"/>
      <c r="ET2" s="930"/>
      <c r="EU2" s="930"/>
      <c r="EV2" s="930"/>
      <c r="EW2" s="930"/>
      <c r="EX2" s="930"/>
      <c r="EY2" s="930"/>
      <c r="EZ2" s="930"/>
      <c r="FA2" s="930"/>
      <c r="FB2" s="930"/>
      <c r="FC2" s="930"/>
      <c r="FD2" s="930"/>
      <c r="FE2" s="930"/>
      <c r="FF2" s="930"/>
      <c r="FG2" s="930"/>
      <c r="FH2" s="930"/>
      <c r="FI2" s="930"/>
      <c r="FJ2" s="930"/>
      <c r="FK2" s="930"/>
      <c r="FL2" s="930"/>
      <c r="FM2" s="930"/>
      <c r="FN2" s="930"/>
      <c r="FO2" s="930"/>
      <c r="FP2" s="930"/>
      <c r="FQ2" s="930"/>
      <c r="FR2" s="930"/>
      <c r="FS2" s="930"/>
      <c r="FT2" s="930"/>
      <c r="FU2" s="930"/>
      <c r="FV2" s="930"/>
      <c r="FW2" s="930"/>
    </row>
    <row s="4257" customFormat="1" customHeight="1" ht="12" hidden="1">
      <c r="B3" s="929"/>
      <c r="C3" s="930"/>
      <c r="D3" s="930"/>
      <c r="E3" s="930"/>
      <c r="F3" s="930"/>
      <c r="G3" s="930"/>
      <c r="H3" s="930"/>
      <c r="I3" s="930"/>
      <c r="J3" s="930"/>
      <c r="K3" s="930"/>
      <c r="L3" s="930"/>
      <c r="M3" s="930"/>
      <c r="N3" s="930"/>
      <c r="O3" s="930"/>
      <c r="P3" s="930"/>
      <c r="Q3" s="930"/>
      <c r="R3" s="930"/>
      <c r="S3" s="930"/>
      <c r="T3" s="930"/>
      <c r="U3" s="930"/>
      <c r="V3" s="930"/>
      <c r="W3" s="930"/>
      <c r="X3" s="930"/>
      <c r="Y3" s="930"/>
      <c r="Z3" s="930"/>
      <c r="AA3" s="930"/>
      <c r="AB3" s="931"/>
      <c r="AC3" s="930"/>
      <c r="AD3" s="930"/>
      <c r="AE3" s="930"/>
      <c r="AF3" s="930"/>
      <c r="AG3" s="930"/>
      <c r="AH3" s="930"/>
      <c r="AI3" s="930"/>
      <c r="AJ3" s="930"/>
      <c r="AK3" s="930"/>
      <c r="AL3" s="930"/>
      <c r="AM3" s="930"/>
      <c r="AN3" s="930"/>
      <c r="AO3" s="930"/>
      <c r="AP3" s="930"/>
      <c r="AQ3" s="930"/>
      <c r="AR3" s="930"/>
      <c r="AS3" s="930"/>
      <c r="AT3" s="930"/>
      <c r="AU3" s="930"/>
      <c r="AV3" s="930"/>
      <c r="AW3" s="930"/>
      <c r="AX3" s="930"/>
      <c r="AY3" s="930"/>
      <c r="AZ3" s="930"/>
      <c r="BA3" s="930"/>
      <c r="BB3" s="930"/>
      <c r="BC3" s="930"/>
      <c r="BD3" s="930"/>
      <c r="BE3" s="930"/>
      <c r="BF3" s="930"/>
      <c r="BG3" s="930"/>
      <c r="BH3" s="930"/>
      <c r="BI3" s="930"/>
      <c r="BJ3" s="930"/>
      <c r="BK3" s="930"/>
      <c r="BL3" s="930"/>
      <c r="BM3" s="930"/>
      <c r="BN3" s="930"/>
      <c r="BO3" s="930"/>
      <c r="BP3" s="930"/>
      <c r="BQ3" s="930"/>
      <c r="BR3" s="930"/>
      <c r="BS3" s="930"/>
      <c r="BT3" s="930"/>
      <c r="BU3" s="930"/>
      <c r="BV3" s="930"/>
      <c r="BW3" s="930"/>
      <c r="BX3" s="930"/>
      <c r="BY3" s="930"/>
      <c r="BZ3" s="930"/>
      <c r="CA3" s="930"/>
      <c r="CB3" s="930"/>
      <c r="CC3" s="930"/>
      <c r="CD3" s="930"/>
      <c r="CE3" s="930"/>
      <c r="CF3" s="930"/>
      <c r="CG3" s="930"/>
      <c r="CH3" s="930"/>
      <c r="CI3" s="930"/>
      <c r="CJ3" s="930"/>
      <c r="CK3" s="930"/>
      <c r="CL3" s="930"/>
      <c r="CM3" s="930"/>
      <c r="CN3" s="930"/>
      <c r="CO3" s="930"/>
      <c r="CP3" s="930"/>
      <c r="CQ3" s="930"/>
      <c r="CR3" s="930"/>
      <c r="CS3" s="930"/>
      <c r="CT3" s="930"/>
      <c r="CU3" s="930"/>
      <c r="CV3" s="930"/>
      <c r="CW3" s="930"/>
      <c r="CX3" s="930"/>
      <c r="CY3" s="930"/>
      <c r="CZ3" s="930"/>
      <c r="DA3" s="930"/>
      <c r="DB3" s="930"/>
      <c r="DC3" s="930"/>
      <c r="DD3" s="930"/>
      <c r="DE3" s="930"/>
      <c r="DF3" s="930"/>
      <c r="DG3" s="930"/>
      <c r="DH3" s="930"/>
      <c r="DI3" s="930"/>
      <c r="DJ3" s="930"/>
      <c r="DK3" s="930"/>
      <c r="DL3" s="930"/>
      <c r="DM3" s="930"/>
      <c r="DN3" s="930"/>
      <c r="DO3" s="930"/>
      <c r="DP3" s="930"/>
      <c r="DQ3" s="930"/>
      <c r="DR3" s="930"/>
      <c r="DS3" s="930"/>
      <c r="DT3" s="930"/>
      <c r="DU3" s="930"/>
      <c r="DV3" s="930"/>
      <c r="DW3" s="930"/>
      <c r="DX3" s="930"/>
      <c r="DY3" s="930"/>
      <c r="DZ3" s="930"/>
      <c r="EA3" s="930"/>
      <c r="EB3" s="930"/>
      <c r="EC3" s="930"/>
      <c r="ED3" s="930"/>
      <c r="EE3" s="930"/>
      <c r="EF3" s="930"/>
      <c r="EG3" s="930"/>
      <c r="EH3" s="930"/>
      <c r="EI3" s="930"/>
      <c r="EJ3" s="930"/>
      <c r="EK3" s="930"/>
      <c r="EL3" s="930"/>
      <c r="EM3" s="930"/>
      <c r="EN3" s="930"/>
      <c r="EO3" s="930"/>
      <c r="EP3" s="930"/>
      <c r="EQ3" s="930"/>
      <c r="ER3" s="930"/>
      <c r="ES3" s="930"/>
      <c r="ET3" s="930"/>
      <c r="EU3" s="930"/>
      <c r="EV3" s="930"/>
      <c r="EW3" s="930"/>
      <c r="EX3" s="930"/>
      <c r="EY3" s="930"/>
      <c r="EZ3" s="930"/>
      <c r="FA3" s="930"/>
      <c r="FB3" s="930"/>
      <c r="FC3" s="930"/>
      <c r="FD3" s="930"/>
      <c r="FE3" s="930"/>
      <c r="FF3" s="930"/>
      <c r="FG3" s="930"/>
      <c r="FH3" s="930"/>
      <c r="FI3" s="930"/>
      <c r="FJ3" s="930"/>
      <c r="FK3" s="930"/>
      <c r="FL3" s="930"/>
      <c r="FM3" s="930"/>
      <c r="FN3" s="930"/>
      <c r="FO3" s="930"/>
      <c r="FP3" s="930"/>
      <c r="FQ3" s="930"/>
      <c r="FR3" s="930"/>
      <c r="FS3" s="930"/>
      <c r="FT3" s="930"/>
      <c r="FU3" s="930"/>
      <c r="FV3" s="930"/>
      <c r="FW3" s="930"/>
    </row>
    <row customHeight="1" ht="10.5">
      <c r="B4" s="933"/>
      <c r="C4" s="934"/>
      <c r="D4" s="934"/>
      <c r="E4" s="934"/>
      <c r="F4" s="934"/>
      <c r="G4" s="934"/>
      <c r="H4" s="935"/>
      <c r="I4" s="935"/>
      <c r="J4" s="935"/>
      <c r="K4" s="935"/>
      <c r="L4" s="935"/>
      <c r="M4" s="936"/>
      <c r="N4" s="936"/>
      <c r="O4" s="936"/>
      <c r="P4" s="936"/>
      <c r="Q4" s="936"/>
      <c r="R4" s="936"/>
      <c r="S4" s="936"/>
      <c r="T4" s="936"/>
      <c r="U4" s="936"/>
      <c r="V4" s="936"/>
      <c r="W4" s="936"/>
      <c r="X4" s="936"/>
      <c r="Y4" s="936"/>
      <c r="Z4" s="936"/>
      <c r="AA4" s="936"/>
      <c r="AB4" s="936"/>
      <c r="AC4" s="936"/>
      <c r="AD4" s="936"/>
      <c r="AE4" s="936"/>
      <c r="AF4" s="936"/>
      <c r="AG4" s="936"/>
      <c r="AH4" s="936"/>
      <c r="AI4" s="936"/>
      <c r="AJ4" s="936"/>
      <c r="AK4" s="936"/>
      <c r="AL4" s="936"/>
      <c r="AM4" s="936"/>
      <c r="AN4" s="936"/>
      <c r="AO4" s="936"/>
      <c r="AP4" s="936"/>
      <c r="AQ4" s="936"/>
      <c r="AR4" s="936"/>
      <c r="AS4" s="936"/>
      <c r="AT4" s="936"/>
      <c r="AU4" s="936"/>
      <c r="AV4" s="936"/>
      <c r="AW4" s="936"/>
      <c r="AX4" s="936"/>
      <c r="AY4" s="936"/>
      <c r="AZ4" s="936"/>
      <c r="BA4" s="936"/>
      <c r="BB4" s="936"/>
      <c r="BC4" s="936"/>
      <c r="BD4" s="936"/>
      <c r="BE4" s="936"/>
      <c r="BF4" s="936"/>
      <c r="BG4" s="936"/>
      <c r="BH4" s="936"/>
      <c r="BI4" s="936"/>
      <c r="BJ4" s="936"/>
      <c r="BK4" s="936"/>
      <c r="BL4" s="936"/>
      <c r="BM4" s="936"/>
      <c r="BN4" s="936"/>
      <c r="BO4" s="936"/>
      <c r="BP4" s="936"/>
      <c r="BQ4" s="936"/>
      <c r="BR4" s="936"/>
      <c r="BS4" s="936"/>
      <c r="BT4" s="936"/>
      <c r="BU4" s="936"/>
      <c r="BV4" s="936"/>
      <c r="BW4" s="936"/>
      <c r="BX4" s="936"/>
      <c r="BY4" s="936"/>
      <c r="BZ4" s="936"/>
      <c r="CA4" s="936"/>
      <c r="CB4" s="936"/>
      <c r="CC4" s="936"/>
      <c r="CD4" s="936"/>
      <c r="CE4" s="936"/>
      <c r="CF4" s="936"/>
      <c r="CG4" s="936"/>
      <c r="CH4" s="936"/>
      <c r="CI4" s="936"/>
      <c r="CJ4" s="936"/>
      <c r="CK4" s="936"/>
      <c r="CL4" s="936"/>
      <c r="CM4" s="936"/>
      <c r="CN4" s="936"/>
      <c r="CO4" s="936"/>
      <c r="CP4" s="936"/>
      <c r="CQ4" s="936"/>
      <c r="CR4" s="936"/>
      <c r="CS4" s="936"/>
      <c r="CT4" s="936"/>
      <c r="CU4" s="936"/>
      <c r="CV4" s="936"/>
      <c r="CW4" s="936"/>
      <c r="CX4" s="936"/>
      <c r="CY4" s="936"/>
      <c r="CZ4" s="936"/>
      <c r="DA4" s="936"/>
      <c r="DB4" s="936"/>
      <c r="DC4" s="936"/>
      <c r="DD4" s="936"/>
      <c r="DE4" s="936"/>
      <c r="DF4" s="936"/>
      <c r="DG4" s="936"/>
      <c r="DH4" s="936"/>
      <c r="DI4" s="936"/>
      <c r="DJ4" s="936"/>
      <c r="DK4" s="936"/>
      <c r="DL4" s="936"/>
      <c r="DM4" s="936"/>
      <c r="DN4" s="936"/>
      <c r="DO4" s="936"/>
      <c r="DP4" s="936"/>
      <c r="DQ4" s="936"/>
      <c r="DR4" s="936"/>
      <c r="DS4" s="936"/>
      <c r="DT4" s="936"/>
      <c r="DU4" s="936"/>
      <c r="DV4" s="936"/>
      <c r="DW4" s="936"/>
      <c r="DX4" s="936"/>
      <c r="DY4" s="936"/>
      <c r="DZ4" s="936"/>
      <c r="EA4" s="936"/>
      <c r="EB4" s="936"/>
      <c r="EC4" s="936"/>
      <c r="ED4" s="936"/>
      <c r="EE4" s="936"/>
      <c r="EF4" s="936"/>
      <c r="EG4" s="936"/>
      <c r="EH4" s="936"/>
      <c r="EI4" s="936"/>
      <c r="EJ4" s="936"/>
      <c r="EK4" s="936"/>
      <c r="EL4" s="936"/>
      <c r="EM4" s="936"/>
      <c r="EN4" s="936"/>
      <c r="EO4" s="936"/>
      <c r="EP4" s="936"/>
      <c r="EQ4" s="936"/>
      <c r="ER4" s="936"/>
      <c r="ES4" s="936"/>
      <c r="ET4" s="936"/>
      <c r="EU4" s="936"/>
      <c r="EV4" s="936"/>
      <c r="EW4" s="936"/>
      <c r="EX4" s="936"/>
      <c r="EY4" s="936"/>
      <c r="EZ4" s="936"/>
      <c r="FA4" s="936"/>
      <c r="FB4" s="936"/>
      <c r="FC4" s="936"/>
      <c r="FD4" s="936"/>
      <c r="FE4" s="936"/>
      <c r="FF4" s="936"/>
      <c r="FG4" s="936"/>
      <c r="FH4" s="936"/>
      <c r="FI4" s="936"/>
      <c r="FJ4" s="936"/>
      <c r="FK4" s="936"/>
      <c r="FL4" s="936"/>
      <c r="FM4" s="936"/>
      <c r="FN4" s="936"/>
      <c r="FO4" s="936"/>
      <c r="FP4" s="936"/>
      <c r="FQ4" s="936"/>
      <c r="FR4" s="936"/>
      <c r="FS4" s="936"/>
      <c r="FT4" s="936"/>
      <c r="FU4" s="936"/>
      <c r="FV4" s="936"/>
      <c r="FW4" s="936"/>
    </row>
    <row s="4265" customFormat="1" customHeight="1" ht="25.5">
      <c r="B5" s="1915"/>
      <c r="E5" s="1917"/>
      <c r="F5" s="2295" t="str">
        <f>IP_NAME_FORM&amp;"
Показатели качества, надежности и энергетической эффективности в сфере "&amp;TEMPLATE_SPHERE_RUS&amp;" на "&amp;TITLE_FIL_YEAR&amp;" год"</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 на  год</v>
      </c>
      <c r="G5" s="2015"/>
      <c r="H5" s="2015"/>
      <c r="I5" s="2015"/>
      <c r="J5" s="2015"/>
      <c r="K5" s="2015"/>
      <c r="L5" s="2015"/>
      <c r="M5" s="2015"/>
      <c r="N5" s="2015"/>
      <c r="O5" s="2015"/>
      <c r="P5" s="2015"/>
      <c r="Q5" s="2015"/>
      <c r="R5" s="2015"/>
      <c r="S5" s="2015"/>
      <c r="T5" s="2015"/>
      <c r="U5" s="2015"/>
      <c r="V5" s="2015"/>
      <c r="W5" s="2015"/>
      <c r="X5" s="2015"/>
      <c r="Y5" s="2015"/>
      <c r="Z5" s="2015"/>
      <c r="AA5" s="2015"/>
      <c r="AB5" s="2015"/>
      <c r="AC5" s="2015"/>
      <c r="AD5" s="2015"/>
      <c r="AE5" s="2015"/>
      <c r="AF5" s="2015"/>
      <c r="AG5" s="2015"/>
      <c r="AH5" s="2015"/>
      <c r="AI5" s="2015"/>
      <c r="AJ5" s="2015"/>
      <c r="AK5" s="2015"/>
      <c r="AL5" s="2015"/>
      <c r="AM5" s="2015"/>
      <c r="AN5" s="2015"/>
      <c r="AO5" s="2015"/>
      <c r="AP5" s="2015"/>
      <c r="AQ5" s="2015"/>
      <c r="AR5" s="2015"/>
      <c r="AS5" s="2015"/>
      <c r="AT5" s="2015"/>
      <c r="AU5" s="2015"/>
      <c r="AV5" s="2015"/>
      <c r="AW5" s="2015"/>
      <c r="AX5" s="2015"/>
      <c r="AY5" s="2015"/>
      <c r="AZ5" s="2015"/>
      <c r="BA5" s="2015"/>
      <c r="BB5" s="2015"/>
      <c r="BC5" s="2015"/>
      <c r="BD5" s="2015"/>
      <c r="BE5" s="2015"/>
      <c r="BF5" s="2015"/>
      <c r="BG5" s="2015"/>
      <c r="BH5" s="2015"/>
      <c r="BI5" s="2015"/>
      <c r="BJ5" s="2015"/>
      <c r="BK5" s="2015"/>
      <c r="BL5" s="2015"/>
      <c r="BM5" s="2015"/>
      <c r="BN5" s="2015"/>
      <c r="BO5" s="2015"/>
      <c r="BP5" s="2015"/>
      <c r="BQ5" s="2015"/>
      <c r="BR5" s="2015"/>
      <c r="BS5" s="2015"/>
    </row>
    <row s="4269" customFormat="1" customHeight="1" ht="18">
      <c r="B6" s="950"/>
      <c r="E6" s="952"/>
      <c r="F6" s="2079" t="str">
        <f>IF(org=0,"Не определено",org)</f>
        <v>ЗАО "Байкалэнерго"</v>
      </c>
      <c r="G6" s="2080"/>
      <c r="H6" s="2080"/>
      <c r="I6" s="2080"/>
      <c r="J6" s="2080"/>
      <c r="K6" s="2080"/>
      <c r="L6" s="2080"/>
      <c r="M6" s="2080"/>
      <c r="N6" s="2080"/>
      <c r="O6" s="2080"/>
      <c r="P6" s="2080"/>
      <c r="Q6" s="2080"/>
      <c r="R6" s="2080"/>
      <c r="S6" s="2080"/>
      <c r="T6" s="2080"/>
      <c r="U6" s="2080"/>
      <c r="V6" s="2080"/>
      <c r="W6" s="2080"/>
      <c r="X6" s="2080"/>
      <c r="Y6" s="2080"/>
      <c r="Z6" s="2080"/>
      <c r="AA6" s="2080"/>
      <c r="AB6" s="2080"/>
      <c r="AC6" s="2080"/>
      <c r="AD6" s="2080"/>
      <c r="AE6" s="2080"/>
      <c r="AF6" s="2080"/>
      <c r="AG6" s="2080"/>
      <c r="AH6" s="2080"/>
      <c r="AI6" s="2080"/>
      <c r="AJ6" s="2080"/>
      <c r="AK6" s="2080"/>
      <c r="AL6" s="2080"/>
      <c r="AM6" s="2080"/>
      <c r="AN6" s="2080"/>
      <c r="AO6" s="2080"/>
      <c r="AP6" s="2080"/>
      <c r="AQ6" s="2080"/>
      <c r="AR6" s="2080"/>
      <c r="AS6" s="2080"/>
      <c r="AT6" s="2080"/>
      <c r="AU6" s="2080"/>
      <c r="AV6" s="2080"/>
      <c r="AW6" s="2080"/>
      <c r="AX6" s="2080"/>
      <c r="AY6" s="2080"/>
      <c r="AZ6" s="2080"/>
      <c r="BA6" s="2080"/>
      <c r="BB6" s="2080"/>
      <c r="BC6" s="2080"/>
      <c r="BD6" s="2080"/>
      <c r="BE6" s="2080"/>
      <c r="BF6" s="2080"/>
      <c r="BG6" s="2080"/>
      <c r="BH6" s="2080"/>
      <c r="BI6" s="2080"/>
      <c r="BJ6" s="2080"/>
      <c r="BK6" s="2080"/>
      <c r="BL6" s="2080"/>
      <c r="BM6" s="2080"/>
      <c r="BN6" s="2080"/>
      <c r="BO6" s="2080"/>
      <c r="BP6" s="2080"/>
      <c r="BQ6" s="2080"/>
      <c r="BR6" s="2080"/>
      <c r="BS6" s="2080"/>
    </row>
    <row s="4272" customFormat="1" customHeight="1" ht="10.5">
      <c r="B7" s="938"/>
      <c r="E7" s="939"/>
      <c r="F7" s="939"/>
      <c r="G7" s="941"/>
      <c r="H7" s="935"/>
      <c r="I7" s="935"/>
      <c r="J7" s="935"/>
      <c r="K7" s="935"/>
      <c r="L7" s="935"/>
      <c r="M7" s="939"/>
      <c r="N7" s="939"/>
      <c r="O7" s="939"/>
      <c r="P7" s="939"/>
      <c r="Q7" s="939"/>
      <c r="R7" s="939"/>
      <c r="S7" s="939"/>
      <c r="T7" s="939"/>
      <c r="U7" s="939"/>
      <c r="V7" s="939"/>
      <c r="W7" s="939"/>
      <c r="X7" s="939"/>
      <c r="Y7" s="939"/>
      <c r="Z7" s="939"/>
      <c r="AA7" s="939"/>
      <c r="AB7" s="939"/>
      <c r="AC7" s="939"/>
      <c r="AD7" s="939"/>
      <c r="AE7" s="939"/>
      <c r="AF7" s="939"/>
      <c r="AG7" s="939"/>
      <c r="AH7" s="939"/>
      <c r="AI7" s="939"/>
      <c r="AJ7" s="939"/>
      <c r="AK7" s="939"/>
      <c r="AL7" s="939"/>
      <c r="AM7" s="939"/>
      <c r="AN7" s="939"/>
      <c r="AO7" s="939"/>
      <c r="AP7" s="939"/>
      <c r="AQ7" s="939"/>
      <c r="AR7" s="939"/>
      <c r="AS7" s="939"/>
      <c r="AT7" s="939"/>
      <c r="AU7" s="939"/>
      <c r="AV7" s="939"/>
      <c r="AW7" s="939"/>
      <c r="AX7" s="939"/>
      <c r="AY7" s="939"/>
      <c r="AZ7" s="939"/>
      <c r="BA7" s="939"/>
      <c r="BB7" s="939"/>
      <c r="BC7" s="939"/>
      <c r="BD7" s="939"/>
      <c r="BE7" s="939"/>
      <c r="BF7" s="939"/>
      <c r="BG7" s="939"/>
      <c r="BH7" s="939"/>
      <c r="BI7" s="939"/>
      <c r="BJ7" s="939"/>
      <c r="BK7" s="939"/>
      <c r="BL7" s="939"/>
      <c r="BM7" s="939"/>
      <c r="BN7" s="939"/>
      <c r="BO7" s="939"/>
      <c r="BP7" s="939"/>
      <c r="BQ7" s="939"/>
      <c r="BR7" s="939"/>
      <c r="BS7" s="939"/>
      <c r="BT7" s="939"/>
      <c r="BU7" s="939"/>
      <c r="BV7" s="939"/>
      <c r="BW7" s="939"/>
      <c r="BX7" s="939"/>
      <c r="BY7" s="939"/>
      <c r="BZ7" s="939"/>
      <c r="CA7" s="939"/>
      <c r="CB7" s="939"/>
      <c r="CC7" s="939"/>
      <c r="CD7" s="939"/>
      <c r="CE7" s="939"/>
      <c r="CF7" s="939"/>
      <c r="CG7" s="939"/>
      <c r="CH7" s="939"/>
      <c r="CI7" s="939"/>
      <c r="CJ7" s="939"/>
      <c r="CK7" s="939"/>
      <c r="CL7" s="939"/>
      <c r="CM7" s="939"/>
      <c r="CN7" s="939"/>
      <c r="CO7" s="939"/>
      <c r="CP7" s="939"/>
      <c r="CQ7" s="939"/>
      <c r="CR7" s="939"/>
      <c r="CS7" s="939"/>
      <c r="CT7" s="939"/>
      <c r="CU7" s="939"/>
      <c r="CV7" s="939"/>
      <c r="CW7" s="939"/>
      <c r="CX7" s="939"/>
      <c r="CY7" s="939"/>
      <c r="CZ7" s="939"/>
      <c r="DA7" s="939"/>
      <c r="DB7" s="939"/>
      <c r="DC7" s="939"/>
      <c r="DD7" s="939"/>
      <c r="DE7" s="939"/>
      <c r="DF7" s="939"/>
      <c r="DG7" s="939"/>
      <c r="DH7" s="939"/>
      <c r="DI7" s="939"/>
      <c r="DJ7" s="939"/>
      <c r="DK7" s="939"/>
      <c r="DL7" s="939"/>
      <c r="DM7" s="939"/>
      <c r="DN7" s="939"/>
      <c r="DO7" s="939"/>
      <c r="DP7" s="939"/>
      <c r="DQ7" s="939"/>
      <c r="DR7" s="939"/>
      <c r="DS7" s="939"/>
      <c r="DT7" s="939"/>
      <c r="DU7" s="939"/>
      <c r="DV7" s="939"/>
      <c r="DW7" s="939"/>
      <c r="DX7" s="939"/>
      <c r="DY7" s="939"/>
      <c r="DZ7" s="939"/>
      <c r="EA7" s="939"/>
      <c r="EB7" s="939"/>
      <c r="EC7" s="939"/>
      <c r="ED7" s="939"/>
      <c r="EE7" s="939"/>
      <c r="EF7" s="939"/>
      <c r="EG7" s="939"/>
      <c r="EH7" s="939"/>
      <c r="EI7" s="939"/>
      <c r="EJ7" s="939"/>
      <c r="EK7" s="939"/>
      <c r="EL7" s="939"/>
      <c r="EM7" s="939"/>
      <c r="EN7" s="939"/>
      <c r="EO7" s="939"/>
      <c r="EP7" s="939"/>
      <c r="EQ7" s="939"/>
      <c r="ER7" s="939"/>
      <c r="ES7" s="939"/>
      <c r="ET7" s="939"/>
      <c r="EU7" s="939"/>
      <c r="EV7" s="939"/>
      <c r="EW7" s="939"/>
      <c r="EX7" s="939"/>
      <c r="EY7" s="939"/>
      <c r="EZ7" s="939"/>
      <c r="FA7" s="939"/>
      <c r="FB7" s="939"/>
      <c r="FC7" s="939"/>
      <c r="FD7" s="939"/>
      <c r="FE7" s="939"/>
      <c r="FF7" s="939"/>
      <c r="FG7" s="939"/>
      <c r="FH7" s="939"/>
      <c r="FI7" s="939"/>
      <c r="FJ7" s="939"/>
      <c r="FK7" s="939"/>
      <c r="FL7" s="939"/>
      <c r="FM7" s="939"/>
      <c r="FN7" s="939"/>
      <c r="FO7" s="939"/>
      <c r="FP7" s="939"/>
      <c r="FQ7" s="939"/>
      <c r="FR7" s="939"/>
      <c r="FS7" s="939"/>
      <c r="FT7" s="939"/>
      <c r="FU7" s="939"/>
      <c r="FV7" s="939"/>
      <c r="FW7" s="939"/>
    </row>
    <row s="4274" customFormat="1" customHeight="1" ht="11.25" hidden="1">
      <c r="B8" s="940"/>
      <c r="F8" s="1063"/>
      <c r="G8" s="769"/>
      <c r="H8" s="356"/>
      <c r="I8" s="356"/>
      <c r="J8" s="356"/>
      <c r="K8" s="356"/>
      <c r="L8" s="356"/>
      <c r="M8" s="1063"/>
      <c r="N8" s="1063"/>
      <c r="O8" s="2281" t="s">
        <v>974</v>
      </c>
      <c r="P8" s="2282"/>
      <c r="Q8" s="2282"/>
      <c r="R8" s="2282"/>
      <c r="S8" s="2282"/>
      <c r="T8" s="2282"/>
      <c r="U8" s="2282"/>
      <c r="V8" s="2282"/>
      <c r="W8" s="2282"/>
      <c r="X8" s="2282"/>
      <c r="Y8" s="2282"/>
      <c r="Z8" s="2282"/>
      <c r="AA8" s="2282"/>
      <c r="AB8" s="2282"/>
      <c r="AC8" s="2282"/>
      <c r="AD8" s="2282"/>
      <c r="AE8" s="2282"/>
      <c r="AF8" s="2282"/>
      <c r="AG8" s="2282"/>
      <c r="AH8" s="2282"/>
      <c r="AI8" s="2282"/>
      <c r="AJ8" s="2282"/>
      <c r="AK8" s="2282"/>
      <c r="AL8" s="2282"/>
      <c r="AM8" s="2282"/>
      <c r="AN8" s="2282"/>
      <c r="AO8" s="2282"/>
      <c r="AP8" s="2282"/>
      <c r="AQ8" s="2282"/>
      <c r="AR8" s="2282"/>
      <c r="AS8" s="2282"/>
      <c r="AT8" s="2282"/>
      <c r="AU8" s="2282"/>
      <c r="AV8" s="2282"/>
      <c r="AW8" s="2282"/>
      <c r="AX8" s="2282"/>
      <c r="AY8" s="2282"/>
      <c r="AZ8" s="2282"/>
      <c r="BA8" s="2282"/>
      <c r="BB8" s="2282"/>
      <c r="BC8" s="2282"/>
      <c r="BD8" s="2282"/>
      <c r="BE8" s="2282"/>
      <c r="BF8" s="2282"/>
      <c r="BG8" s="2282"/>
      <c r="BH8" s="2282"/>
      <c r="BI8" s="2282"/>
      <c r="BJ8" s="2282"/>
      <c r="BK8" s="2282"/>
      <c r="BL8" s="2282"/>
      <c r="BM8" s="2282"/>
      <c r="BN8" s="2282"/>
      <c r="BO8" s="2282"/>
      <c r="BP8" s="2282"/>
      <c r="BQ8" s="2282"/>
      <c r="BR8" s="2282"/>
      <c r="BS8" s="2283"/>
      <c r="BT8" s="2284"/>
      <c r="BU8" s="2285"/>
      <c r="BV8" s="2285"/>
      <c r="BW8" s="2285"/>
      <c r="BX8" s="2285"/>
      <c r="BY8" s="2285"/>
      <c r="BZ8" s="2285"/>
      <c r="CA8" s="2285"/>
      <c r="CB8" s="2285"/>
      <c r="CC8" s="2285"/>
      <c r="CD8" s="2285"/>
      <c r="CE8" s="2285"/>
      <c r="CF8" s="2285"/>
      <c r="CG8" s="2285"/>
      <c r="CH8" s="2285"/>
      <c r="CI8" s="2285"/>
      <c r="CJ8" s="2285"/>
      <c r="CK8" s="2285"/>
      <c r="CL8" s="2285"/>
      <c r="CM8" s="2285"/>
      <c r="CN8" s="2285"/>
      <c r="CO8" s="2285"/>
      <c r="CP8" s="2285"/>
      <c r="CQ8" s="2285"/>
      <c r="CR8" s="2285"/>
      <c r="CS8" s="2285"/>
      <c r="CT8" s="2285"/>
      <c r="CU8" s="2285"/>
      <c r="CV8" s="2285"/>
      <c r="CW8" s="2285"/>
      <c r="CX8" s="2286"/>
      <c r="CY8" s="2287"/>
      <c r="CZ8" s="2288"/>
      <c r="DA8" s="2288"/>
      <c r="DB8" s="2288"/>
      <c r="DC8" s="2288"/>
      <c r="DD8" s="2288"/>
      <c r="DE8" s="2288"/>
      <c r="DF8" s="2288"/>
      <c r="DG8" s="2288"/>
      <c r="DH8" s="2288"/>
      <c r="DI8" s="2288"/>
      <c r="DJ8" s="2288"/>
      <c r="DK8" s="2288"/>
      <c r="DL8" s="2288"/>
      <c r="DM8" s="2288"/>
      <c r="DN8" s="2288"/>
      <c r="DO8" s="2288"/>
      <c r="DP8" s="2288"/>
      <c r="DQ8" s="2288"/>
      <c r="DR8" s="2288"/>
      <c r="DS8" s="2288"/>
      <c r="DT8" s="2288"/>
      <c r="DU8" s="2288"/>
      <c r="DV8" s="2288"/>
      <c r="DW8" s="2288"/>
      <c r="DX8" s="2289"/>
      <c r="DY8" s="2275" t="s">
        <v>975</v>
      </c>
      <c r="DZ8" s="2276"/>
      <c r="EA8" s="2276"/>
      <c r="EB8" s="2276"/>
      <c r="EC8" s="2276"/>
      <c r="ED8" s="2276"/>
      <c r="EE8" s="2276"/>
      <c r="EF8" s="2276"/>
      <c r="EG8" s="2276"/>
      <c r="EH8" s="2276"/>
      <c r="EI8" s="2276"/>
      <c r="EJ8" s="2276"/>
      <c r="EK8" s="2276"/>
      <c r="EL8" s="2276"/>
      <c r="EM8" s="2276"/>
      <c r="EN8" s="2276"/>
      <c r="EO8" s="2276"/>
      <c r="EP8" s="2276"/>
      <c r="EQ8" s="2276"/>
      <c r="ER8" s="2276"/>
      <c r="ES8" s="2276"/>
      <c r="ET8" s="2276"/>
      <c r="EU8" s="2276"/>
      <c r="EV8" s="2276"/>
      <c r="EW8" s="2276"/>
      <c r="EX8" s="2276"/>
      <c r="EY8" s="2276"/>
      <c r="EZ8" s="2276"/>
      <c r="FA8" s="2276"/>
      <c r="FB8" s="2276"/>
      <c r="FC8" s="2276"/>
      <c r="FD8" s="2276"/>
      <c r="FE8" s="2276"/>
      <c r="FF8" s="2276"/>
      <c r="FG8" s="2276"/>
      <c r="FH8" s="2276"/>
      <c r="FI8" s="2276"/>
      <c r="FJ8" s="2276"/>
      <c r="FK8" s="2276"/>
      <c r="FL8" s="2276"/>
      <c r="FM8" s="2276"/>
      <c r="FN8" s="2276"/>
      <c r="FO8" s="2276"/>
      <c r="FP8" s="2276"/>
      <c r="FQ8" s="2276"/>
      <c r="FR8" s="2276"/>
      <c r="FS8" s="2276"/>
      <c r="FT8" s="2276"/>
      <c r="FU8" s="2276"/>
      <c r="FV8" s="2276"/>
      <c r="FW8" s="2277"/>
      <c r="FX8" s="1063"/>
    </row>
    <row s="4274" customFormat="1" customHeight="1" ht="11.25" hidden="1">
      <c r="B9" s="940"/>
      <c r="F9" s="1063"/>
      <c r="G9" s="769"/>
      <c r="H9" s="356"/>
      <c r="I9" s="356"/>
      <c r="J9" s="356"/>
      <c r="K9" s="356"/>
      <c r="L9" s="356"/>
      <c r="M9" s="1063"/>
      <c r="N9" s="1063"/>
      <c r="O9" s="1063"/>
      <c r="P9" s="1063"/>
      <c r="Q9" s="1063"/>
      <c r="R9" s="1063"/>
      <c r="S9" s="1063"/>
      <c r="T9" s="1063"/>
      <c r="U9" s="1063"/>
      <c r="V9" s="1063"/>
      <c r="W9" s="1063"/>
      <c r="X9" s="1063"/>
      <c r="Y9" s="1063"/>
      <c r="Z9" s="1063"/>
      <c r="AA9" s="1063"/>
      <c r="AB9" s="1063"/>
      <c r="AC9" s="1063"/>
      <c r="AD9" s="1063"/>
      <c r="AE9" s="1063"/>
      <c r="AF9" s="1063"/>
      <c r="AG9" s="1063"/>
      <c r="AH9" s="1063"/>
      <c r="AI9" s="1063"/>
      <c r="AJ9" s="1063"/>
      <c r="AK9" s="1063"/>
      <c r="AL9" s="1063"/>
      <c r="AM9" s="1063"/>
      <c r="AN9" s="1063"/>
      <c r="AO9" s="1063"/>
      <c r="AP9" s="1063"/>
      <c r="AQ9" s="1063"/>
      <c r="AR9" s="1063"/>
      <c r="AS9" s="1063"/>
      <c r="AT9" s="1063"/>
      <c r="AU9" s="1063"/>
      <c r="AV9" s="1063"/>
      <c r="AW9" s="1063"/>
      <c r="AX9" s="1063"/>
      <c r="AY9" s="1063"/>
      <c r="AZ9" s="1063"/>
      <c r="BA9" s="1063"/>
      <c r="BB9" s="1063"/>
      <c r="BC9" s="1063"/>
      <c r="BD9" s="1063"/>
      <c r="BE9" s="1063"/>
      <c r="BF9" s="1063"/>
      <c r="BG9" s="1063"/>
      <c r="BH9" s="1063"/>
      <c r="BI9" s="1063"/>
      <c r="BJ9" s="1063"/>
      <c r="BK9" s="1063"/>
      <c r="BL9" s="1063"/>
      <c r="BM9" s="1063"/>
      <c r="BN9" s="1063"/>
      <c r="BO9" s="1063"/>
      <c r="BP9" s="1063"/>
      <c r="BQ9" s="1063"/>
      <c r="BR9" s="1063"/>
      <c r="BS9" s="1063"/>
      <c r="BT9" s="1063"/>
      <c r="BU9" s="1063"/>
      <c r="BV9" s="1063"/>
      <c r="BW9" s="1063"/>
      <c r="BX9" s="1063"/>
      <c r="BY9" s="1063"/>
      <c r="BZ9" s="1063"/>
      <c r="CA9" s="1063"/>
      <c r="CB9" s="1063"/>
      <c r="CC9" s="1063"/>
      <c r="CD9" s="1063"/>
      <c r="CE9" s="1063"/>
      <c r="CF9" s="1063"/>
      <c r="CG9" s="1063"/>
      <c r="CH9" s="1063"/>
      <c r="CI9" s="1063"/>
      <c r="CJ9" s="1063"/>
      <c r="CK9" s="1063"/>
      <c r="CL9" s="1063"/>
      <c r="CM9" s="1063"/>
      <c r="CN9" s="1063"/>
      <c r="CO9" s="1063"/>
      <c r="CP9" s="1063"/>
      <c r="CQ9" s="1063"/>
      <c r="CR9" s="1063"/>
      <c r="CS9" s="1063"/>
      <c r="CT9" s="1063"/>
      <c r="CU9" s="1063"/>
      <c r="CV9" s="1063"/>
      <c r="CW9" s="1063"/>
      <c r="CX9" s="1063"/>
      <c r="CY9" s="1063"/>
      <c r="CZ9" s="1063"/>
      <c r="DA9" s="1063"/>
      <c r="DB9" s="1063"/>
      <c r="DC9" s="1063"/>
      <c r="DD9" s="1063"/>
      <c r="DE9" s="1063"/>
      <c r="DF9" s="1063"/>
      <c r="DG9" s="1063"/>
      <c r="DH9" s="1063"/>
      <c r="DI9" s="1063"/>
      <c r="DJ9" s="1063"/>
      <c r="DK9" s="1063"/>
      <c r="DL9" s="1063"/>
      <c r="DM9" s="1063"/>
      <c r="DN9" s="1063"/>
      <c r="DO9" s="1063"/>
      <c r="DP9" s="1063"/>
      <c r="DQ9" s="1063"/>
      <c r="DR9" s="1063"/>
      <c r="DS9" s="1063"/>
      <c r="DT9" s="1063"/>
      <c r="DU9" s="1063"/>
      <c r="DV9" s="1063"/>
      <c r="DW9" s="1063"/>
      <c r="DX9" s="1063"/>
      <c r="DY9" s="1063"/>
      <c r="DZ9" s="1063"/>
      <c r="EA9" s="1063"/>
      <c r="EB9" s="1063"/>
      <c r="EC9" s="1063"/>
      <c r="ED9" s="1063"/>
      <c r="EE9" s="1063"/>
      <c r="EF9" s="1063"/>
      <c r="EG9" s="1063"/>
      <c r="EH9" s="1063"/>
      <c r="EI9" s="1063"/>
      <c r="EJ9" s="1063"/>
      <c r="EK9" s="1063"/>
      <c r="EL9" s="1063"/>
      <c r="EM9" s="1063"/>
      <c r="EN9" s="1063"/>
      <c r="EO9" s="1063"/>
      <c r="EP9" s="1063"/>
      <c r="EQ9" s="1063"/>
      <c r="ER9" s="1063"/>
      <c r="ES9" s="1063"/>
      <c r="ET9" s="1063"/>
      <c r="EU9" s="1063"/>
      <c r="EV9" s="1063"/>
      <c r="EW9" s="1063"/>
      <c r="EX9" s="1063"/>
      <c r="EY9" s="1063"/>
      <c r="EZ9" s="1063"/>
      <c r="FA9" s="1063"/>
      <c r="FB9" s="1063"/>
      <c r="FC9" s="1063"/>
      <c r="FD9" s="1063"/>
      <c r="FE9" s="1063"/>
      <c r="FF9" s="1063"/>
      <c r="FG9" s="1063"/>
      <c r="FH9" s="1063"/>
      <c r="FI9" s="1063"/>
      <c r="FJ9" s="1063"/>
      <c r="FK9" s="1063"/>
      <c r="FL9" s="1063"/>
      <c r="FM9" s="1063"/>
      <c r="FN9" s="1063"/>
      <c r="FO9" s="1063"/>
      <c r="FP9" s="1063"/>
      <c r="FQ9" s="1063"/>
      <c r="FR9" s="1063"/>
      <c r="FS9" s="1063"/>
      <c r="FT9" s="1063"/>
      <c r="FU9" s="1063"/>
      <c r="FV9" s="1063"/>
      <c r="FW9" s="2278"/>
      <c r="FX9" s="1063"/>
    </row>
    <row s="4274" customFormat="1" customHeight="1" ht="11.25">
      <c r="B10" s="940"/>
      <c r="F10" s="2292" t="s">
        <v>293</v>
      </c>
      <c r="G10" s="2293"/>
      <c r="H10" s="2293"/>
      <c r="I10" s="2293"/>
      <c r="J10" s="2293"/>
      <c r="K10" s="2293"/>
      <c r="L10" s="2293"/>
      <c r="M10" s="2293"/>
      <c r="N10" s="2293"/>
      <c r="O10" s="2293"/>
      <c r="P10" s="2293"/>
      <c r="Q10" s="2293"/>
      <c r="R10" s="2293"/>
      <c r="S10" s="2293"/>
      <c r="T10" s="2293"/>
      <c r="U10" s="2293"/>
      <c r="V10" s="2293"/>
      <c r="W10" s="2293"/>
      <c r="X10" s="2293"/>
      <c r="Y10" s="2293"/>
      <c r="Z10" s="2293"/>
      <c r="AA10" s="2293"/>
      <c r="AB10" s="2293"/>
      <c r="AC10" s="2293"/>
      <c r="AD10" s="2293"/>
      <c r="AE10" s="2293"/>
      <c r="AF10" s="2293"/>
      <c r="AG10" s="2293"/>
      <c r="AH10" s="2293"/>
      <c r="AI10" s="2293"/>
      <c r="AJ10" s="2293"/>
      <c r="AK10" s="2293"/>
      <c r="AL10" s="2293"/>
      <c r="AM10" s="2293"/>
      <c r="AN10" s="2293"/>
      <c r="AO10" s="2293"/>
      <c r="AP10" s="2293"/>
      <c r="AQ10" s="2293"/>
      <c r="AR10" s="2293"/>
      <c r="AS10" s="2293"/>
      <c r="AT10" s="2293"/>
      <c r="AU10" s="2293"/>
      <c r="AV10" s="2293"/>
      <c r="AW10" s="2293"/>
      <c r="AX10" s="2293"/>
      <c r="AY10" s="2293"/>
      <c r="AZ10" s="2293"/>
      <c r="BA10" s="2293"/>
      <c r="BB10" s="2293"/>
      <c r="BC10" s="2293"/>
      <c r="BD10" s="2293"/>
      <c r="BE10" s="2293"/>
      <c r="BF10" s="2293"/>
      <c r="BG10" s="2293"/>
      <c r="BH10" s="2293"/>
      <c r="BI10" s="2293"/>
      <c r="BJ10" s="2293"/>
      <c r="BK10" s="2293"/>
      <c r="BL10" s="2293"/>
      <c r="BM10" s="2293"/>
      <c r="BN10" s="2293"/>
      <c r="BO10" s="2293"/>
      <c r="BP10" s="2293"/>
      <c r="BQ10" s="2293"/>
      <c r="BR10" s="2293"/>
      <c r="BS10" s="2293"/>
      <c r="BT10" s="2293"/>
      <c r="BU10" s="2293"/>
      <c r="BV10" s="2293"/>
      <c r="BW10" s="2293"/>
      <c r="BX10" s="2293"/>
      <c r="BY10" s="2293"/>
      <c r="BZ10" s="2293"/>
      <c r="CA10" s="2293"/>
      <c r="CB10" s="2293"/>
      <c r="CC10" s="2293"/>
      <c r="CD10" s="2293"/>
      <c r="CE10" s="2293"/>
      <c r="CF10" s="2293"/>
      <c r="CG10" s="2293"/>
      <c r="CH10" s="2293"/>
      <c r="CI10" s="2293"/>
      <c r="CJ10" s="2293"/>
      <c r="CK10" s="2293"/>
      <c r="CL10" s="2293"/>
      <c r="CM10" s="2293"/>
      <c r="CN10" s="2293"/>
      <c r="CO10" s="2293"/>
      <c r="CP10" s="2293"/>
      <c r="CQ10" s="2293"/>
      <c r="CR10" s="2293"/>
      <c r="CS10" s="2293"/>
      <c r="CT10" s="2293"/>
      <c r="CU10" s="2293"/>
      <c r="CV10" s="2293"/>
      <c r="CW10" s="2293"/>
      <c r="CX10" s="2293"/>
      <c r="CY10" s="2293"/>
      <c r="CZ10" s="2293"/>
      <c r="DA10" s="2293"/>
      <c r="DB10" s="2293"/>
      <c r="DC10" s="2293"/>
      <c r="DD10" s="2293"/>
      <c r="DE10" s="2293"/>
      <c r="DF10" s="2293"/>
      <c r="DG10" s="2293"/>
      <c r="DH10" s="2293"/>
      <c r="DI10" s="2293"/>
      <c r="DJ10" s="2293"/>
      <c r="DK10" s="2293"/>
      <c r="DL10" s="2293"/>
      <c r="DM10" s="2293"/>
      <c r="DN10" s="2293"/>
      <c r="DO10" s="2293"/>
      <c r="DP10" s="2293"/>
      <c r="DQ10" s="2293"/>
      <c r="DR10" s="2293"/>
      <c r="DS10" s="2293"/>
      <c r="DT10" s="2293"/>
      <c r="DU10" s="2293"/>
      <c r="DV10" s="2293"/>
      <c r="DW10" s="2293"/>
      <c r="DX10" s="2293"/>
      <c r="DY10" s="2293"/>
      <c r="DZ10" s="2293"/>
      <c r="EA10" s="2293"/>
      <c r="EB10" s="2293"/>
      <c r="EC10" s="2293"/>
      <c r="ED10" s="2293"/>
      <c r="EE10" s="2293"/>
      <c r="EF10" s="2293"/>
      <c r="EG10" s="2293"/>
      <c r="EH10" s="2293"/>
      <c r="EI10" s="2293"/>
      <c r="EJ10" s="2293"/>
      <c r="EK10" s="2293"/>
      <c r="EL10" s="2293"/>
      <c r="EM10" s="2293"/>
      <c r="EN10" s="2293"/>
      <c r="EO10" s="2293"/>
      <c r="EP10" s="2293"/>
      <c r="EQ10" s="2293"/>
      <c r="ER10" s="2293"/>
      <c r="ES10" s="2293"/>
      <c r="ET10" s="2293"/>
      <c r="EU10" s="2293"/>
      <c r="EV10" s="2293"/>
      <c r="EW10" s="2293"/>
      <c r="EX10" s="2293"/>
      <c r="EY10" s="2293"/>
      <c r="EZ10" s="2293"/>
      <c r="FA10" s="2293"/>
      <c r="FB10" s="2293"/>
      <c r="FC10" s="2293"/>
      <c r="FD10" s="2293"/>
      <c r="FE10" s="2293"/>
      <c r="FF10" s="2293"/>
      <c r="FG10" s="2293"/>
      <c r="FH10" s="2293"/>
      <c r="FI10" s="2293"/>
      <c r="FJ10" s="2293"/>
      <c r="FK10" s="2293"/>
      <c r="FL10" s="2293"/>
      <c r="FM10" s="2293"/>
      <c r="FN10" s="2293"/>
      <c r="FO10" s="2293"/>
      <c r="FP10" s="2293"/>
      <c r="FQ10" s="2293"/>
      <c r="FR10" s="2293"/>
      <c r="FS10" s="2293"/>
      <c r="FT10" s="2293"/>
      <c r="FU10" s="2293"/>
      <c r="FV10" s="2294"/>
      <c r="FW10" s="2278"/>
      <c r="FX10" s="1063"/>
    </row>
    <row customHeight="1" ht="12">
      <c r="E11" s="943"/>
      <c r="F11" s="2057" t="s">
        <v>88</v>
      </c>
      <c r="G11" s="2057" t="s">
        <v>976</v>
      </c>
      <c r="H11" s="2291" t="s">
        <v>977</v>
      </c>
      <c r="I11" s="2291" t="s">
        <v>978</v>
      </c>
      <c r="J11" s="2290"/>
      <c r="K11" s="2290"/>
      <c r="L11" s="2290"/>
      <c r="M11" s="2290"/>
      <c r="N11" s="2290"/>
      <c r="O11" s="2062" t="s">
        <v>979</v>
      </c>
      <c r="P11" s="2062"/>
      <c r="Q11" s="2062"/>
      <c r="R11" s="2062"/>
      <c r="S11" s="2062"/>
      <c r="T11" s="2062"/>
      <c r="U11" s="2062"/>
      <c r="V11" s="2062"/>
      <c r="W11" s="2062"/>
      <c r="X11" s="2062"/>
      <c r="Y11" s="2062"/>
      <c r="Z11" s="2062"/>
      <c r="AA11" s="2062"/>
      <c r="AB11" s="2062"/>
      <c r="AC11" s="2272"/>
      <c r="AD11" s="2272"/>
      <c r="AE11" s="2272"/>
      <c r="AF11" s="2272"/>
      <c r="AG11" s="2272"/>
      <c r="AH11" s="2272"/>
      <c r="AI11" s="2272"/>
      <c r="AJ11" s="2272"/>
      <c r="AK11" s="2272"/>
      <c r="AL11" s="2272"/>
      <c r="AM11" s="2272"/>
      <c r="AN11" s="2272"/>
      <c r="AO11" s="2272"/>
      <c r="AP11" s="2272"/>
      <c r="AQ11" s="2272"/>
      <c r="AR11" s="2272"/>
      <c r="AS11" s="2272"/>
      <c r="AT11" s="2272"/>
      <c r="AU11" s="2272"/>
      <c r="AV11" s="2272"/>
      <c r="AW11" s="2272"/>
      <c r="AX11" s="2272"/>
      <c r="AY11" s="2272"/>
      <c r="AZ11" s="2272"/>
      <c r="BA11" s="2272"/>
      <c r="BB11" s="2272"/>
      <c r="BC11" s="2272"/>
      <c r="BD11" s="2272"/>
      <c r="BE11" s="2272"/>
      <c r="BF11" s="2272"/>
      <c r="BG11" s="2272"/>
      <c r="BH11" s="2272"/>
      <c r="BI11" s="2272"/>
      <c r="BJ11" s="2272"/>
      <c r="BK11" s="2272"/>
      <c r="BL11" s="2272"/>
      <c r="BM11" s="2272"/>
      <c r="BN11" s="2272"/>
      <c r="BO11" s="2272"/>
      <c r="BP11" s="2272"/>
      <c r="BQ11" s="2272"/>
      <c r="BR11" s="2272"/>
      <c r="BS11" s="2273"/>
      <c r="BT11" s="2270" t="s">
        <v>979</v>
      </c>
      <c r="BU11" s="2274"/>
      <c r="BV11" s="2274"/>
      <c r="BW11" s="2274"/>
      <c r="BX11" s="2274"/>
      <c r="BY11" s="2274"/>
      <c r="BZ11" s="2274"/>
      <c r="CA11" s="2274"/>
      <c r="CB11" s="2274"/>
      <c r="CC11" s="2274"/>
      <c r="CD11" s="2274"/>
      <c r="CE11" s="2274"/>
      <c r="CF11" s="2274"/>
      <c r="CG11" s="2274"/>
      <c r="CH11" s="2274"/>
      <c r="CI11" s="2274"/>
      <c r="CJ11" s="2274"/>
      <c r="CK11" s="2271"/>
      <c r="CL11" s="2280"/>
      <c r="CM11" s="2272"/>
      <c r="CN11" s="2272"/>
      <c r="CO11" s="2272"/>
      <c r="CP11" s="2272"/>
      <c r="CQ11" s="2272"/>
      <c r="CR11" s="2272"/>
      <c r="CS11" s="2272"/>
      <c r="CT11" s="2272"/>
      <c r="CU11" s="2272"/>
      <c r="CV11" s="2272"/>
      <c r="CW11" s="2272"/>
      <c r="CX11" s="2273"/>
      <c r="CY11" s="2270" t="s">
        <v>979</v>
      </c>
      <c r="CZ11" s="2274"/>
      <c r="DA11" s="2274"/>
      <c r="DB11" s="2274"/>
      <c r="DC11" s="2274"/>
      <c r="DD11" s="2274"/>
      <c r="DE11" s="2274"/>
      <c r="DF11" s="2274"/>
      <c r="DG11" s="2274"/>
      <c r="DH11" s="2274"/>
      <c r="DI11" s="2274"/>
      <c r="DJ11" s="2271"/>
      <c r="DK11" s="2280"/>
      <c r="DL11" s="2272"/>
      <c r="DM11" s="2272"/>
      <c r="DN11" s="2272"/>
      <c r="DO11" s="2272"/>
      <c r="DP11" s="2272"/>
      <c r="DQ11" s="2272"/>
      <c r="DR11" s="2272"/>
      <c r="DS11" s="2272"/>
      <c r="DT11" s="2272"/>
      <c r="DU11" s="2272"/>
      <c r="DV11" s="2272"/>
      <c r="DW11" s="2272"/>
      <c r="DX11" s="2272"/>
      <c r="DY11" s="2272"/>
      <c r="DZ11" s="2272"/>
      <c r="EA11" s="2272"/>
      <c r="EB11" s="2272"/>
      <c r="EC11" s="2272"/>
      <c r="ED11" s="2272"/>
      <c r="EE11" s="2272"/>
      <c r="EF11" s="2272"/>
      <c r="EG11" s="2272"/>
      <c r="EH11" s="2272"/>
      <c r="EI11" s="2272"/>
      <c r="EJ11" s="2272"/>
      <c r="EK11" s="2272"/>
      <c r="EL11" s="2272"/>
      <c r="EM11" s="2272"/>
      <c r="EN11" s="2272"/>
      <c r="EO11" s="2272"/>
      <c r="EP11" s="2272"/>
      <c r="EQ11" s="2272"/>
      <c r="ER11" s="2272"/>
      <c r="ES11" s="2272"/>
      <c r="ET11" s="2272"/>
      <c r="EU11" s="2272"/>
      <c r="EV11" s="2272"/>
      <c r="EW11" s="2272"/>
      <c r="EX11" s="2272"/>
      <c r="EY11" s="2272"/>
      <c r="EZ11" s="2272"/>
      <c r="FA11" s="2272"/>
      <c r="FB11" s="2272"/>
      <c r="FC11" s="2272"/>
      <c r="FD11" s="2272"/>
      <c r="FE11" s="2272"/>
      <c r="FF11" s="2272"/>
      <c r="FG11" s="2272"/>
      <c r="FH11" s="2272"/>
      <c r="FI11" s="2272"/>
      <c r="FJ11" s="2272"/>
      <c r="FK11" s="2272"/>
      <c r="FL11" s="2272"/>
      <c r="FM11" s="2272"/>
      <c r="FN11" s="2272"/>
      <c r="FO11" s="2272"/>
      <c r="FP11" s="2272"/>
      <c r="FQ11" s="2272"/>
      <c r="FR11" s="2272"/>
      <c r="FS11" s="2272"/>
      <c r="FT11" s="2272"/>
      <c r="FU11" s="2272"/>
      <c r="FV11" s="2272"/>
      <c r="FW11" s="2278"/>
      <c r="FX11" s="768"/>
    </row>
    <row customHeight="1" ht="12">
      <c r="D12" s="944"/>
      <c r="E12" s="943"/>
      <c r="F12" s="2057"/>
      <c r="G12" s="2057"/>
      <c r="H12" s="2291"/>
      <c r="I12" s="2291"/>
      <c r="J12" s="2290"/>
      <c r="K12" s="2290"/>
      <c r="L12" s="2290"/>
      <c r="M12" s="2290"/>
      <c r="N12" s="2290"/>
      <c r="O12" s="2062" t="s">
        <v>980</v>
      </c>
      <c r="P12" s="2062"/>
      <c r="Q12" s="2062"/>
      <c r="R12" s="2062"/>
      <c r="S12" s="2062" t="s">
        <v>981</v>
      </c>
      <c r="T12" s="2062"/>
      <c r="U12" s="2062"/>
      <c r="V12" s="2062"/>
      <c r="W12" s="2062"/>
      <c r="X12" s="2062"/>
      <c r="Y12" s="2062"/>
      <c r="Z12" s="2062"/>
      <c r="AA12" s="2062"/>
      <c r="AB12" s="2062"/>
      <c r="AC12" s="2272"/>
      <c r="AD12" s="2272"/>
      <c r="AE12" s="2272"/>
      <c r="AF12" s="2272"/>
      <c r="AG12" s="2272"/>
      <c r="AH12" s="2272"/>
      <c r="AI12" s="2272"/>
      <c r="AJ12" s="2272"/>
      <c r="AK12" s="2272"/>
      <c r="AL12" s="2272"/>
      <c r="AM12" s="2272"/>
      <c r="AN12" s="2272"/>
      <c r="AO12" s="2272"/>
      <c r="AP12" s="2272"/>
      <c r="AQ12" s="2272"/>
      <c r="AR12" s="2272"/>
      <c r="AS12" s="2272"/>
      <c r="AT12" s="2272"/>
      <c r="AU12" s="2272"/>
      <c r="AV12" s="2272"/>
      <c r="AW12" s="2272"/>
      <c r="AX12" s="2272"/>
      <c r="AY12" s="2272"/>
      <c r="AZ12" s="2272"/>
      <c r="BA12" s="2272"/>
      <c r="BB12" s="2272"/>
      <c r="BC12" s="2272"/>
      <c r="BD12" s="2272"/>
      <c r="BE12" s="2272"/>
      <c r="BF12" s="2272"/>
      <c r="BG12" s="2272"/>
      <c r="BH12" s="2272"/>
      <c r="BI12" s="2272"/>
      <c r="BJ12" s="2272"/>
      <c r="BK12" s="2272"/>
      <c r="BL12" s="2272"/>
      <c r="BM12" s="2272"/>
      <c r="BN12" s="2272"/>
      <c r="BO12" s="2272"/>
      <c r="BP12" s="2272"/>
      <c r="BQ12" s="2272"/>
      <c r="BR12" s="2272"/>
      <c r="BS12" s="2273"/>
      <c r="BT12" s="2270" t="s">
        <v>982</v>
      </c>
      <c r="BU12" s="2274"/>
      <c r="BV12" s="2274"/>
      <c r="BW12" s="2271"/>
      <c r="BX12" s="2270" t="s">
        <v>983</v>
      </c>
      <c r="BY12" s="2274"/>
      <c r="BZ12" s="2274"/>
      <c r="CA12" s="2271"/>
      <c r="CB12" s="2270" t="s">
        <v>984</v>
      </c>
      <c r="CC12" s="2271"/>
      <c r="CD12" s="2270" t="s">
        <v>985</v>
      </c>
      <c r="CE12" s="2274"/>
      <c r="CF12" s="2274"/>
      <c r="CG12" s="2274"/>
      <c r="CH12" s="2274"/>
      <c r="CI12" s="2274"/>
      <c r="CJ12" s="2274"/>
      <c r="CK12" s="2271"/>
      <c r="CL12" s="2280"/>
      <c r="CM12" s="2272"/>
      <c r="CN12" s="2272"/>
      <c r="CO12" s="2272"/>
      <c r="CP12" s="2272"/>
      <c r="CQ12" s="2272"/>
      <c r="CR12" s="2272"/>
      <c r="CS12" s="2272"/>
      <c r="CT12" s="2272"/>
      <c r="CU12" s="2272"/>
      <c r="CV12" s="2272"/>
      <c r="CW12" s="2272"/>
      <c r="CX12" s="2273"/>
      <c r="CY12" s="2270" t="s">
        <v>986</v>
      </c>
      <c r="CZ12" s="2274"/>
      <c r="DA12" s="2274"/>
      <c r="DB12" s="2274"/>
      <c r="DC12" s="2274"/>
      <c r="DD12" s="2271"/>
      <c r="DE12" s="2270" t="s">
        <v>987</v>
      </c>
      <c r="DF12" s="2271"/>
      <c r="DG12" s="2270" t="s">
        <v>985</v>
      </c>
      <c r="DH12" s="2274"/>
      <c r="DI12" s="2274"/>
      <c r="DJ12" s="2271"/>
      <c r="DK12" s="2280"/>
      <c r="DL12" s="2272"/>
      <c r="DM12" s="2272"/>
      <c r="DN12" s="2272"/>
      <c r="DO12" s="2272"/>
      <c r="DP12" s="2272"/>
      <c r="DQ12" s="2272"/>
      <c r="DR12" s="2272"/>
      <c r="DS12" s="2272"/>
      <c r="DT12" s="2272"/>
      <c r="DU12" s="2272"/>
      <c r="DV12" s="2272"/>
      <c r="DW12" s="2272"/>
      <c r="DX12" s="2272"/>
      <c r="DY12" s="2272"/>
      <c r="DZ12" s="2272"/>
      <c r="EA12" s="2272"/>
      <c r="EB12" s="2272"/>
      <c r="EC12" s="2272"/>
      <c r="ED12" s="2272"/>
      <c r="EE12" s="2272"/>
      <c r="EF12" s="2272"/>
      <c r="EG12" s="2272"/>
      <c r="EH12" s="2272"/>
      <c r="EI12" s="2272"/>
      <c r="EJ12" s="2272"/>
      <c r="EK12" s="2272"/>
      <c r="EL12" s="2272"/>
      <c r="EM12" s="2272"/>
      <c r="EN12" s="2272"/>
      <c r="EO12" s="2272"/>
      <c r="EP12" s="2272"/>
      <c r="EQ12" s="2272"/>
      <c r="ER12" s="2272"/>
      <c r="ES12" s="2272"/>
      <c r="ET12" s="2272"/>
      <c r="EU12" s="2272"/>
      <c r="EV12" s="2272"/>
      <c r="EW12" s="2272"/>
      <c r="EX12" s="2272"/>
      <c r="EY12" s="2272"/>
      <c r="EZ12" s="2272"/>
      <c r="FA12" s="2272"/>
      <c r="FB12" s="2272"/>
      <c r="FC12" s="2272"/>
      <c r="FD12" s="2272"/>
      <c r="FE12" s="2272"/>
      <c r="FF12" s="2272"/>
      <c r="FG12" s="2272"/>
      <c r="FH12" s="2272"/>
      <c r="FI12" s="2272"/>
      <c r="FJ12" s="2272"/>
      <c r="FK12" s="2272"/>
      <c r="FL12" s="2272"/>
      <c r="FM12" s="2272"/>
      <c r="FN12" s="2272"/>
      <c r="FO12" s="2272"/>
      <c r="FP12" s="2272"/>
      <c r="FQ12" s="2272"/>
      <c r="FR12" s="2272"/>
      <c r="FS12" s="2272"/>
      <c r="FT12" s="2272"/>
      <c r="FU12" s="2272"/>
      <c r="FV12" s="2272"/>
      <c r="FW12" s="2278"/>
      <c r="FX12" s="768"/>
    </row>
    <row customHeight="1" ht="36">
      <c r="D13" s="944"/>
      <c r="E13" s="943"/>
      <c r="F13" s="2057"/>
      <c r="G13" s="2057"/>
      <c r="H13" s="2291"/>
      <c r="I13" s="2291"/>
      <c r="J13" s="2290"/>
      <c r="K13" s="2290"/>
      <c r="L13" s="2290"/>
      <c r="M13" s="2290"/>
      <c r="N13" s="2290"/>
      <c r="O13" s="2062" t="s">
        <v>988</v>
      </c>
      <c r="P13" s="2062"/>
      <c r="Q13" s="2062"/>
      <c r="R13" s="2062"/>
      <c r="S13" s="2189" t="s">
        <v>989</v>
      </c>
      <c r="T13" s="2268"/>
      <c r="U13" s="1971" t="s">
        <v>990</v>
      </c>
      <c r="V13" s="1971"/>
      <c r="W13" s="1971"/>
      <c r="X13" s="1971"/>
      <c r="Y13" s="1971" t="s">
        <v>991</v>
      </c>
      <c r="Z13" s="1971"/>
      <c r="AA13" s="1971"/>
      <c r="AB13" s="1971"/>
      <c r="AC13" s="2272"/>
      <c r="AD13" s="2272"/>
      <c r="AE13" s="2272"/>
      <c r="AF13" s="2272"/>
      <c r="AG13" s="2272"/>
      <c r="AH13" s="2272"/>
      <c r="AI13" s="2272"/>
      <c r="AJ13" s="2272"/>
      <c r="AK13" s="2272"/>
      <c r="AL13" s="2272"/>
      <c r="AM13" s="2272"/>
      <c r="AN13" s="2272"/>
      <c r="AO13" s="2272"/>
      <c r="AP13" s="2272"/>
      <c r="AQ13" s="2272"/>
      <c r="AR13" s="2272"/>
      <c r="AS13" s="2272"/>
      <c r="AT13" s="2272"/>
      <c r="AU13" s="2272"/>
      <c r="AV13" s="2272"/>
      <c r="AW13" s="2272"/>
      <c r="AX13" s="2272"/>
      <c r="AY13" s="2272"/>
      <c r="AZ13" s="2272"/>
      <c r="BA13" s="2272"/>
      <c r="BB13" s="2272"/>
      <c r="BC13" s="2272"/>
      <c r="BD13" s="2272"/>
      <c r="BE13" s="2272"/>
      <c r="BF13" s="2272"/>
      <c r="BG13" s="2272"/>
      <c r="BH13" s="2272"/>
      <c r="BI13" s="2272"/>
      <c r="BJ13" s="2272"/>
      <c r="BK13" s="2272"/>
      <c r="BL13" s="2272"/>
      <c r="BM13" s="2272"/>
      <c r="BN13" s="2272"/>
      <c r="BO13" s="2272"/>
      <c r="BP13" s="2272"/>
      <c r="BQ13" s="2272"/>
      <c r="BR13" s="2272"/>
      <c r="BS13" s="2273"/>
      <c r="BT13" s="2189" t="s">
        <v>992</v>
      </c>
      <c r="BU13" s="2268"/>
      <c r="BV13" s="2189" t="s">
        <v>993</v>
      </c>
      <c r="BW13" s="2268"/>
      <c r="BX13" s="2189" t="s">
        <v>994</v>
      </c>
      <c r="BY13" s="2268"/>
      <c r="BZ13" s="2189" t="s">
        <v>995</v>
      </c>
      <c r="CA13" s="2268"/>
      <c r="CB13" s="2189" t="s">
        <v>996</v>
      </c>
      <c r="CC13" s="2268"/>
      <c r="CD13" s="2189" t="s">
        <v>997</v>
      </c>
      <c r="CE13" s="2268"/>
      <c r="CF13" s="2189" t="s">
        <v>998</v>
      </c>
      <c r="CG13" s="2268"/>
      <c r="CH13" s="2270" t="s">
        <v>999</v>
      </c>
      <c r="CI13" s="2274"/>
      <c r="CJ13" s="2274"/>
      <c r="CK13" s="2271"/>
      <c r="CL13" s="2280"/>
      <c r="CM13" s="2272"/>
      <c r="CN13" s="2272"/>
      <c r="CO13" s="2272"/>
      <c r="CP13" s="2272"/>
      <c r="CQ13" s="2272"/>
      <c r="CR13" s="2272"/>
      <c r="CS13" s="2272"/>
      <c r="CT13" s="2272"/>
      <c r="CU13" s="2272"/>
      <c r="CV13" s="2272"/>
      <c r="CW13" s="2272"/>
      <c r="CX13" s="2273"/>
      <c r="CY13" s="2189" t="s">
        <v>1000</v>
      </c>
      <c r="CZ13" s="2268"/>
      <c r="DA13" s="2189" t="s">
        <v>1001</v>
      </c>
      <c r="DB13" s="2268"/>
      <c r="DC13" s="2189" t="s">
        <v>1002</v>
      </c>
      <c r="DD13" s="2268"/>
      <c r="DE13" s="2189" t="s">
        <v>1003</v>
      </c>
      <c r="DF13" s="2268"/>
      <c r="DG13" s="2270" t="s">
        <v>1004</v>
      </c>
      <c r="DH13" s="2274"/>
      <c r="DI13" s="2274"/>
      <c r="DJ13" s="2271"/>
      <c r="DK13" s="2280"/>
      <c r="DL13" s="2272"/>
      <c r="DM13" s="2272"/>
      <c r="DN13" s="2272"/>
      <c r="DO13" s="2272"/>
      <c r="DP13" s="2272"/>
      <c r="DQ13" s="2272"/>
      <c r="DR13" s="2272"/>
      <c r="DS13" s="2272"/>
      <c r="DT13" s="2272"/>
      <c r="DU13" s="2272"/>
      <c r="DV13" s="2272"/>
      <c r="DW13" s="2272"/>
      <c r="DX13" s="2272"/>
      <c r="DY13" s="2272"/>
      <c r="DZ13" s="2272"/>
      <c r="EA13" s="2272"/>
      <c r="EB13" s="2272"/>
      <c r="EC13" s="2272"/>
      <c r="ED13" s="2272"/>
      <c r="EE13" s="2272"/>
      <c r="EF13" s="2272"/>
      <c r="EG13" s="2272"/>
      <c r="EH13" s="2272"/>
      <c r="EI13" s="2272"/>
      <c r="EJ13" s="2272"/>
      <c r="EK13" s="2272"/>
      <c r="EL13" s="2272"/>
      <c r="EM13" s="2272"/>
      <c r="EN13" s="2272"/>
      <c r="EO13" s="2272"/>
      <c r="EP13" s="2272"/>
      <c r="EQ13" s="2272"/>
      <c r="ER13" s="2272"/>
      <c r="ES13" s="2272"/>
      <c r="ET13" s="2272"/>
      <c r="EU13" s="2272"/>
      <c r="EV13" s="2272"/>
      <c r="EW13" s="2272"/>
      <c r="EX13" s="2272"/>
      <c r="EY13" s="2272"/>
      <c r="EZ13" s="2272"/>
      <c r="FA13" s="2272"/>
      <c r="FB13" s="2272"/>
      <c r="FC13" s="2272"/>
      <c r="FD13" s="2272"/>
      <c r="FE13" s="2272"/>
      <c r="FF13" s="2272"/>
      <c r="FG13" s="2272"/>
      <c r="FH13" s="2272"/>
      <c r="FI13" s="2272"/>
      <c r="FJ13" s="2272"/>
      <c r="FK13" s="2272"/>
      <c r="FL13" s="2272"/>
      <c r="FM13" s="2272"/>
      <c r="FN13" s="2272"/>
      <c r="FO13" s="2272"/>
      <c r="FP13" s="2272"/>
      <c r="FQ13" s="2272"/>
      <c r="FR13" s="2272"/>
      <c r="FS13" s="2272"/>
      <c r="FT13" s="2272"/>
      <c r="FU13" s="2272"/>
      <c r="FV13" s="2272"/>
      <c r="FW13" s="2278"/>
      <c r="FX13" s="768"/>
    </row>
    <row customHeight="1" ht="36">
      <c r="D14" s="944"/>
      <c r="E14" s="943"/>
      <c r="F14" s="2057"/>
      <c r="G14" s="2057"/>
      <c r="H14" s="2291"/>
      <c r="I14" s="2291"/>
      <c r="J14" s="2290"/>
      <c r="K14" s="2290"/>
      <c r="L14" s="2290"/>
      <c r="M14" s="2290"/>
      <c r="N14" s="2290"/>
      <c r="O14" s="2189" t="s">
        <v>1005</v>
      </c>
      <c r="P14" s="2268"/>
      <c r="Q14" s="2189" t="s">
        <v>1006</v>
      </c>
      <c r="R14" s="2268"/>
      <c r="S14" s="2190"/>
      <c r="T14" s="2063"/>
      <c r="U14" s="2189" t="s">
        <v>738</v>
      </c>
      <c r="V14" s="2268"/>
      <c r="W14" s="2189" t="s">
        <v>741</v>
      </c>
      <c r="X14" s="2268"/>
      <c r="Y14" s="2189" t="s">
        <v>738</v>
      </c>
      <c r="Z14" s="2268"/>
      <c r="AA14" s="2189" t="s">
        <v>748</v>
      </c>
      <c r="AB14" s="2268"/>
      <c r="AC14" s="2272"/>
      <c r="AD14" s="2272"/>
      <c r="AE14" s="2272"/>
      <c r="AF14" s="2272"/>
      <c r="AG14" s="2272"/>
      <c r="AH14" s="2272"/>
      <c r="AI14" s="2272"/>
      <c r="AJ14" s="2272"/>
      <c r="AK14" s="2272"/>
      <c r="AL14" s="2272"/>
      <c r="AM14" s="2272"/>
      <c r="AN14" s="2272"/>
      <c r="AO14" s="2272"/>
      <c r="AP14" s="2272"/>
      <c r="AQ14" s="2272"/>
      <c r="AR14" s="2272"/>
      <c r="AS14" s="2272"/>
      <c r="AT14" s="2272"/>
      <c r="AU14" s="2272"/>
      <c r="AV14" s="2272"/>
      <c r="AW14" s="2272"/>
      <c r="AX14" s="2272"/>
      <c r="AY14" s="2272"/>
      <c r="AZ14" s="2272"/>
      <c r="BA14" s="2272"/>
      <c r="BB14" s="2272"/>
      <c r="BC14" s="2272"/>
      <c r="BD14" s="2272"/>
      <c r="BE14" s="2272"/>
      <c r="BF14" s="2272"/>
      <c r="BG14" s="2272"/>
      <c r="BH14" s="2272"/>
      <c r="BI14" s="2272"/>
      <c r="BJ14" s="2272"/>
      <c r="BK14" s="2272"/>
      <c r="BL14" s="2272"/>
      <c r="BM14" s="2272"/>
      <c r="BN14" s="2272"/>
      <c r="BO14" s="2272"/>
      <c r="BP14" s="2272"/>
      <c r="BQ14" s="2272"/>
      <c r="BR14" s="2272"/>
      <c r="BS14" s="2273"/>
      <c r="BT14" s="2190"/>
      <c r="BU14" s="2063"/>
      <c r="BV14" s="2190"/>
      <c r="BW14" s="2063"/>
      <c r="BX14" s="2190"/>
      <c r="BY14" s="2063"/>
      <c r="BZ14" s="2190"/>
      <c r="CA14" s="2063"/>
      <c r="CB14" s="2190"/>
      <c r="CC14" s="2063"/>
      <c r="CD14" s="2190"/>
      <c r="CE14" s="2063"/>
      <c r="CF14" s="2190"/>
      <c r="CG14" s="2063"/>
      <c r="CH14" s="2189" t="s">
        <v>1007</v>
      </c>
      <c r="CI14" s="2268"/>
      <c r="CJ14" s="2189" t="s">
        <v>1008</v>
      </c>
      <c r="CK14" s="2268"/>
      <c r="CL14" s="2280"/>
      <c r="CM14" s="2272"/>
      <c r="CN14" s="2272"/>
      <c r="CO14" s="2272"/>
      <c r="CP14" s="2272"/>
      <c r="CQ14" s="2272"/>
      <c r="CR14" s="2272"/>
      <c r="CS14" s="2272"/>
      <c r="CT14" s="2272"/>
      <c r="CU14" s="2272"/>
      <c r="CV14" s="2272"/>
      <c r="CW14" s="2272"/>
      <c r="CX14" s="2273"/>
      <c r="CY14" s="2190"/>
      <c r="CZ14" s="2063"/>
      <c r="DA14" s="2190"/>
      <c r="DB14" s="2063"/>
      <c r="DC14" s="2190"/>
      <c r="DD14" s="2063"/>
      <c r="DE14" s="2190"/>
      <c r="DF14" s="2063"/>
      <c r="DG14" s="2189" t="s">
        <v>1009</v>
      </c>
      <c r="DH14" s="2268"/>
      <c r="DI14" s="2189" t="s">
        <v>1010</v>
      </c>
      <c r="DJ14" s="2268"/>
      <c r="DK14" s="2280"/>
      <c r="DL14" s="2272"/>
      <c r="DM14" s="2272"/>
      <c r="DN14" s="2272"/>
      <c r="DO14" s="2272"/>
      <c r="DP14" s="2272"/>
      <c r="DQ14" s="2272"/>
      <c r="DR14" s="2272"/>
      <c r="DS14" s="2272"/>
      <c r="DT14" s="2272"/>
      <c r="DU14" s="2272"/>
      <c r="DV14" s="2272"/>
      <c r="DW14" s="2272"/>
      <c r="DX14" s="2272"/>
      <c r="DY14" s="2272"/>
      <c r="DZ14" s="2272"/>
      <c r="EA14" s="2272"/>
      <c r="EB14" s="2272"/>
      <c r="EC14" s="2272"/>
      <c r="ED14" s="2272"/>
      <c r="EE14" s="2272"/>
      <c r="EF14" s="2272"/>
      <c r="EG14" s="2272"/>
      <c r="EH14" s="2272"/>
      <c r="EI14" s="2272"/>
      <c r="EJ14" s="2272"/>
      <c r="EK14" s="2272"/>
      <c r="EL14" s="2272"/>
      <c r="EM14" s="2272"/>
      <c r="EN14" s="2272"/>
      <c r="EO14" s="2272"/>
      <c r="EP14" s="2272"/>
      <c r="EQ14" s="2272"/>
      <c r="ER14" s="2272"/>
      <c r="ES14" s="2272"/>
      <c r="ET14" s="2272"/>
      <c r="EU14" s="2272"/>
      <c r="EV14" s="2272"/>
      <c r="EW14" s="2272"/>
      <c r="EX14" s="2272"/>
      <c r="EY14" s="2272"/>
      <c r="EZ14" s="2272"/>
      <c r="FA14" s="2272"/>
      <c r="FB14" s="2272"/>
      <c r="FC14" s="2272"/>
      <c r="FD14" s="2272"/>
      <c r="FE14" s="2272"/>
      <c r="FF14" s="2272"/>
      <c r="FG14" s="2272"/>
      <c r="FH14" s="2272"/>
      <c r="FI14" s="2272"/>
      <c r="FJ14" s="2272"/>
      <c r="FK14" s="2272"/>
      <c r="FL14" s="2272"/>
      <c r="FM14" s="2272"/>
      <c r="FN14" s="2272"/>
      <c r="FO14" s="2272"/>
      <c r="FP14" s="2272"/>
      <c r="FQ14" s="2272"/>
      <c r="FR14" s="2272"/>
      <c r="FS14" s="2272"/>
      <c r="FT14" s="2272"/>
      <c r="FU14" s="2272"/>
      <c r="FV14" s="2272"/>
      <c r="FW14" s="2278"/>
      <c r="FX14" s="768"/>
    </row>
    <row customHeight="1" ht="36">
      <c r="D15" s="944"/>
      <c r="E15" s="943"/>
      <c r="F15" s="2057"/>
      <c r="G15" s="2057"/>
      <c r="H15" s="2291"/>
      <c r="I15" s="2291"/>
      <c r="J15" s="2290"/>
      <c r="K15" s="2290"/>
      <c r="L15" s="2290"/>
      <c r="M15" s="2290"/>
      <c r="N15" s="2290"/>
      <c r="O15" s="2191"/>
      <c r="P15" s="2269"/>
      <c r="Q15" s="2191"/>
      <c r="R15" s="2269"/>
      <c r="S15" s="2191"/>
      <c r="T15" s="2269"/>
      <c r="U15" s="2191"/>
      <c r="V15" s="2269"/>
      <c r="W15" s="2191"/>
      <c r="X15" s="2269"/>
      <c r="Y15" s="2191"/>
      <c r="Z15" s="2269"/>
      <c r="AA15" s="2191"/>
      <c r="AB15" s="2269"/>
      <c r="AC15" s="2272"/>
      <c r="AD15" s="2272"/>
      <c r="AE15" s="2272"/>
      <c r="AF15" s="2272"/>
      <c r="AG15" s="2272"/>
      <c r="AH15" s="2272"/>
      <c r="AI15" s="2272"/>
      <c r="AJ15" s="2272"/>
      <c r="AK15" s="2272"/>
      <c r="AL15" s="2272"/>
      <c r="AM15" s="2272"/>
      <c r="AN15" s="2272"/>
      <c r="AO15" s="2272"/>
      <c r="AP15" s="2272"/>
      <c r="AQ15" s="2272"/>
      <c r="AR15" s="2272"/>
      <c r="AS15" s="2272"/>
      <c r="AT15" s="2272"/>
      <c r="AU15" s="2272"/>
      <c r="AV15" s="2272"/>
      <c r="AW15" s="2272"/>
      <c r="AX15" s="2272"/>
      <c r="AY15" s="2272"/>
      <c r="AZ15" s="2272"/>
      <c r="BA15" s="2272"/>
      <c r="BB15" s="2272"/>
      <c r="BC15" s="2272"/>
      <c r="BD15" s="2272"/>
      <c r="BE15" s="2272"/>
      <c r="BF15" s="2272"/>
      <c r="BG15" s="2272"/>
      <c r="BH15" s="2272"/>
      <c r="BI15" s="2272"/>
      <c r="BJ15" s="2272"/>
      <c r="BK15" s="2272"/>
      <c r="BL15" s="2272"/>
      <c r="BM15" s="2272"/>
      <c r="BN15" s="2272"/>
      <c r="BO15" s="2272"/>
      <c r="BP15" s="2272"/>
      <c r="BQ15" s="2272"/>
      <c r="BR15" s="2272"/>
      <c r="BS15" s="2273"/>
      <c r="BT15" s="2191"/>
      <c r="BU15" s="2269"/>
      <c r="BV15" s="2191"/>
      <c r="BW15" s="2269"/>
      <c r="BX15" s="2191"/>
      <c r="BY15" s="2269"/>
      <c r="BZ15" s="2191"/>
      <c r="CA15" s="2269"/>
      <c r="CB15" s="2191"/>
      <c r="CC15" s="2269"/>
      <c r="CD15" s="2191"/>
      <c r="CE15" s="2269"/>
      <c r="CF15" s="2191"/>
      <c r="CG15" s="2269"/>
      <c r="CH15" s="2191"/>
      <c r="CI15" s="2269"/>
      <c r="CJ15" s="2191"/>
      <c r="CK15" s="2269"/>
      <c r="CL15" s="2280"/>
      <c r="CM15" s="2272"/>
      <c r="CN15" s="2272"/>
      <c r="CO15" s="2272"/>
      <c r="CP15" s="2272"/>
      <c r="CQ15" s="2272"/>
      <c r="CR15" s="2272"/>
      <c r="CS15" s="2272"/>
      <c r="CT15" s="2272"/>
      <c r="CU15" s="2272"/>
      <c r="CV15" s="2272"/>
      <c r="CW15" s="2272"/>
      <c r="CX15" s="2273"/>
      <c r="CY15" s="2191"/>
      <c r="CZ15" s="2269"/>
      <c r="DA15" s="2191"/>
      <c r="DB15" s="2269"/>
      <c r="DC15" s="2191"/>
      <c r="DD15" s="2269"/>
      <c r="DE15" s="2191"/>
      <c r="DF15" s="2269"/>
      <c r="DG15" s="2191"/>
      <c r="DH15" s="2269"/>
      <c r="DI15" s="2191"/>
      <c r="DJ15" s="2269"/>
      <c r="DK15" s="2280"/>
      <c r="DL15" s="2272"/>
      <c r="DM15" s="2272"/>
      <c r="DN15" s="2272"/>
      <c r="DO15" s="2272"/>
      <c r="DP15" s="2272"/>
      <c r="DQ15" s="2272"/>
      <c r="DR15" s="2272"/>
      <c r="DS15" s="2272"/>
      <c r="DT15" s="2272"/>
      <c r="DU15" s="2272"/>
      <c r="DV15" s="2272"/>
      <c r="DW15" s="2272"/>
      <c r="DX15" s="2272"/>
      <c r="DY15" s="2272"/>
      <c r="DZ15" s="2272"/>
      <c r="EA15" s="2272"/>
      <c r="EB15" s="2272"/>
      <c r="EC15" s="2272"/>
      <c r="ED15" s="2272"/>
      <c r="EE15" s="2272"/>
      <c r="EF15" s="2272"/>
      <c r="EG15" s="2272"/>
      <c r="EH15" s="2272"/>
      <c r="EI15" s="2272"/>
      <c r="EJ15" s="2272"/>
      <c r="EK15" s="2272"/>
      <c r="EL15" s="2272"/>
      <c r="EM15" s="2272"/>
      <c r="EN15" s="2272"/>
      <c r="EO15" s="2272"/>
      <c r="EP15" s="2272"/>
      <c r="EQ15" s="2272"/>
      <c r="ER15" s="2272"/>
      <c r="ES15" s="2272"/>
      <c r="ET15" s="2272"/>
      <c r="EU15" s="2272"/>
      <c r="EV15" s="2272"/>
      <c r="EW15" s="2272"/>
      <c r="EX15" s="2272"/>
      <c r="EY15" s="2272"/>
      <c r="EZ15" s="2272"/>
      <c r="FA15" s="2272"/>
      <c r="FB15" s="2272"/>
      <c r="FC15" s="2272"/>
      <c r="FD15" s="2272"/>
      <c r="FE15" s="2272"/>
      <c r="FF15" s="2272"/>
      <c r="FG15" s="2272"/>
      <c r="FH15" s="2272"/>
      <c r="FI15" s="2272"/>
      <c r="FJ15" s="2272"/>
      <c r="FK15" s="2272"/>
      <c r="FL15" s="2272"/>
      <c r="FM15" s="2272"/>
      <c r="FN15" s="2272"/>
      <c r="FO15" s="2272"/>
      <c r="FP15" s="2272"/>
      <c r="FQ15" s="2272"/>
      <c r="FR15" s="2272"/>
      <c r="FS15" s="2272"/>
      <c r="FT15" s="2272"/>
      <c r="FU15" s="2272"/>
      <c r="FV15" s="2272"/>
      <c r="FW15" s="2278"/>
      <c r="FX15" s="768"/>
    </row>
    <row customHeight="1" ht="12">
      <c r="D16" s="944"/>
      <c r="E16" s="943"/>
      <c r="F16" s="2057"/>
      <c r="G16" s="2057"/>
      <c r="H16" s="2291"/>
      <c r="I16" s="2291"/>
      <c r="J16" s="2290"/>
      <c r="K16" s="2290"/>
      <c r="L16" s="2290"/>
      <c r="M16" s="2290"/>
      <c r="N16" s="2290"/>
      <c r="O16" s="2270" t="s">
        <v>728</v>
      </c>
      <c r="P16" s="2271"/>
      <c r="Q16" s="2270" t="s">
        <v>730</v>
      </c>
      <c r="R16" s="2271"/>
      <c r="S16" s="2270" t="s">
        <v>734</v>
      </c>
      <c r="T16" s="2271"/>
      <c r="U16" s="2270" t="s">
        <v>739</v>
      </c>
      <c r="V16" s="2271"/>
      <c r="W16" s="2270" t="s">
        <v>742</v>
      </c>
      <c r="X16" s="2271"/>
      <c r="Y16" s="2270" t="s">
        <v>746</v>
      </c>
      <c r="Z16" s="2271"/>
      <c r="AA16" s="2270" t="s">
        <v>749</v>
      </c>
      <c r="AB16" s="2271"/>
      <c r="AC16" s="2272"/>
      <c r="AD16" s="2272"/>
      <c r="AE16" s="2272"/>
      <c r="AF16" s="2272"/>
      <c r="AG16" s="2272"/>
      <c r="AH16" s="2272"/>
      <c r="AI16" s="2272"/>
      <c r="AJ16" s="2272"/>
      <c r="AK16" s="2272"/>
      <c r="AL16" s="2272"/>
      <c r="AM16" s="2272"/>
      <c r="AN16" s="2272"/>
      <c r="AO16" s="2272"/>
      <c r="AP16" s="2272"/>
      <c r="AQ16" s="2272"/>
      <c r="AR16" s="2272"/>
      <c r="AS16" s="2272"/>
      <c r="AT16" s="2272"/>
      <c r="AU16" s="2272"/>
      <c r="AV16" s="2272"/>
      <c r="AW16" s="2272"/>
      <c r="AX16" s="2272"/>
      <c r="AY16" s="2272"/>
      <c r="AZ16" s="2272"/>
      <c r="BA16" s="2272"/>
      <c r="BB16" s="2272"/>
      <c r="BC16" s="2272"/>
      <c r="BD16" s="2272"/>
      <c r="BE16" s="2272"/>
      <c r="BF16" s="2272"/>
      <c r="BG16" s="2272"/>
      <c r="BH16" s="2272"/>
      <c r="BI16" s="2272"/>
      <c r="BJ16" s="2272"/>
      <c r="BK16" s="2272"/>
      <c r="BL16" s="2272"/>
      <c r="BM16" s="2272"/>
      <c r="BN16" s="2272"/>
      <c r="BO16" s="2272"/>
      <c r="BP16" s="2272"/>
      <c r="BQ16" s="2272"/>
      <c r="BR16" s="2272"/>
      <c r="BS16" s="2273"/>
      <c r="BT16" s="2270" t="s">
        <v>546</v>
      </c>
      <c r="BU16" s="2271"/>
      <c r="BV16" s="2270" t="s">
        <v>546</v>
      </c>
      <c r="BW16" s="2271"/>
      <c r="BX16" s="2270" t="s">
        <v>546</v>
      </c>
      <c r="BY16" s="2271"/>
      <c r="BZ16" s="2270" t="s">
        <v>546</v>
      </c>
      <c r="CA16" s="2271"/>
      <c r="CB16" s="2270" t="s">
        <v>1011</v>
      </c>
      <c r="CC16" s="2271"/>
      <c r="CD16" s="2270" t="s">
        <v>546</v>
      </c>
      <c r="CE16" s="2271"/>
      <c r="CF16" s="2270" t="s">
        <v>1012</v>
      </c>
      <c r="CG16" s="2271"/>
      <c r="CH16" s="2270" t="s">
        <v>1013</v>
      </c>
      <c r="CI16" s="2271"/>
      <c r="CJ16" s="2270" t="s">
        <v>1013</v>
      </c>
      <c r="CK16" s="2271"/>
      <c r="CL16" s="2280"/>
      <c r="CM16" s="2272"/>
      <c r="CN16" s="2272"/>
      <c r="CO16" s="2272"/>
      <c r="CP16" s="2272"/>
      <c r="CQ16" s="2272"/>
      <c r="CR16" s="2272"/>
      <c r="CS16" s="2272"/>
      <c r="CT16" s="2272"/>
      <c r="CU16" s="2272"/>
      <c r="CV16" s="2272"/>
      <c r="CW16" s="2272"/>
      <c r="CX16" s="2273"/>
      <c r="CY16" s="2189" t="s">
        <v>546</v>
      </c>
      <c r="CZ16" s="2268"/>
      <c r="DA16" s="2189" t="s">
        <v>546</v>
      </c>
      <c r="DB16" s="2268"/>
      <c r="DC16" s="2189" t="s">
        <v>546</v>
      </c>
      <c r="DD16" s="2268"/>
      <c r="DE16" s="2270" t="s">
        <v>1011</v>
      </c>
      <c r="DF16" s="2271"/>
      <c r="DG16" s="2270" t="s">
        <v>1014</v>
      </c>
      <c r="DH16" s="2271"/>
      <c r="DI16" s="2270" t="s">
        <v>1014</v>
      </c>
      <c r="DJ16" s="2271"/>
      <c r="DK16" s="2280"/>
      <c r="DL16" s="2272"/>
      <c r="DM16" s="2272"/>
      <c r="DN16" s="2272"/>
      <c r="DO16" s="2272"/>
      <c r="DP16" s="2272"/>
      <c r="DQ16" s="2272"/>
      <c r="DR16" s="2272"/>
      <c r="DS16" s="2272"/>
      <c r="DT16" s="2272"/>
      <c r="DU16" s="2272"/>
      <c r="DV16" s="2272"/>
      <c r="DW16" s="2272"/>
      <c r="DX16" s="2272"/>
      <c r="DY16" s="2272"/>
      <c r="DZ16" s="2272"/>
      <c r="EA16" s="2272"/>
      <c r="EB16" s="2272"/>
      <c r="EC16" s="2272"/>
      <c r="ED16" s="2272"/>
      <c r="EE16" s="2272"/>
      <c r="EF16" s="2272"/>
      <c r="EG16" s="2272"/>
      <c r="EH16" s="2272"/>
      <c r="EI16" s="2272"/>
      <c r="EJ16" s="2272"/>
      <c r="EK16" s="2272"/>
      <c r="EL16" s="2272"/>
      <c r="EM16" s="2272"/>
      <c r="EN16" s="2272"/>
      <c r="EO16" s="2272"/>
      <c r="EP16" s="2272"/>
      <c r="EQ16" s="2272"/>
      <c r="ER16" s="2272"/>
      <c r="ES16" s="2272"/>
      <c r="ET16" s="2272"/>
      <c r="EU16" s="2272"/>
      <c r="EV16" s="2272"/>
      <c r="EW16" s="2272"/>
      <c r="EX16" s="2272"/>
      <c r="EY16" s="2272"/>
      <c r="EZ16" s="2272"/>
      <c r="FA16" s="2272"/>
      <c r="FB16" s="2272"/>
      <c r="FC16" s="2272"/>
      <c r="FD16" s="2272"/>
      <c r="FE16" s="2272"/>
      <c r="FF16" s="2272"/>
      <c r="FG16" s="2272"/>
      <c r="FH16" s="2272"/>
      <c r="FI16" s="2272"/>
      <c r="FJ16" s="2272"/>
      <c r="FK16" s="2272"/>
      <c r="FL16" s="2272"/>
      <c r="FM16" s="2272"/>
      <c r="FN16" s="2272"/>
      <c r="FO16" s="2272"/>
      <c r="FP16" s="2272"/>
      <c r="FQ16" s="2272"/>
      <c r="FR16" s="2272"/>
      <c r="FS16" s="2272"/>
      <c r="FT16" s="2272"/>
      <c r="FU16" s="2272"/>
      <c r="FV16" s="2272"/>
      <c r="FW16" s="2278"/>
      <c r="FX16" s="768"/>
    </row>
    <row customHeight="1" ht="15">
      <c r="E17" s="943"/>
      <c r="F17" s="2057"/>
      <c r="G17" s="2057"/>
      <c r="H17" s="2291"/>
      <c r="I17" s="2291"/>
      <c r="J17" s="2290"/>
      <c r="K17" s="2290"/>
      <c r="L17" s="2290"/>
      <c r="M17" s="2290"/>
      <c r="N17" s="2290"/>
      <c r="O17" s="1201" t="s">
        <v>1015</v>
      </c>
      <c r="P17" s="1201" t="s">
        <v>1016</v>
      </c>
      <c r="Q17" s="1201" t="s">
        <v>1015</v>
      </c>
      <c r="R17" s="1201" t="s">
        <v>1016</v>
      </c>
      <c r="S17" s="1201" t="s">
        <v>1015</v>
      </c>
      <c r="T17" s="1201" t="s">
        <v>1016</v>
      </c>
      <c r="U17" s="1201" t="s">
        <v>1015</v>
      </c>
      <c r="V17" s="1201" t="s">
        <v>1016</v>
      </c>
      <c r="W17" s="1201" t="s">
        <v>1015</v>
      </c>
      <c r="X17" s="1201" t="s">
        <v>1016</v>
      </c>
      <c r="Y17" s="1201" t="s">
        <v>1015</v>
      </c>
      <c r="Z17" s="1201" t="s">
        <v>1016</v>
      </c>
      <c r="AA17" s="1201" t="s">
        <v>1015</v>
      </c>
      <c r="AB17" s="1201" t="s">
        <v>1016</v>
      </c>
      <c r="AC17" s="2272"/>
      <c r="AD17" s="2272"/>
      <c r="AE17" s="2272"/>
      <c r="AF17" s="2272"/>
      <c r="AG17" s="2272"/>
      <c r="AH17" s="2272"/>
      <c r="AI17" s="2272"/>
      <c r="AJ17" s="2272"/>
      <c r="AK17" s="2272"/>
      <c r="AL17" s="2272"/>
      <c r="AM17" s="2272"/>
      <c r="AN17" s="2272"/>
      <c r="AO17" s="2272"/>
      <c r="AP17" s="2272"/>
      <c r="AQ17" s="2272"/>
      <c r="AR17" s="2272"/>
      <c r="AS17" s="2272"/>
      <c r="AT17" s="2272"/>
      <c r="AU17" s="2272"/>
      <c r="AV17" s="2272"/>
      <c r="AW17" s="2272"/>
      <c r="AX17" s="2272"/>
      <c r="AY17" s="2272"/>
      <c r="AZ17" s="2272"/>
      <c r="BA17" s="2272"/>
      <c r="BB17" s="2272"/>
      <c r="BC17" s="2272"/>
      <c r="BD17" s="2272"/>
      <c r="BE17" s="2272"/>
      <c r="BF17" s="2272"/>
      <c r="BG17" s="2272"/>
      <c r="BH17" s="2272"/>
      <c r="BI17" s="2272"/>
      <c r="BJ17" s="2272"/>
      <c r="BK17" s="2272"/>
      <c r="BL17" s="2272"/>
      <c r="BM17" s="2272"/>
      <c r="BN17" s="2272"/>
      <c r="BO17" s="2272"/>
      <c r="BP17" s="2272"/>
      <c r="BQ17" s="2272"/>
      <c r="BR17" s="2272"/>
      <c r="BS17" s="2273"/>
      <c r="BT17" s="1201" t="s">
        <v>1015</v>
      </c>
      <c r="BU17" s="1201" t="s">
        <v>1016</v>
      </c>
      <c r="BV17" s="1201" t="s">
        <v>1015</v>
      </c>
      <c r="BW17" s="1201" t="s">
        <v>1016</v>
      </c>
      <c r="BX17" s="1201" t="s">
        <v>1015</v>
      </c>
      <c r="BY17" s="1201" t="s">
        <v>1016</v>
      </c>
      <c r="BZ17" s="1201" t="s">
        <v>1015</v>
      </c>
      <c r="CA17" s="1201" t="s">
        <v>1016</v>
      </c>
      <c r="CB17" s="1201" t="s">
        <v>1015</v>
      </c>
      <c r="CC17" s="1201" t="s">
        <v>1016</v>
      </c>
      <c r="CD17" s="1201" t="s">
        <v>1015</v>
      </c>
      <c r="CE17" s="1201" t="s">
        <v>1016</v>
      </c>
      <c r="CF17" s="1201" t="s">
        <v>1015</v>
      </c>
      <c r="CG17" s="1201" t="s">
        <v>1016</v>
      </c>
      <c r="CH17" s="1201" t="s">
        <v>1015</v>
      </c>
      <c r="CI17" s="1201" t="s">
        <v>1016</v>
      </c>
      <c r="CJ17" s="1201" t="s">
        <v>1015</v>
      </c>
      <c r="CK17" s="1201" t="s">
        <v>1016</v>
      </c>
      <c r="CL17" s="2280"/>
      <c r="CM17" s="2272"/>
      <c r="CN17" s="2272"/>
      <c r="CO17" s="2272"/>
      <c r="CP17" s="2272"/>
      <c r="CQ17" s="2272"/>
      <c r="CR17" s="2272"/>
      <c r="CS17" s="2272"/>
      <c r="CT17" s="2272"/>
      <c r="CU17" s="2272"/>
      <c r="CV17" s="2272"/>
      <c r="CW17" s="2272"/>
      <c r="CX17" s="2273"/>
      <c r="CY17" s="1201" t="s">
        <v>1015</v>
      </c>
      <c r="CZ17" s="1201" t="s">
        <v>1016</v>
      </c>
      <c r="DA17" s="1201" t="s">
        <v>1015</v>
      </c>
      <c r="DB17" s="1201" t="s">
        <v>1016</v>
      </c>
      <c r="DC17" s="1201" t="s">
        <v>1015</v>
      </c>
      <c r="DD17" s="1201" t="s">
        <v>1016</v>
      </c>
      <c r="DE17" s="1201" t="s">
        <v>1015</v>
      </c>
      <c r="DF17" s="1201" t="s">
        <v>1016</v>
      </c>
      <c r="DG17" s="1201" t="s">
        <v>1015</v>
      </c>
      <c r="DH17" s="1201" t="s">
        <v>1016</v>
      </c>
      <c r="DI17" s="1201" t="s">
        <v>1015</v>
      </c>
      <c r="DJ17" s="1201" t="s">
        <v>1016</v>
      </c>
      <c r="DK17" s="2280"/>
      <c r="DL17" s="2272"/>
      <c r="DM17" s="2272"/>
      <c r="DN17" s="2272"/>
      <c r="DO17" s="2272"/>
      <c r="DP17" s="2272"/>
      <c r="DQ17" s="2272"/>
      <c r="DR17" s="2272"/>
      <c r="DS17" s="2272"/>
      <c r="DT17" s="2272"/>
      <c r="DU17" s="2272"/>
      <c r="DV17" s="2272"/>
      <c r="DW17" s="2272"/>
      <c r="DX17" s="2272"/>
      <c r="DY17" s="2272"/>
      <c r="DZ17" s="2272"/>
      <c r="EA17" s="2272"/>
      <c r="EB17" s="2272"/>
      <c r="EC17" s="2272"/>
      <c r="ED17" s="2272"/>
      <c r="EE17" s="2272"/>
      <c r="EF17" s="2272"/>
      <c r="EG17" s="2272"/>
      <c r="EH17" s="2272"/>
      <c r="EI17" s="2272"/>
      <c r="EJ17" s="2272"/>
      <c r="EK17" s="2272"/>
      <c r="EL17" s="2272"/>
      <c r="EM17" s="2272"/>
      <c r="EN17" s="2272"/>
      <c r="EO17" s="2272"/>
      <c r="EP17" s="2272"/>
      <c r="EQ17" s="2272"/>
      <c r="ER17" s="2272"/>
      <c r="ES17" s="2272"/>
      <c r="ET17" s="2272"/>
      <c r="EU17" s="2272"/>
      <c r="EV17" s="2272"/>
      <c r="EW17" s="2272"/>
      <c r="EX17" s="2272"/>
      <c r="EY17" s="2272"/>
      <c r="EZ17" s="2272"/>
      <c r="FA17" s="2272"/>
      <c r="FB17" s="2272"/>
      <c r="FC17" s="2272"/>
      <c r="FD17" s="2272"/>
      <c r="FE17" s="2272"/>
      <c r="FF17" s="2272"/>
      <c r="FG17" s="2272"/>
      <c r="FH17" s="2272"/>
      <c r="FI17" s="2272"/>
      <c r="FJ17" s="2272"/>
      <c r="FK17" s="2272"/>
      <c r="FL17" s="2272"/>
      <c r="FM17" s="2272"/>
      <c r="FN17" s="2272"/>
      <c r="FO17" s="2272"/>
      <c r="FP17" s="2272"/>
      <c r="FQ17" s="2272"/>
      <c r="FR17" s="2272"/>
      <c r="FS17" s="2272"/>
      <c r="FT17" s="2272"/>
      <c r="FU17" s="2272"/>
      <c r="FV17" s="2272"/>
      <c r="FW17" s="2279"/>
      <c r="FX17" s="768"/>
    </row>
    <row s="4259" customFormat="1" customHeight="1" ht="12" hidden="1">
      <c r="B18" s="929"/>
      <c r="E18" s="945"/>
      <c r="F18" s="1202"/>
      <c r="G18" s="1202"/>
      <c r="H18" s="1202"/>
      <c r="I18" s="1202"/>
      <c r="J18" s="1203"/>
      <c r="K18" s="1203"/>
      <c r="L18" s="1203"/>
      <c r="M18" s="1203"/>
      <c r="N18" s="1203"/>
      <c r="O18" s="1202"/>
      <c r="P18" s="1202"/>
      <c r="Q18" s="1202"/>
      <c r="R18" s="1202"/>
      <c r="S18" s="1202"/>
      <c r="T18" s="1202"/>
      <c r="U18" s="1204"/>
      <c r="V18" s="1204"/>
      <c r="W18" s="1204"/>
      <c r="X18" s="1204"/>
      <c r="Y18" s="1204"/>
      <c r="Z18" s="1204"/>
      <c r="AA18" s="1204"/>
      <c r="AB18" s="1202"/>
      <c r="AC18" s="1203"/>
      <c r="AD18" s="1203"/>
      <c r="AE18" s="1203"/>
      <c r="AF18" s="1203"/>
      <c r="AG18" s="1203"/>
      <c r="AH18" s="1203"/>
      <c r="AI18" s="1203"/>
      <c r="AJ18" s="1203"/>
      <c r="AK18" s="1203"/>
      <c r="AL18" s="1203"/>
      <c r="AM18" s="1203"/>
      <c r="AN18" s="1203"/>
      <c r="AO18" s="1203"/>
      <c r="AP18" s="1203"/>
      <c r="AQ18" s="1203"/>
      <c r="AR18" s="1203"/>
      <c r="AS18" s="1203"/>
      <c r="AT18" s="1203"/>
      <c r="AU18" s="1203"/>
      <c r="AV18" s="1203"/>
      <c r="AW18" s="1203"/>
      <c r="AX18" s="1203"/>
      <c r="AY18" s="1203"/>
      <c r="AZ18" s="1203"/>
      <c r="BA18" s="1203"/>
      <c r="BB18" s="1203"/>
      <c r="BC18" s="1203"/>
      <c r="BD18" s="1203"/>
      <c r="BE18" s="1203"/>
      <c r="BF18" s="1203"/>
      <c r="BG18" s="1203"/>
      <c r="BH18" s="1203"/>
      <c r="BI18" s="1203"/>
      <c r="BJ18" s="1203"/>
      <c r="BK18" s="1203"/>
      <c r="BL18" s="1203"/>
      <c r="BM18" s="1203"/>
      <c r="BN18" s="1203"/>
      <c r="BO18" s="1203"/>
      <c r="BP18" s="1203"/>
      <c r="BQ18" s="1203"/>
      <c r="BR18" s="1203"/>
      <c r="BS18" s="1203"/>
      <c r="BT18" s="1205"/>
      <c r="BU18" s="1205"/>
      <c r="BV18" s="1205"/>
      <c r="BW18" s="1205"/>
      <c r="BX18" s="1205"/>
      <c r="BY18" s="1205"/>
      <c r="BZ18" s="1205"/>
      <c r="CA18" s="1205"/>
      <c r="CB18" s="1205"/>
      <c r="CC18" s="1205"/>
      <c r="CD18" s="1205"/>
      <c r="CE18" s="1205"/>
      <c r="CF18" s="1205"/>
      <c r="CG18" s="1205"/>
      <c r="CH18" s="1205"/>
      <c r="CI18" s="1205"/>
      <c r="CJ18" s="1205"/>
      <c r="CK18" s="1205"/>
      <c r="CL18" s="1203"/>
      <c r="CM18" s="1203"/>
      <c r="CN18" s="1203"/>
      <c r="CO18" s="1203"/>
      <c r="CP18" s="1203"/>
      <c r="CQ18" s="1203"/>
      <c r="CR18" s="1203"/>
      <c r="CS18" s="1203"/>
      <c r="CT18" s="1203"/>
      <c r="CU18" s="1203"/>
      <c r="CV18" s="1203"/>
      <c r="CW18" s="1203"/>
      <c r="CX18" s="1203"/>
      <c r="CY18" s="1205"/>
      <c r="CZ18" s="1205"/>
      <c r="DA18" s="1205"/>
      <c r="DB18" s="1205"/>
      <c r="DC18" s="1205"/>
      <c r="DD18" s="1205"/>
      <c r="DE18" s="1205"/>
      <c r="DF18" s="1205"/>
      <c r="DG18" s="1205"/>
      <c r="DH18" s="1205"/>
      <c r="DI18" s="1205"/>
      <c r="DJ18" s="1205"/>
      <c r="DK18" s="1203"/>
      <c r="DL18" s="1203"/>
      <c r="DM18" s="1203"/>
      <c r="DN18" s="1203"/>
      <c r="DO18" s="1203"/>
      <c r="DP18" s="1203"/>
      <c r="DQ18" s="1203"/>
      <c r="DR18" s="1203"/>
      <c r="DS18" s="1203"/>
      <c r="DT18" s="1203"/>
      <c r="DU18" s="1203"/>
      <c r="DV18" s="1203"/>
      <c r="DW18" s="1203"/>
      <c r="DX18" s="1203"/>
      <c r="DY18" s="1203"/>
      <c r="DZ18" s="1203"/>
      <c r="EA18" s="1203"/>
      <c r="EB18" s="1203"/>
      <c r="EC18" s="1203"/>
      <c r="ED18" s="1203"/>
      <c r="EE18" s="1203"/>
      <c r="EF18" s="1203"/>
      <c r="EG18" s="1203"/>
      <c r="EH18" s="1203"/>
      <c r="EI18" s="1203"/>
      <c r="EJ18" s="1203"/>
      <c r="EK18" s="1203"/>
      <c r="EL18" s="1203"/>
      <c r="EM18" s="1203"/>
      <c r="EN18" s="1203"/>
      <c r="EO18" s="1203"/>
      <c r="EP18" s="1203"/>
      <c r="EQ18" s="1203"/>
      <c r="ER18" s="1203"/>
      <c r="ES18" s="1203"/>
      <c r="ET18" s="1203"/>
      <c r="EU18" s="1203"/>
      <c r="EV18" s="1203"/>
      <c r="EW18" s="1203"/>
      <c r="EX18" s="1203"/>
      <c r="EY18" s="1203"/>
      <c r="EZ18" s="1203"/>
      <c r="FA18" s="1203"/>
      <c r="FB18" s="1203"/>
      <c r="FC18" s="1203"/>
      <c r="FD18" s="1203"/>
      <c r="FE18" s="1203"/>
      <c r="FF18" s="1203"/>
      <c r="FG18" s="1203"/>
      <c r="FH18" s="1203"/>
      <c r="FI18" s="1203"/>
      <c r="FJ18" s="1203"/>
      <c r="FK18" s="1203"/>
      <c r="FL18" s="1203"/>
      <c r="FM18" s="1203"/>
      <c r="FN18" s="1203"/>
      <c r="FO18" s="1203"/>
      <c r="FP18" s="1203"/>
      <c r="FQ18" s="1203"/>
      <c r="FR18" s="1203"/>
      <c r="FS18" s="1203"/>
      <c r="FT18" s="1203"/>
      <c r="FU18" s="1203"/>
      <c r="FV18" s="1203"/>
      <c r="FW18" s="1202"/>
      <c r="FX18" s="1206"/>
    </row>
    <row s="4259" customFormat="1" customHeight="1" ht="11.25" hidden="1">
      <c r="B19" s="929"/>
      <c r="E19" s="945"/>
      <c r="F19" s="1202"/>
      <c r="G19" s="1202"/>
      <c r="H19" s="1202"/>
      <c r="I19" s="1202"/>
      <c r="J19" s="1202"/>
      <c r="K19" s="1202"/>
      <c r="L19" s="1202"/>
      <c r="M19" s="1202"/>
      <c r="N19" s="1202"/>
      <c r="O19" s="1202"/>
      <c r="P19" s="1202"/>
      <c r="Q19" s="1202"/>
      <c r="R19" s="1202"/>
      <c r="S19" s="1202"/>
      <c r="T19" s="1202"/>
      <c r="U19" s="1204"/>
      <c r="V19" s="1204"/>
      <c r="W19" s="1204"/>
      <c r="X19" s="1204"/>
      <c r="Y19" s="1204"/>
      <c r="Z19" s="1204"/>
      <c r="AA19" s="1204"/>
      <c r="AB19" s="1202"/>
      <c r="AC19" s="1202"/>
      <c r="AD19" s="1202"/>
      <c r="AE19" s="1202"/>
      <c r="AF19" s="1202"/>
      <c r="AG19" s="1202"/>
      <c r="AH19" s="1202"/>
      <c r="AI19" s="1202"/>
      <c r="AJ19" s="1202"/>
      <c r="AK19" s="1202"/>
      <c r="AL19" s="1202"/>
      <c r="AM19" s="1202"/>
      <c r="AN19" s="1202"/>
      <c r="AO19" s="1202"/>
      <c r="AP19" s="1202"/>
      <c r="AQ19" s="1202"/>
      <c r="AR19" s="1202"/>
      <c r="AS19" s="1202"/>
      <c r="AT19" s="1202"/>
      <c r="AU19" s="1202"/>
      <c r="AV19" s="1202"/>
      <c r="AW19" s="1202"/>
      <c r="AX19" s="1202"/>
      <c r="AY19" s="1202"/>
      <c r="AZ19" s="1202"/>
      <c r="BA19" s="1202"/>
      <c r="BB19" s="1202"/>
      <c r="BC19" s="1202"/>
      <c r="BD19" s="1202"/>
      <c r="BE19" s="1202"/>
      <c r="BF19" s="1202"/>
      <c r="BG19" s="1202"/>
      <c r="BH19" s="1202"/>
      <c r="BI19" s="1202"/>
      <c r="BJ19" s="1202"/>
      <c r="BK19" s="1202"/>
      <c r="BL19" s="1202"/>
      <c r="BM19" s="1202"/>
      <c r="BN19" s="1202"/>
      <c r="BO19" s="1202"/>
      <c r="BP19" s="1202"/>
      <c r="BQ19" s="1202"/>
      <c r="BR19" s="1202"/>
      <c r="BS19" s="1202"/>
      <c r="BT19" s="1202"/>
      <c r="BU19" s="1202"/>
      <c r="BV19" s="1202"/>
      <c r="BW19" s="1202"/>
      <c r="BX19" s="1202"/>
      <c r="BY19" s="1202"/>
      <c r="BZ19" s="1202"/>
      <c r="CA19" s="1202"/>
      <c r="CB19" s="1202"/>
      <c r="CC19" s="1202"/>
      <c r="CD19" s="1202"/>
      <c r="CE19" s="1202"/>
      <c r="CF19" s="1202"/>
      <c r="CG19" s="1202"/>
      <c r="CH19" s="1202"/>
      <c r="CI19" s="1202"/>
      <c r="CJ19" s="1202"/>
      <c r="CK19" s="1202"/>
      <c r="CL19" s="1202"/>
      <c r="CM19" s="1202"/>
      <c r="CN19" s="1202"/>
      <c r="CO19" s="1202"/>
      <c r="CP19" s="1202"/>
      <c r="CQ19" s="1202"/>
      <c r="CR19" s="1202"/>
      <c r="CS19" s="1202"/>
      <c r="CT19" s="1202"/>
      <c r="CU19" s="1202"/>
      <c r="CV19" s="1202"/>
      <c r="CW19" s="1202"/>
      <c r="CX19" s="1202"/>
      <c r="CY19" s="1202"/>
      <c r="CZ19" s="1202"/>
      <c r="DA19" s="1202"/>
      <c r="DB19" s="1202"/>
      <c r="DC19" s="1202"/>
      <c r="DD19" s="1202"/>
      <c r="DE19" s="1202"/>
      <c r="DF19" s="1202"/>
      <c r="DG19" s="1202"/>
      <c r="DH19" s="1202"/>
      <c r="DI19" s="1202"/>
      <c r="DJ19" s="1202"/>
      <c r="DK19" s="1202"/>
      <c r="DL19" s="1202"/>
      <c r="DM19" s="1202"/>
      <c r="DN19" s="1202"/>
      <c r="DO19" s="1202"/>
      <c r="DP19" s="1202"/>
      <c r="DQ19" s="1202"/>
      <c r="DR19" s="1202"/>
      <c r="DS19" s="1202"/>
      <c r="DT19" s="1202"/>
      <c r="DU19" s="1202"/>
      <c r="DV19" s="1202"/>
      <c r="DW19" s="1202"/>
      <c r="DX19" s="1202"/>
      <c r="DY19" s="1202"/>
      <c r="DZ19" s="1202"/>
      <c r="EA19" s="1202"/>
      <c r="EB19" s="1202"/>
      <c r="EC19" s="1202"/>
      <c r="ED19" s="1202"/>
      <c r="EE19" s="1202"/>
      <c r="EF19" s="1202"/>
      <c r="EG19" s="1202"/>
      <c r="EH19" s="1202"/>
      <c r="EI19" s="1202"/>
      <c r="EJ19" s="1202"/>
      <c r="EK19" s="1202"/>
      <c r="EL19" s="1202"/>
      <c r="EM19" s="1202"/>
      <c r="EN19" s="1202"/>
      <c r="EO19" s="1202"/>
      <c r="EP19" s="1202"/>
      <c r="EQ19" s="1202"/>
      <c r="ER19" s="1202"/>
      <c r="ES19" s="1202"/>
      <c r="ET19" s="1202"/>
      <c r="EU19" s="1202"/>
      <c r="EV19" s="1202"/>
      <c r="EW19" s="1202"/>
      <c r="EX19" s="1202"/>
      <c r="EY19" s="1202"/>
      <c r="EZ19" s="1202"/>
      <c r="FA19" s="1202"/>
      <c r="FB19" s="1202"/>
      <c r="FC19" s="1202"/>
      <c r="FD19" s="1202"/>
      <c r="FE19" s="1202"/>
      <c r="FF19" s="1202"/>
      <c r="FG19" s="1202"/>
      <c r="FH19" s="1202"/>
      <c r="FI19" s="1202"/>
      <c r="FJ19" s="1202"/>
      <c r="FK19" s="1202"/>
      <c r="FL19" s="1202"/>
      <c r="FM19" s="1202"/>
      <c r="FN19" s="1202"/>
      <c r="FO19" s="1202"/>
      <c r="FP19" s="1202"/>
      <c r="FQ19" s="1202"/>
      <c r="FR19" s="1202"/>
      <c r="FS19" s="1202"/>
      <c r="FT19" s="1202"/>
      <c r="FU19" s="1202"/>
      <c r="FV19" s="1202"/>
      <c r="FW19" s="1202"/>
      <c r="FX19" s="1206"/>
    </row>
    <row s="4257" customFormat="1" customHeight="1" ht="11.25" hidden="1">
      <c r="B20" s="946"/>
      <c r="D20" s="930"/>
      <c r="E20" s="945"/>
      <c r="F20" s="1207" t="s">
        <v>371</v>
      </c>
      <c r="G20" s="1208"/>
      <c r="H20" s="1209"/>
      <c r="I20" s="1209"/>
      <c r="J20" s="1209"/>
      <c r="K20" s="1209"/>
      <c r="L20" s="1209"/>
      <c r="M20" s="1209"/>
      <c r="N20" s="1209"/>
      <c r="O20" s="1208"/>
      <c r="P20" s="1208"/>
      <c r="Q20" s="1208"/>
      <c r="R20" s="1208"/>
      <c r="S20" s="1208"/>
      <c r="T20" s="1208"/>
      <c r="U20" s="1210"/>
      <c r="V20" s="1210"/>
      <c r="W20" s="1210"/>
      <c r="X20" s="1210"/>
      <c r="Y20" s="1210"/>
      <c r="Z20" s="1210"/>
      <c r="AA20" s="1210"/>
      <c r="AB20" s="1208"/>
      <c r="AC20" s="1209"/>
      <c r="AD20" s="1209"/>
      <c r="AE20" s="1209"/>
      <c r="AF20" s="1209"/>
      <c r="AG20" s="1209"/>
      <c r="AH20" s="1209"/>
      <c r="AI20" s="1209"/>
      <c r="AJ20" s="1209"/>
      <c r="AK20" s="1209"/>
      <c r="AL20" s="1209"/>
      <c r="AM20" s="1209"/>
      <c r="AN20" s="1209"/>
      <c r="AO20" s="1209"/>
      <c r="AP20" s="1209"/>
      <c r="AQ20" s="1209"/>
      <c r="AR20" s="1209"/>
      <c r="AS20" s="1209"/>
      <c r="AT20" s="1209"/>
      <c r="AU20" s="1209"/>
      <c r="AV20" s="1209"/>
      <c r="AW20" s="1209"/>
      <c r="AX20" s="1209"/>
      <c r="AY20" s="1209"/>
      <c r="AZ20" s="1209"/>
      <c r="BA20" s="1209"/>
      <c r="BB20" s="1209"/>
      <c r="BC20" s="1209"/>
      <c r="BD20" s="1209"/>
      <c r="BE20" s="1209"/>
      <c r="BF20" s="1209"/>
      <c r="BG20" s="1209"/>
      <c r="BH20" s="1209"/>
      <c r="BI20" s="1209"/>
      <c r="BJ20" s="1209"/>
      <c r="BK20" s="1209"/>
      <c r="BL20" s="1209"/>
      <c r="BM20" s="1209"/>
      <c r="BN20" s="1209"/>
      <c r="BO20" s="1209"/>
      <c r="BP20" s="1209"/>
      <c r="BQ20" s="1209"/>
      <c r="BR20" s="1209"/>
      <c r="BS20" s="1209"/>
      <c r="BT20" s="1209"/>
      <c r="BU20" s="1209"/>
      <c r="BV20" s="1209"/>
      <c r="BW20" s="1209"/>
      <c r="BX20" s="1209"/>
      <c r="BY20" s="1209"/>
      <c r="BZ20" s="1209"/>
      <c r="CA20" s="1209"/>
      <c r="CB20" s="1209"/>
      <c r="CC20" s="1209"/>
      <c r="CD20" s="1209"/>
      <c r="CE20" s="1209"/>
      <c r="CF20" s="1209"/>
      <c r="CG20" s="1209"/>
      <c r="CH20" s="1209"/>
      <c r="CI20" s="1209"/>
      <c r="CJ20" s="1209"/>
      <c r="CK20" s="1209"/>
      <c r="CL20" s="1211"/>
      <c r="CM20" s="1211"/>
      <c r="CN20" s="1211"/>
      <c r="CO20" s="1211"/>
      <c r="CP20" s="1211"/>
      <c r="CQ20" s="1211"/>
      <c r="CR20" s="1211"/>
      <c r="CS20" s="1211"/>
      <c r="CT20" s="1211"/>
      <c r="CU20" s="1211"/>
      <c r="CV20" s="1211"/>
      <c r="CW20" s="1211"/>
      <c r="CX20" s="1211"/>
      <c r="CY20" s="1211"/>
      <c r="CZ20" s="1211"/>
      <c r="DA20" s="1211"/>
      <c r="DB20" s="1211"/>
      <c r="DC20" s="1211"/>
      <c r="DD20" s="1211"/>
      <c r="DE20" s="1211"/>
      <c r="DF20" s="1211"/>
      <c r="DG20" s="1211"/>
      <c r="DH20" s="1211"/>
      <c r="DI20" s="1211"/>
      <c r="DJ20" s="1211"/>
      <c r="DK20" s="1211"/>
      <c r="DL20" s="1211"/>
      <c r="DM20" s="1211"/>
      <c r="DN20" s="1211"/>
      <c r="DO20" s="1211"/>
      <c r="DP20" s="1211"/>
      <c r="DQ20" s="1211"/>
      <c r="DR20" s="1211"/>
      <c r="DS20" s="1211"/>
      <c r="DT20" s="1211"/>
      <c r="DU20" s="1211"/>
      <c r="DV20" s="1211"/>
      <c r="DW20" s="1211"/>
      <c r="DX20" s="1211"/>
      <c r="DY20" s="1211"/>
      <c r="DZ20" s="1211"/>
      <c r="EA20" s="1211"/>
      <c r="EB20" s="1211"/>
      <c r="EC20" s="1211"/>
      <c r="ED20" s="1211"/>
      <c r="EE20" s="1211"/>
      <c r="EF20" s="1211"/>
      <c r="EG20" s="1211"/>
      <c r="EH20" s="1211"/>
      <c r="EI20" s="1211"/>
      <c r="EJ20" s="1211"/>
      <c r="EK20" s="1211"/>
      <c r="EL20" s="1211"/>
      <c r="EM20" s="1211"/>
      <c r="EN20" s="1211"/>
      <c r="EO20" s="1211"/>
      <c r="EP20" s="1211"/>
      <c r="EQ20" s="1211"/>
      <c r="ER20" s="1211"/>
      <c r="ES20" s="1211"/>
      <c r="ET20" s="1211"/>
      <c r="EU20" s="1211"/>
      <c r="EV20" s="1211"/>
      <c r="EW20" s="1211"/>
      <c r="EX20" s="1211"/>
      <c r="EY20" s="1211"/>
      <c r="EZ20" s="1211"/>
      <c r="FA20" s="1211"/>
      <c r="FB20" s="1211"/>
      <c r="FC20" s="1211"/>
      <c r="FD20" s="1211"/>
      <c r="FE20" s="1211"/>
      <c r="FF20" s="1211"/>
      <c r="FG20" s="1211"/>
      <c r="FH20" s="1211"/>
      <c r="FI20" s="1211"/>
      <c r="FJ20" s="1211"/>
      <c r="FK20" s="1211"/>
      <c r="FL20" s="1211"/>
      <c r="FM20" s="1211"/>
      <c r="FN20" s="1211"/>
      <c r="FO20" s="1211"/>
      <c r="FP20" s="1211"/>
      <c r="FQ20" s="1211"/>
      <c r="FR20" s="1211"/>
      <c r="FS20" s="1211"/>
      <c r="FT20" s="1211"/>
      <c r="FU20" s="1211"/>
      <c r="FV20" s="1211"/>
      <c r="FW20" s="1211"/>
      <c r="FX20" s="1212"/>
    </row>
    <row s="4257" customFormat="1" customHeight="1" ht="12">
      <c r="A21" s="947"/>
      <c r="B21" s="947"/>
      <c r="C21" s="947"/>
      <c r="D21" s="947"/>
      <c r="E21" s="947"/>
      <c r="F21" s="945"/>
      <c r="G21" s="945"/>
      <c r="H21" s="945"/>
      <c r="I21" s="945"/>
      <c r="J21" s="945"/>
      <c r="K21" s="945"/>
      <c r="L21" s="945"/>
      <c r="M21" s="945"/>
      <c r="N21" s="945"/>
      <c r="O21" s="945"/>
      <c r="P21" s="945"/>
      <c r="Q21" s="945"/>
      <c r="R21" s="945"/>
      <c r="S21" s="948"/>
      <c r="T21" s="948"/>
      <c r="U21" s="945"/>
      <c r="V21" s="945"/>
      <c r="W21" s="945"/>
      <c r="X21" s="945"/>
      <c r="Y21" s="945"/>
      <c r="Z21" s="945"/>
      <c r="AA21" s="945"/>
      <c r="AB21" s="945"/>
      <c r="AC21" s="945"/>
      <c r="AD21" s="945"/>
      <c r="AE21" s="945"/>
      <c r="AF21" s="945"/>
      <c r="AG21" s="945"/>
      <c r="AH21" s="945"/>
      <c r="AI21" s="945"/>
      <c r="AJ21" s="945"/>
      <c r="AK21" s="945"/>
      <c r="AL21" s="945"/>
      <c r="AM21" s="945"/>
      <c r="AN21" s="945"/>
      <c r="AO21" s="945"/>
      <c r="AP21" s="945"/>
      <c r="AQ21" s="945"/>
      <c r="AR21" s="945"/>
      <c r="AS21" s="945"/>
      <c r="AT21" s="945"/>
      <c r="AU21" s="945"/>
      <c r="AV21" s="945"/>
      <c r="AW21" s="945"/>
      <c r="AX21" s="945"/>
      <c r="AY21" s="945"/>
      <c r="AZ21" s="945"/>
      <c r="BA21" s="945"/>
      <c r="BB21" s="945"/>
      <c r="BC21" s="945"/>
      <c r="BD21" s="945"/>
      <c r="BE21" s="945"/>
      <c r="BF21" s="945"/>
      <c r="BG21" s="945"/>
      <c r="BH21" s="945"/>
      <c r="BI21" s="945"/>
      <c r="BJ21" s="945"/>
      <c r="BK21" s="945"/>
      <c r="BL21" s="945"/>
      <c r="BM21" s="945"/>
      <c r="BN21" s="945"/>
      <c r="BO21" s="945"/>
      <c r="BP21" s="945"/>
      <c r="BQ21" s="945"/>
      <c r="BR21" s="945"/>
      <c r="BS21" s="945"/>
      <c r="BT21" s="945"/>
      <c r="BU21" s="945"/>
      <c r="BV21" s="945"/>
      <c r="BW21" s="945"/>
      <c r="BX21" s="945"/>
      <c r="BY21" s="945"/>
      <c r="BZ21" s="945"/>
      <c r="CA21" s="945"/>
      <c r="CB21" s="945"/>
      <c r="CC21" s="945"/>
      <c r="CD21" s="945"/>
      <c r="CE21" s="945"/>
      <c r="CF21" s="945"/>
      <c r="CG21" s="945"/>
      <c r="CH21" s="945"/>
      <c r="CI21" s="945"/>
      <c r="CJ21" s="945"/>
      <c r="CK21" s="945"/>
      <c r="CL21" s="945"/>
      <c r="CM21" s="945"/>
      <c r="CN21" s="945"/>
      <c r="CO21" s="945"/>
      <c r="CP21" s="945"/>
      <c r="CQ21" s="945"/>
      <c r="CR21" s="945"/>
      <c r="CS21" s="945"/>
      <c r="CT21" s="945"/>
      <c r="CU21" s="945"/>
      <c r="CV21" s="945"/>
      <c r="CW21" s="945"/>
      <c r="CX21" s="945"/>
      <c r="CY21" s="945"/>
      <c r="CZ21" s="945"/>
      <c r="DA21" s="945"/>
      <c r="DB21" s="945"/>
      <c r="DC21" s="945"/>
      <c r="DD21" s="945"/>
      <c r="DE21" s="945"/>
      <c r="DF21" s="945"/>
      <c r="DG21" s="945"/>
      <c r="DH21" s="945"/>
      <c r="DI21" s="945"/>
      <c r="DJ21" s="945"/>
      <c r="DK21" s="945"/>
      <c r="DL21" s="945"/>
      <c r="DM21" s="945"/>
      <c r="DN21" s="945"/>
      <c r="DO21" s="945"/>
      <c r="DP21" s="945"/>
      <c r="DQ21" s="945"/>
      <c r="DR21" s="945"/>
      <c r="DS21" s="945"/>
      <c r="DT21" s="945"/>
      <c r="DU21" s="945"/>
      <c r="DV21" s="945"/>
      <c r="DW21" s="945"/>
      <c r="DX21" s="945"/>
      <c r="DY21" s="945"/>
      <c r="DZ21" s="945"/>
      <c r="EA21" s="945"/>
      <c r="EB21" s="945"/>
      <c r="EC21" s="945"/>
      <c r="ED21" s="945"/>
      <c r="EE21" s="945"/>
      <c r="EF21" s="945"/>
      <c r="EG21" s="945"/>
      <c r="EH21" s="945"/>
      <c r="EI21" s="945"/>
      <c r="EJ21" s="945"/>
      <c r="EK21" s="945"/>
      <c r="EL21" s="945"/>
      <c r="EM21" s="945"/>
      <c r="EN21" s="945"/>
      <c r="EO21" s="945"/>
      <c r="EP21" s="945"/>
      <c r="EQ21" s="945"/>
      <c r="ER21" s="945"/>
      <c r="ES21" s="945"/>
      <c r="ET21" s="945"/>
      <c r="EU21" s="945"/>
      <c r="EV21" s="945"/>
      <c r="EW21" s="945"/>
      <c r="EX21" s="945"/>
      <c r="EY21" s="945"/>
      <c r="EZ21" s="945"/>
      <c r="FA21" s="945"/>
      <c r="FB21" s="945"/>
      <c r="FC21" s="945"/>
      <c r="FD21" s="945"/>
      <c r="FE21" s="945"/>
      <c r="FF21" s="945"/>
      <c r="FG21" s="945"/>
      <c r="FH21" s="945"/>
      <c r="FI21" s="945"/>
      <c r="FJ21" s="945"/>
      <c r="FK21" s="945"/>
      <c r="FL21" s="945"/>
      <c r="FM21" s="945"/>
      <c r="FN21" s="945"/>
      <c r="FO21" s="945"/>
      <c r="FP21" s="945"/>
      <c r="FQ21" s="945"/>
      <c r="FR21" s="945"/>
      <c r="FS21" s="945"/>
      <c r="FT21" s="945"/>
      <c r="FU21" s="945"/>
      <c r="FV21" s="945"/>
      <c r="FW21" s="945"/>
      <c r="FX21" s="947"/>
      <c r="FY21" s="947"/>
      <c r="FZ21" s="947"/>
      <c r="GA21" s="947"/>
      <c r="GB21" s="947"/>
    </row>
    <row s="4257" customFormat="1" customHeight="1" ht="12">
      <c r="A22" s="947"/>
      <c r="B22" s="947"/>
      <c r="C22" s="947"/>
      <c r="D22" s="947"/>
      <c r="E22" s="947"/>
      <c r="FX22" s="947"/>
      <c r="FY22" s="947"/>
      <c r="FZ22" s="947"/>
      <c r="GA22" s="947"/>
      <c r="GB22" s="947"/>
    </row>
    <row s="4325" customFormat="1" customHeight="1" ht="12">
      <c r="A23" s="1069"/>
      <c r="B23" s="1069"/>
      <c r="C23" s="1069"/>
      <c r="D23" s="1069"/>
      <c r="E23" s="1069"/>
      <c r="O23" s="1071"/>
      <c r="P23" s="1071"/>
      <c r="Q23" s="1071"/>
      <c r="R23" s="1071"/>
      <c r="S23" s="1071"/>
      <c r="T23" s="1071"/>
      <c r="U23" s="1071"/>
      <c r="V23" s="1071"/>
      <c r="W23" s="1071"/>
      <c r="X23" s="1071"/>
      <c r="Y23" s="1071"/>
      <c r="Z23" s="1071"/>
      <c r="AA23" s="1071"/>
      <c r="AB23" s="1071"/>
      <c r="AC23" s="1071"/>
      <c r="AD23" s="1071"/>
      <c r="AE23" s="1071"/>
      <c r="AF23" s="1071"/>
      <c r="AG23" s="1071"/>
      <c r="AH23" s="1071"/>
      <c r="AI23" s="1071"/>
      <c r="AJ23" s="1071"/>
      <c r="AK23" s="1071"/>
      <c r="AL23" s="1071"/>
      <c r="AM23" s="1071"/>
      <c r="AN23" s="1071"/>
      <c r="AO23" s="1071"/>
      <c r="AP23" s="1071"/>
      <c r="AQ23" s="1071"/>
      <c r="AR23" s="1071"/>
      <c r="AS23" s="1071"/>
      <c r="AT23" s="1071"/>
      <c r="AU23" s="1071"/>
      <c r="AV23" s="1071"/>
      <c r="AW23" s="1071"/>
      <c r="AX23" s="1071"/>
      <c r="AY23" s="1071"/>
      <c r="AZ23" s="1071"/>
      <c r="BA23" s="1071"/>
      <c r="BB23" s="1071"/>
      <c r="BC23" s="1071"/>
      <c r="BD23" s="1071"/>
      <c r="BE23" s="1071"/>
      <c r="BF23" s="1071"/>
      <c r="BG23" s="1071"/>
      <c r="BH23" s="1071"/>
      <c r="BI23" s="1071"/>
      <c r="BJ23" s="1071"/>
      <c r="BK23" s="1071"/>
      <c r="BL23" s="1071"/>
      <c r="BM23" s="1071"/>
      <c r="BN23" s="1071"/>
      <c r="BO23" s="1071"/>
      <c r="BP23" s="1071"/>
      <c r="BQ23" s="1071"/>
      <c r="BR23" s="1071"/>
      <c r="BS23" s="1071"/>
      <c r="BT23" s="1072"/>
      <c r="BU23" s="1072"/>
      <c r="BV23" s="1072"/>
      <c r="BW23" s="1072"/>
      <c r="BX23" s="1072"/>
      <c r="BY23" s="1072"/>
      <c r="BZ23" s="1072"/>
      <c r="CA23" s="1072"/>
      <c r="CB23" s="1072"/>
      <c r="CC23" s="1072"/>
      <c r="CD23" s="1072"/>
      <c r="CE23" s="1072"/>
      <c r="CF23" s="1072"/>
      <c r="CG23" s="1072"/>
      <c r="CH23" s="1072"/>
      <c r="CI23" s="1072"/>
      <c r="CJ23" s="1072"/>
      <c r="CK23" s="1072"/>
      <c r="CL23" s="1072"/>
      <c r="CM23" s="1072"/>
      <c r="CN23" s="1072"/>
      <c r="CO23" s="1072"/>
      <c r="CP23" s="1072"/>
      <c r="CQ23" s="1072"/>
      <c r="CR23" s="1072"/>
      <c r="CS23" s="1072"/>
      <c r="CT23" s="1072"/>
      <c r="CU23" s="1072"/>
      <c r="CV23" s="1072"/>
      <c r="CW23" s="1072"/>
      <c r="CX23" s="1072"/>
      <c r="CY23" s="1072"/>
      <c r="CZ23" s="1072"/>
      <c r="DA23" s="1072"/>
      <c r="DB23" s="1072"/>
      <c r="DC23" s="1072"/>
      <c r="DD23" s="1072"/>
      <c r="DE23" s="1072"/>
      <c r="DF23" s="1072"/>
      <c r="DG23" s="1072"/>
      <c r="DH23" s="1072"/>
      <c r="DI23" s="1072"/>
      <c r="DJ23" s="1072"/>
      <c r="DK23" s="1072"/>
      <c r="DL23" s="1072"/>
      <c r="DM23" s="1072"/>
      <c r="DN23" s="1072"/>
      <c r="DO23" s="1072"/>
      <c r="DP23" s="1072"/>
      <c r="DQ23" s="1072"/>
      <c r="DR23" s="1072"/>
      <c r="DS23" s="1072"/>
      <c r="DT23" s="1072"/>
      <c r="DU23" s="1072"/>
      <c r="DV23" s="1072"/>
      <c r="DW23" s="1072"/>
      <c r="DX23" s="1072"/>
      <c r="FX23" s="1069"/>
      <c r="FY23" s="1069"/>
      <c r="FZ23" s="1069"/>
      <c r="GA23" s="1069"/>
      <c r="GB23" s="1069"/>
    </row>
    <row customHeight="1" ht="12">
      <c r="S24" s="944"/>
      <c r="T24" s="944"/>
      <c r="U24" s="944"/>
      <c r="V24" s="944"/>
      <c r="W24" s="944"/>
      <c r="X24" s="944"/>
      <c r="Y24" s="944"/>
      <c r="Z24" s="944"/>
      <c r="AA24" s="944"/>
      <c r="AB24" s="944"/>
      <c r="FX24" s="944"/>
      <c r="FY24" s="944"/>
      <c r="FZ24" s="944"/>
      <c r="GA24" s="944"/>
      <c r="GB24" s="944"/>
    </row>
  </sheetData>
  <sheetProtection formatColumns="0" formatRows="0" autoFilter="0" sort="0" insertRows="0" insertColumns="1" deleteRows="0" deleteColumns="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05444C3-92BB-E3DA-DF5E-1D09341D8111}" mc:Ignorable="x14ac xr xr2 xr3">
  <sheetPr>
    <tabColor theme="2" tint="-0.1"/>
  </sheetPr>
  <dimension ref="A1:R22"/>
  <sheetViews>
    <sheetView topLeftCell="A1" showGridLines="0" zoomScale="90" workbookViewId="0">
      <selection activeCell="A1" sqref="A1"/>
    </sheetView>
  </sheetViews>
  <sheetFormatPr defaultColWidth="10.57421875" customHeight="1" defaultRowHeight="15"/>
  <cols>
    <col min="1" max="1" style="3151" width="9.140625" hidden="1" customWidth="1"/>
    <col min="2" max="2" style="3153" width="9.140625" hidden="1" customWidth="1"/>
    <col min="3" max="3" style="4152" width="4.7109375" customWidth="1"/>
    <col min="4" max="4" style="3153" width="6.28125" customWidth="1"/>
    <col min="5" max="5" style="3153" width="36.7109375" customWidth="1"/>
    <col min="6" max="6" style="3153" width="9.57421875" customWidth="1"/>
    <col min="7" max="7" style="2623" width="42.421875" hidden="1" customWidth="1"/>
    <col min="8" max="8" style="3153" width="40.7109375" customWidth="1"/>
    <col min="9" max="9" style="2624" width="93.421875" customWidth="1"/>
    <col min="10" max="17" style="3153" width="10.57421875"/>
    <col min="18" max="18" style="4086" width="10.57421875"/>
  </cols>
  <sheetData>
    <row s="2624" customFormat="1" customHeight="1" ht="15" hidden="1">
      <c r="C1" s="678"/>
      <c r="H1" s="423">
        <v>4</v>
      </c>
      <c r="R1" s="426"/>
    </row>
    <row customHeight="1" ht="22.5" hidden="1">
      <c r="D2" s="545"/>
      <c r="E2" s="669"/>
      <c r="F2" s="1801" t="str">
        <f>IF(TEMPLATE_SPHERE="HEAT","Гкал/час","тыс. куб. м/сутки")</f>
        <v>Гкал/час</v>
      </c>
      <c r="G2" s="686"/>
      <c r="H2" s="686"/>
      <c r="I2" s="277"/>
    </row>
    <row s="2624" customFormat="1" customHeight="1" ht="15" hidden="1">
      <c r="C3" s="678"/>
      <c r="R3" s="426"/>
    </row>
    <row customHeight="1" ht="15">
      <c r="C4" s="162"/>
      <c r="D4" s="515"/>
      <c r="E4" s="515"/>
      <c r="F4" s="515"/>
      <c r="G4" s="515"/>
      <c r="H4" s="515"/>
    </row>
    <row customHeight="1" ht="37.5">
      <c r="C5" s="162"/>
      <c r="D5" s="2085"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085"/>
      <c r="F5" s="2085"/>
      <c r="G5" s="2085"/>
      <c r="H5" s="2085"/>
      <c r="I5" s="543"/>
    </row>
    <row customHeight="1" ht="15">
      <c r="C6" s="162"/>
      <c r="D6" s="2053" t="str">
        <f>IF(org=0,"Не определено",org)</f>
        <v>ЗАО "Байкалэнерго"</v>
      </c>
      <c r="E6" s="2053"/>
      <c r="F6" s="2053"/>
      <c r="G6" s="2053"/>
      <c r="H6" s="2053"/>
      <c r="I6" s="543"/>
    </row>
    <row s="2623" customFormat="1" customHeight="1" ht="15">
      <c r="A7" s="765"/>
      <c r="C7" s="162"/>
      <c r="D7" s="682"/>
      <c r="E7" s="682"/>
      <c r="F7" s="682"/>
      <c r="G7" s="682"/>
      <c r="H7" s="758"/>
      <c r="I7" s="543"/>
      <c r="R7" s="681"/>
    </row>
    <row customHeight="1" ht="0.75">
      <c r="C8" s="162"/>
      <c r="D8" s="515"/>
      <c r="E8" s="515"/>
      <c r="F8" s="515"/>
      <c r="G8" s="515"/>
      <c r="H8" s="543" t="s">
        <v>118</v>
      </c>
    </row>
    <row customHeight="1" ht="15">
      <c r="C9" s="162"/>
      <c r="D9" s="717"/>
      <c r="E9" s="2213" t="s">
        <v>106</v>
      </c>
      <c r="F9" s="2214"/>
      <c r="G9" s="822" t="str">
        <f>IF(G8="","",INDEX(DIFFERENTIATION_UNMERGE_VD,MATCH(G8,DIFFERENTIATION_ID_DIFF,0)))</f>
        <v/>
      </c>
      <c r="H9" s="822">
        <f>IF(H8="","",INDEX(DIFFERENTIATION_UNMERGE_VD,MATCH(H8,DIFFERENTIATION_ID_DIFF,0)))</f>
        <v>0</v>
      </c>
      <c r="I9" s="1971" t="s">
        <v>294</v>
      </c>
    </row>
    <row s="2623" customFormat="1" customHeight="1" ht="15">
      <c r="A10" s="765"/>
      <c r="C10" s="162"/>
      <c r="D10" s="717"/>
      <c r="E10" s="2213" t="s">
        <v>552</v>
      </c>
      <c r="F10" s="2214"/>
      <c r="G10" s="822" t="str">
        <f>IF(G8="","",INDEX(DIFFERENTIATION_UNMERGE_AREA,MATCH(G8,DIFFERENTIATION_ID_DIFF,0)))</f>
        <v/>
      </c>
      <c r="H10" s="822" t="str">
        <f>IF(H8="","",INDEX(DIFFERENTIATION_UNMERGE_AREA,MATCH(H8,DIFFERENTIATION_ID_DIFF,0)))</f>
        <v/>
      </c>
      <c r="I10" s="1971"/>
      <c r="R10" s="681"/>
    </row>
    <row s="2623" customFormat="1" customHeight="1" ht="15">
      <c r="A11" s="765"/>
      <c r="C11" s="162"/>
      <c r="D11" s="717"/>
      <c r="E11" s="2213" t="s">
        <v>553</v>
      </c>
      <c r="F11" s="2214"/>
      <c r="G11" s="822" t="str">
        <f>IF(G8="","",INDEX(DIFFERENTIATION_UNMERGE_SYSTEM,MATCH(G8,DIFFERENTIATION_ID_DIFF,0)))</f>
        <v/>
      </c>
      <c r="H11" s="822" t="str">
        <f>IF(H8="","",INDEX(DIFFERENTIATION_UNMERGE_SYSTEM,MATCH(H8,DIFFERENTIATION_ID_DIFF,0)))</f>
        <v>без дифференциации</v>
      </c>
      <c r="I11" s="1971"/>
      <c r="R11" s="681"/>
    </row>
    <row s="2623" customFormat="1" customHeight="1" ht="15">
      <c r="A12" s="765"/>
      <c r="C12" s="162"/>
      <c r="D12" s="2215" t="s">
        <v>293</v>
      </c>
      <c r="E12" s="2216"/>
      <c r="F12" s="2216"/>
      <c r="G12" s="893"/>
      <c r="H12" s="893"/>
      <c r="I12" s="1971"/>
      <c r="R12" s="681"/>
    </row>
    <row customHeight="1" ht="33.75">
      <c r="C13" s="162"/>
      <c r="D13" s="767" t="s">
        <v>88</v>
      </c>
      <c r="E13" s="766" t="s">
        <v>295</v>
      </c>
      <c r="F13" s="766" t="s">
        <v>554</v>
      </c>
      <c r="G13" s="814" t="s">
        <v>296</v>
      </c>
      <c r="H13" s="760" t="s">
        <v>296</v>
      </c>
      <c r="I13" s="1971"/>
    </row>
    <row customHeight="1" ht="15" hidden="1">
      <c r="C14" s="162"/>
      <c r="D14" s="599" t="s">
        <v>110</v>
      </c>
      <c r="E14" s="599" t="s">
        <v>111</v>
      </c>
      <c r="F14" s="599" t="s">
        <v>90</v>
      </c>
      <c r="G14" s="665" t="str">
        <f>G1&amp;".1"</f>
        <v>.1</v>
      </c>
      <c r="H14" s="665" t="str">
        <f>H1&amp;".1"</f>
        <v>4.1</v>
      </c>
      <c r="I14" s="277"/>
    </row>
    <row customHeight="1" ht="15">
      <c r="A15" s="511"/>
      <c r="C15" s="532"/>
      <c r="D15" s="527">
        <v>1</v>
      </c>
      <c r="E15" s="683" t="str">
        <f>TP_P_A</f>
        <v>Количество поданных заявок</v>
      </c>
      <c r="F15" s="527" t="s">
        <v>1017</v>
      </c>
      <c r="G15" s="691"/>
      <c r="H15" s="691"/>
      <c r="I15" s="194"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row>
    <row customHeight="1" ht="15">
      <c r="A16" s="511"/>
      <c r="C16" s="532"/>
      <c r="D16" s="527">
        <v>2</v>
      </c>
      <c r="E16" s="267" t="str">
        <f>TP_P_B</f>
        <v>Количество рассмотренных заявок</v>
      </c>
      <c r="F16" s="527" t="s">
        <v>1017</v>
      </c>
      <c r="G16" s="691"/>
      <c r="H16" s="691"/>
      <c r="I16" s="194"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row>
    <row customHeight="1" ht="33.75">
      <c r="A17" s="511"/>
      <c r="C17" s="532"/>
      <c r="D17" s="527">
        <v>3</v>
      </c>
      <c r="E17" s="267"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27" t="s">
        <v>1017</v>
      </c>
      <c r="G17" s="691"/>
      <c r="H17" s="691"/>
      <c r="I17" s="194" t="str">
        <f>TP_P_NOTE_V</f>
        <v>Указывается количество заявок с решением об отказе в течение отчетного квартала.</v>
      </c>
    </row>
    <row customHeight="1" ht="36">
      <c r="A18" s="511"/>
      <c r="C18" s="532"/>
      <c r="D18" s="527">
        <v>4</v>
      </c>
      <c r="E18" s="267" t="str">
        <f>TP_P_V_1</f>
        <v>Причины отказа в заключении договора о подключении (технологическом присоединении) к системе теплоснабжения</v>
      </c>
      <c r="F18" s="527" t="s">
        <v>299</v>
      </c>
      <c r="G18" s="692"/>
      <c r="H18" s="692"/>
      <c r="I18" s="844"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row>
    <row customHeight="1" ht="57">
      <c r="A19" s="511"/>
      <c r="C19" s="532"/>
      <c r="D19" s="527">
        <v>5</v>
      </c>
      <c r="E19" s="267" t="str">
        <f>TP_P_G</f>
        <v>Резерв мощности источников тепловой энергии, входящих в систему теплоснабжения, в течение одного квартала, в том числе:</v>
      </c>
      <c r="F19" s="527" t="str">
        <f>IF(TEMPLATE_SPHERE="HEAT","Гкал/час","тыс. куб. м/сутки")</f>
        <v>Гкал/час</v>
      </c>
      <c r="G19" s="693">
        <f>SUM(G20:G22)</f>
        <v>0</v>
      </c>
      <c r="H19" s="693">
        <f>SUM(H20:H22)</f>
        <v>0</v>
      </c>
      <c r="I19" s="194"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customHeight="1" ht="15" hidden="1">
      <c r="D20" s="515" t="s">
        <v>1018</v>
      </c>
      <c r="E20" s="694"/>
      <c r="F20" s="515"/>
      <c r="G20" s="515"/>
      <c r="H20" s="515"/>
      <c r="I20" s="1803"/>
    </row>
    <row customHeight="1" ht="27.75">
      <c r="C21" s="457"/>
      <c r="D21" s="545" t="s">
        <v>308</v>
      </c>
      <c r="E21" s="676"/>
      <c r="F21" s="1801" t="str">
        <f>IF(TEMPLATE_SPHERE="HEAT","Гкал/час","тыс. куб. м/сутки")</f>
        <v>Гкал/час</v>
      </c>
      <c r="G21" s="686"/>
      <c r="H21" s="686"/>
      <c r="I21" s="2015"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customHeight="1" ht="15">
      <c r="A22" s="511"/>
      <c r="C22" s="511"/>
      <c r="D22" s="343"/>
      <c r="E22" s="586" t="s">
        <v>1019</v>
      </c>
      <c r="F22" s="578"/>
      <c r="G22" s="578"/>
      <c r="H22" s="578"/>
      <c r="I22" s="2017"/>
      <c r="R22" s="511"/>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неотрицательных чисел!" sqref="G21:H21 G2:H2">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F4319C9-27AF-8F1A-EEF5-739799D96807}" mc:Ignorable="x14ac xr xr2 xr3">
  <sheetPr>
    <tabColor theme="6" tint="0.4"/>
    <pageSetUpPr fitToPage="1"/>
  </sheetPr>
  <dimension ref="A1:P31"/>
  <sheetViews>
    <sheetView topLeftCell="A1" showGridLines="0" zoomScale="90" workbookViewId="0">
      <selection activeCell="A1" sqref="A1"/>
    </sheetView>
  </sheetViews>
  <sheetFormatPr defaultColWidth="10.57421875" customHeight="1" defaultRowHeight="14.25"/>
  <cols>
    <col min="1" max="1" style="4393" width="9.140625" hidden="1" customWidth="1"/>
    <col min="2" max="2" style="4374" width="9.140625" hidden="1" customWidth="1"/>
    <col min="3" max="3" style="4394" width="3.7109375" customWidth="1"/>
    <col min="4" max="4" style="2687" width="6.28125" customWidth="1"/>
    <col min="5" max="6" style="2687" width="64.140625" customWidth="1"/>
    <col min="7" max="7" style="2687" width="141.140625" customWidth="1"/>
    <col min="8" max="8" style="2687" width="10.57421875"/>
    <col min="9" max="10" style="2629" width="10.57421875"/>
    <col min="11" max="16" style="2687" width="10.57421875"/>
  </cols>
  <sheetData>
    <row customHeight="1" ht="14.25" hidden="1">
      <c r="M1" s="241"/>
      <c r="N1" s="241"/>
      <c r="P1" s="241"/>
    </row>
    <row customHeight="1" ht="14.25" hidden="1"/>
    <row customHeight="1" ht="14.25" hidden="1"/>
    <row customHeight="1" ht="3">
      <c r="C4" s="82"/>
      <c r="D4" s="69"/>
      <c r="E4" s="69"/>
      <c r="F4" s="70"/>
      <c r="G4" s="70"/>
    </row>
    <row customHeight="1" ht="27.75">
      <c r="C5" s="82"/>
      <c r="D5" s="2296"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297"/>
      <c r="F5" s="2297"/>
      <c r="G5" s="2298"/>
    </row>
    <row s="2623" customFormat="1" customHeight="1" ht="18">
      <c r="A6" s="888"/>
      <c r="B6" s="423"/>
      <c r="C6" s="377"/>
      <c r="D6" s="2299" t="str">
        <f>IF(org=0,"Не определено",org)</f>
        <v>ЗАО "Байкалэнерго"</v>
      </c>
      <c r="E6" s="2300"/>
      <c r="F6" s="2300"/>
      <c r="G6" s="2301"/>
      <c r="I6" s="506"/>
      <c r="J6" s="506"/>
    </row>
    <row customHeight="1" ht="14.25">
      <c r="C7" s="82"/>
      <c r="D7" s="69"/>
      <c r="E7" s="81"/>
      <c r="F7" s="758"/>
      <c r="G7" s="179"/>
    </row>
    <row s="2948" customFormat="1" customHeight="1" ht="0.75">
      <c r="A8" s="1709"/>
      <c r="B8" s="1168"/>
      <c r="C8" s="377"/>
      <c r="D8" s="361"/>
      <c r="E8" s="395"/>
      <c r="F8" s="758"/>
      <c r="G8" s="179"/>
      <c r="I8" s="1664"/>
      <c r="J8" s="1664"/>
    </row>
    <row customHeight="1" ht="14.25">
      <c r="C9" s="82"/>
      <c r="D9" s="2062" t="s">
        <v>293</v>
      </c>
      <c r="E9" s="2062"/>
      <c r="F9" s="2062"/>
      <c r="G9" s="2302" t="s">
        <v>294</v>
      </c>
    </row>
    <row customHeight="1" ht="14.25">
      <c r="C10" s="82"/>
      <c r="D10" s="91" t="s">
        <v>88</v>
      </c>
      <c r="E10" s="94" t="s">
        <v>295</v>
      </c>
      <c r="F10" s="94" t="s">
        <v>385</v>
      </c>
      <c r="G10" s="2302"/>
    </row>
    <row customHeight="1" ht="12" hidden="1">
      <c r="C11" s="82"/>
      <c r="D11" s="72"/>
      <c r="E11" s="72"/>
      <c r="F11" s="72"/>
      <c r="G11" s="72"/>
    </row>
    <row customHeight="1" ht="62.25">
      <c r="A12" s="178"/>
      <c r="C12" s="82"/>
      <c r="D12" s="133">
        <v>1</v>
      </c>
      <c r="E12" s="183"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84" t="s">
        <v>299</v>
      </c>
      <c r="G12" s="137"/>
    </row>
    <row customHeight="1" ht="22.5">
      <c r="A13" s="178"/>
      <c r="C13" s="82"/>
      <c r="D13" s="133" t="s">
        <v>924</v>
      </c>
      <c r="E13" s="180"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84" t="s">
        <v>299</v>
      </c>
      <c r="G13" s="137"/>
    </row>
    <row customHeight="1" ht="14.25">
      <c r="A14" s="178"/>
      <c r="C14" s="82"/>
      <c r="D14" s="133" t="s">
        <v>960</v>
      </c>
      <c r="E14" s="181"/>
      <c r="F14" s="199"/>
      <c r="G14" s="2015"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customHeight="1" ht="15">
      <c r="A15" s="178"/>
      <c r="C15" s="82"/>
      <c r="D15" s="95"/>
      <c r="E15" s="345" t="s">
        <v>1020</v>
      </c>
      <c r="F15" s="187"/>
      <c r="G15" s="2017"/>
    </row>
    <row customHeight="1" ht="14.25">
      <c r="A16" s="178"/>
      <c r="C16" s="82"/>
      <c r="D16" s="133" t="s">
        <v>926</v>
      </c>
      <c r="E16" s="180"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84" t="s">
        <v>299</v>
      </c>
      <c r="G16" s="333"/>
    </row>
    <row customHeight="1" ht="14.25">
      <c r="A17" s="178"/>
      <c r="C17" s="82"/>
      <c r="D17" s="133" t="s">
        <v>968</v>
      </c>
      <c r="E17" s="181"/>
      <c r="F17" s="391"/>
      <c r="G17" s="2015"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row>
    <row s="4372" customFormat="1" customHeight="1" ht="21">
      <c r="A18" s="339"/>
      <c r="B18" s="132"/>
      <c r="C18" s="296"/>
      <c r="D18" s="343"/>
      <c r="E18" s="345" t="s">
        <v>1021</v>
      </c>
      <c r="F18" s="334"/>
      <c r="G18" s="2017"/>
      <c r="I18" s="346"/>
      <c r="J18" s="346"/>
    </row>
    <row s="2623" customFormat="1" customHeight="1" ht="256.5" hidden="1">
      <c r="A19" s="339"/>
      <c r="B19" s="423"/>
      <c r="C19" s="377"/>
      <c r="D19" s="890" t="s">
        <v>928</v>
      </c>
      <c r="E19" s="889" t="s">
        <v>1022</v>
      </c>
      <c r="F19" s="391"/>
      <c r="G19" s="333" t="s">
        <v>1023</v>
      </c>
      <c r="I19" s="506"/>
      <c r="J19" s="506"/>
    </row>
    <row s="4372" customFormat="1" customHeight="1" ht="14.25">
      <c r="A20" s="339"/>
      <c r="B20" s="132"/>
      <c r="C20" s="296"/>
      <c r="D20" s="891">
        <v>2</v>
      </c>
      <c r="E20" s="326" t="s">
        <v>1024</v>
      </c>
      <c r="F20" s="184" t="s">
        <v>299</v>
      </c>
      <c r="G20" s="333"/>
      <c r="I20" s="346"/>
      <c r="J20" s="346"/>
    </row>
    <row s="4372" customFormat="1" customHeight="1" ht="18.75" hidden="1">
      <c r="A21" s="339"/>
      <c r="B21" s="132"/>
      <c r="C21" s="296"/>
      <c r="D21" s="329" t="s">
        <v>854</v>
      </c>
      <c r="E21" s="328"/>
      <c r="F21" s="327"/>
      <c r="G21" s="337"/>
      <c r="H21" s="330"/>
      <c r="I21" s="346"/>
      <c r="J21" s="346"/>
    </row>
    <row customHeight="1" ht="15">
      <c r="A22" s="178"/>
      <c r="C22" s="82"/>
      <c r="D22" s="95"/>
      <c r="E22" s="189" t="s">
        <v>1025</v>
      </c>
      <c r="F22" s="334"/>
      <c r="G22" s="335"/>
    </row>
    <row s="2948" customFormat="1" customHeight="1" ht="22.5" hidden="1">
      <c r="A23" s="339"/>
      <c r="B23" s="1168"/>
      <c r="C23" s="377"/>
      <c r="D23" s="1713" t="s">
        <v>111</v>
      </c>
      <c r="E23" s="183" t="s">
        <v>1026</v>
      </c>
      <c r="F23" s="1710" t="s">
        <v>299</v>
      </c>
      <c r="G23" s="341"/>
      <c r="I23" s="1664"/>
      <c r="J23" s="1664"/>
    </row>
    <row s="2948" customFormat="1" customHeight="1" ht="14.25" hidden="1">
      <c r="A24" s="339"/>
      <c r="B24" s="1168"/>
      <c r="C24" s="377"/>
      <c r="D24" s="1713" t="s">
        <v>610</v>
      </c>
      <c r="E24" s="1712" t="s">
        <v>1027</v>
      </c>
      <c r="F24" s="1710" t="s">
        <v>299</v>
      </c>
      <c r="G24" s="333"/>
      <c r="I24" s="1664"/>
      <c r="J24" s="1664"/>
    </row>
    <row s="2948" customFormat="1" customHeight="1" ht="14.25" hidden="1">
      <c r="A25" s="339"/>
      <c r="B25" s="1168"/>
      <c r="C25" s="377"/>
      <c r="D25" s="1713" t="s">
        <v>613</v>
      </c>
      <c r="E25" s="181"/>
      <c r="F25" s="391"/>
      <c r="G25" s="2015" t="s">
        <v>1028</v>
      </c>
      <c r="I25" s="1664"/>
      <c r="J25" s="1664"/>
    </row>
    <row s="2948" customFormat="1" customHeight="1" ht="22.5" hidden="1">
      <c r="A26" s="339"/>
      <c r="B26" s="1168"/>
      <c r="C26" s="377"/>
      <c r="D26" s="343"/>
      <c r="E26" s="345" t="s">
        <v>1029</v>
      </c>
      <c r="F26" s="334"/>
      <c r="G26" s="2017"/>
      <c r="I26" s="1664"/>
      <c r="J26" s="1664"/>
    </row>
    <row customHeight="1" ht="3"/>
    <row customHeight="1" ht="14.25">
      <c r="D28" s="332"/>
      <c r="E28" s="331"/>
      <c r="F28" s="307"/>
      <c r="G28" s="307"/>
      <c r="H28" s="307"/>
      <c r="I28" s="307"/>
      <c r="J28" s="307"/>
      <c r="K28" s="307"/>
      <c r="L28" s="307"/>
      <c r="M28" s="307"/>
      <c r="N28" s="307"/>
      <c r="O28" s="307"/>
      <c r="P28" s="307"/>
    </row>
    <row customHeight="1" ht="14.25">
      <c r="D29" s="332"/>
      <c r="E29" s="588"/>
    </row>
    <row r="31" customHeight="1" ht="14.25">
      <c r="E31" s="764"/>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s>
  <printOptions horizontalCentered="1" verticalCentered="1"/>
  <pageMargins left="0.00" right="0.00" top="0.00" bottom="0.00" header="0.00" footer="0.79"/>
  <pageSetup paperSize="9" scale="38" fitToHeight="0" pageOrder="downThenOver" orientation="portrait" blackAndWhite="1"/>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3CF5737-E7AF-CDFE-7031-F383E85A0166}" mc:Ignorable="x14ac xr xr2 xr3">
  <sheetPr>
    <tabColor theme="6" tint="0.4"/>
  </sheetPr>
  <dimension ref="A1:L42"/>
  <sheetViews>
    <sheetView topLeftCell="C13" showGridLines="0" zoomScale="90" workbookViewId="0" tabSelected="1">
      <selection activeCell="G39" sqref="G39"/>
    </sheetView>
  </sheetViews>
  <sheetFormatPr defaultColWidth="10.57421875" customHeight="1" defaultRowHeight="14.25"/>
  <cols>
    <col min="1" max="1" style="3294" width="9.140625" hidden="1" customWidth="1"/>
    <col min="2" max="2" style="4374" width="9.140625" hidden="1" customWidth="1"/>
    <col min="3" max="3" style="4394" width="3.7109375" customWidth="1"/>
    <col min="4" max="4" style="2687" width="6.28125" customWidth="1"/>
    <col min="5" max="5" style="2687" width="63.421875" customWidth="1"/>
    <col min="6" max="6" style="2687" width="1.7109375" hidden="1" customWidth="1"/>
    <col min="7" max="8" style="2687" width="35.7109375" customWidth="1"/>
    <col min="9" max="9" style="2687" width="91.57421875" customWidth="1"/>
    <col min="10" max="10" style="2687" width="68.8515625" customWidth="1"/>
    <col min="11" max="12" style="2629" width="10.57421875"/>
  </cols>
  <sheetData>
    <row customHeight="1" ht="14.25" hidden="1"/>
    <row s="2948" customFormat="1" customHeight="1" ht="18.75" hidden="1">
      <c r="A2" s="1723"/>
      <c r="B2" s="1168"/>
      <c r="C2" s="1770" t="s">
        <v>445</v>
      </c>
      <c r="D2" s="1713"/>
      <c r="E2" s="185"/>
      <c r="F2" s="1710"/>
      <c r="G2" s="1710" t="s">
        <v>299</v>
      </c>
      <c r="H2" s="1169"/>
      <c r="K2" s="1664"/>
      <c r="L2" s="1664"/>
    </row>
    <row s="2948" customFormat="1" customHeight="1" ht="14.25" hidden="1">
      <c r="A3" s="1392"/>
      <c r="B3" s="1168"/>
      <c r="C3" s="340"/>
      <c r="K3" s="1664"/>
      <c r="L3" s="1664"/>
    </row>
    <row s="2948" customFormat="1" customHeight="1" ht="18.75" hidden="1">
      <c r="A4" s="1723"/>
      <c r="B4" s="1168"/>
      <c r="C4" s="1770" t="s">
        <v>445</v>
      </c>
      <c r="D4" s="1713"/>
      <c r="E4" s="191" t="s">
        <v>1030</v>
      </c>
      <c r="F4" s="1710"/>
      <c r="G4" s="243"/>
      <c r="H4" s="1710" t="s">
        <v>299</v>
      </c>
      <c r="K4" s="1664"/>
      <c r="L4" s="1664"/>
    </row>
    <row s="2948" customFormat="1" customHeight="1" ht="14.25" hidden="1">
      <c r="A5" s="1392"/>
      <c r="B5" s="1168"/>
      <c r="C5" s="340"/>
      <c r="K5" s="1664"/>
      <c r="L5" s="1664"/>
    </row>
    <row s="2948" customFormat="1" customHeight="1" ht="18.75" hidden="1">
      <c r="A6" s="1723"/>
      <c r="B6" s="1168"/>
      <c r="C6" s="1770" t="s">
        <v>445</v>
      </c>
      <c r="D6" s="1713"/>
      <c r="E6" s="192" t="s">
        <v>1031</v>
      </c>
      <c r="F6" s="1710"/>
      <c r="G6" s="243"/>
      <c r="H6" s="1710" t="s">
        <v>299</v>
      </c>
      <c r="K6" s="1664"/>
      <c r="L6" s="1664"/>
    </row>
    <row s="2948" customFormat="1" customHeight="1" ht="14.25" hidden="1">
      <c r="A7" s="1392"/>
      <c r="B7" s="1168"/>
      <c r="C7" s="340"/>
      <c r="K7" s="1664"/>
      <c r="L7" s="1664"/>
    </row>
    <row s="2948" customFormat="1" customHeight="1" ht="18.75" hidden="1">
      <c r="A8" s="1723"/>
      <c r="B8" s="1168"/>
      <c r="C8" s="1770" t="s">
        <v>445</v>
      </c>
      <c r="D8" s="1713"/>
      <c r="E8" s="192" t="s">
        <v>1032</v>
      </c>
      <c r="F8" s="1710"/>
      <c r="G8" s="243"/>
      <c r="H8" s="1710" t="s">
        <v>299</v>
      </c>
      <c r="K8" s="1664"/>
      <c r="L8" s="1664"/>
    </row>
    <row s="2948" customFormat="1" customHeight="1" ht="14.25" hidden="1">
      <c r="A9" s="1392"/>
      <c r="B9" s="1168"/>
      <c r="C9" s="340"/>
      <c r="K9" s="1664"/>
      <c r="L9" s="1664"/>
    </row>
    <row s="2948" customFormat="1" customHeight="1" ht="18.75" hidden="1">
      <c r="A10" s="1723"/>
      <c r="B10" s="1168"/>
      <c r="C10" s="1770" t="s">
        <v>445</v>
      </c>
      <c r="D10" s="1713"/>
      <c r="E10" s="192" t="s">
        <v>1033</v>
      </c>
      <c r="F10" s="1710"/>
      <c r="G10" s="1714"/>
      <c r="H10" s="1710" t="s">
        <v>299</v>
      </c>
      <c r="K10" s="1664"/>
      <c r="L10" s="1664" t="s">
        <v>1034</v>
      </c>
    </row>
    <row customHeight="1" ht="14.25" hidden="1"/>
    <row customHeight="1" ht="14.25" hidden="1"/>
    <row customHeight="1" ht="14.25">
      <c r="C13" s="82"/>
      <c r="D13" s="69"/>
      <c r="E13" s="69"/>
      <c r="F13" s="69"/>
      <c r="G13" s="69"/>
      <c r="H13" s="70"/>
      <c r="I13" s="70"/>
    </row>
    <row customHeight="1" ht="27.75">
      <c r="C14" s="82"/>
      <c r="D14" s="2296"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297"/>
      <c r="F14" s="2297"/>
      <c r="G14" s="2297"/>
      <c r="H14" s="2298"/>
      <c r="J14" s="1671"/>
    </row>
    <row s="2948" customFormat="1" customHeight="1" ht="14.25">
      <c r="A15" s="1392"/>
      <c r="B15" s="1168"/>
      <c r="C15" s="377"/>
      <c r="D15" s="2299" t="str">
        <f>IF(org=0,"Не определено",org)</f>
        <v>ЗАО "Байкалэнерго"</v>
      </c>
      <c r="E15" s="2300"/>
      <c r="F15" s="2300"/>
      <c r="G15" s="2300"/>
      <c r="H15" s="2301"/>
      <c r="J15" s="858"/>
      <c r="K15" s="1664"/>
      <c r="L15" s="1664"/>
    </row>
    <row customHeight="1" ht="14.25">
      <c r="C16" s="82"/>
      <c r="D16" s="69"/>
      <c r="E16" s="81"/>
      <c r="F16" s="81"/>
      <c r="G16" s="81"/>
      <c r="H16" s="758"/>
      <c r="I16" s="179"/>
    </row>
    <row s="2948" customFormat="1" customHeight="1" ht="14.25" hidden="1">
      <c r="A17" s="1392"/>
      <c r="B17" s="1168"/>
      <c r="C17" s="377"/>
      <c r="D17" s="361"/>
      <c r="E17" s="395"/>
      <c r="F17" s="395"/>
      <c r="G17" s="395"/>
      <c r="H17" s="758"/>
      <c r="I17" s="179"/>
      <c r="K17" s="1664"/>
      <c r="L17" s="1664"/>
    </row>
    <row customHeight="1" ht="21">
      <c r="C18" s="82"/>
      <c r="D18" s="2062" t="s">
        <v>293</v>
      </c>
      <c r="E18" s="2062"/>
      <c r="F18" s="2062"/>
      <c r="G18" s="2062"/>
      <c r="H18" s="2062"/>
      <c r="I18" s="2302" t="s">
        <v>294</v>
      </c>
    </row>
    <row customHeight="1" ht="21">
      <c r="C19" s="82"/>
      <c r="D19" s="91" t="s">
        <v>88</v>
      </c>
      <c r="E19" s="94" t="s">
        <v>295</v>
      </c>
      <c r="F19" s="94"/>
      <c r="G19" s="94" t="s">
        <v>296</v>
      </c>
      <c r="H19" s="94" t="s">
        <v>385</v>
      </c>
      <c r="I19" s="2302"/>
    </row>
    <row customHeight="1" ht="12" hidden="1">
      <c r="C20" s="82"/>
      <c r="D20" s="72"/>
      <c r="E20" s="72"/>
      <c r="F20" s="72"/>
      <c r="G20" s="72"/>
      <c r="H20" s="72"/>
      <c r="I20" s="72"/>
    </row>
    <row customHeight="1" ht="14.25">
      <c r="A21" s="1723"/>
      <c r="C21" s="82"/>
      <c r="D21" s="133">
        <v>1</v>
      </c>
      <c r="E21" s="2304" t="s">
        <v>1035</v>
      </c>
      <c r="F21" s="2304"/>
      <c r="G21" s="2304"/>
      <c r="H21" s="2304"/>
      <c r="I21" s="194"/>
    </row>
    <row customHeight="1" ht="20.25">
      <c r="A22" s="1723"/>
      <c r="C22" s="82"/>
      <c r="D22" s="133" t="s">
        <v>924</v>
      </c>
      <c r="E22" s="180" t="s">
        <v>1036</v>
      </c>
      <c r="F22" s="184"/>
      <c r="G22" s="4404">
        <v>45286</v>
      </c>
      <c r="H22" s="184" t="s">
        <v>299</v>
      </c>
      <c r="I22" s="137" t="s">
        <v>1037</v>
      </c>
    </row>
    <row customHeight="1" ht="53.333333333333336">
      <c r="A23" s="1723"/>
      <c r="C23" s="82"/>
      <c r="D23" s="133" t="s">
        <v>926</v>
      </c>
      <c r="E23" s="180" t="s">
        <v>1038</v>
      </c>
      <c r="F23" s="184"/>
      <c r="G23" s="4405" t="s">
        <v>1039</v>
      </c>
      <c r="H23" s="199" t="s">
        <v>1040</v>
      </c>
      <c r="I23" s="244" t="s">
        <v>1041</v>
      </c>
    </row>
    <row customHeight="1" ht="44.166666666666664">
      <c r="A24" s="1723"/>
      <c r="B24" s="132">
        <v>3</v>
      </c>
      <c r="C24" s="82"/>
      <c r="D24" s="133">
        <v>2</v>
      </c>
      <c r="E24" s="208"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84"/>
      <c r="G24" s="184" t="s">
        <v>299</v>
      </c>
      <c r="H24" s="199" t="s">
        <v>1042</v>
      </c>
      <c r="I24" s="245" t="s">
        <v>791</v>
      </c>
    </row>
    <row customHeight="1" ht="46.5">
      <c r="A25" s="1723"/>
      <c r="C25" s="82"/>
      <c r="D25" s="133">
        <v>3</v>
      </c>
      <c r="E25" s="2303"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303"/>
      <c r="G25" s="2303"/>
      <c r="H25" s="2303"/>
      <c r="I25" s="242"/>
    </row>
    <row customHeight="1" ht="37.5">
      <c r="A26" s="1723"/>
      <c r="C26" s="82"/>
      <c r="D26" s="133" t="s">
        <v>319</v>
      </c>
      <c r="E26" s="185" t="s">
        <v>1043</v>
      </c>
      <c r="F26" s="184"/>
      <c r="G26" s="184" t="s">
        <v>299</v>
      </c>
      <c r="H26" s="199" t="s">
        <v>1044</v>
      </c>
      <c r="I26" s="2015" t="s">
        <v>1045</v>
      </c>
    </row>
    <row customHeight="1" ht="15">
      <c r="A27" s="1723" t="s">
        <v>110</v>
      </c>
      <c r="C27" s="82"/>
      <c r="D27" s="95"/>
      <c r="E27" s="189" t="s">
        <v>1025</v>
      </c>
      <c r="F27" s="190"/>
      <c r="G27" s="190"/>
      <c r="H27" s="187"/>
      <c r="I27" s="2017"/>
    </row>
    <row customHeight="1" ht="38.25">
      <c r="A28" s="1723"/>
      <c r="B28" s="132">
        <v>3</v>
      </c>
      <c r="C28" s="82"/>
      <c r="D28" s="133">
        <v>4</v>
      </c>
      <c r="E28" s="2303"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303"/>
      <c r="G28" s="2303"/>
      <c r="H28" s="2303"/>
      <c r="I28" s="242"/>
    </row>
    <row customHeight="1" ht="188.33333333333334">
      <c r="A29" s="1723"/>
      <c r="C29" s="82"/>
      <c r="D29" s="133" t="s">
        <v>655</v>
      </c>
      <c r="E29" s="191" t="s">
        <v>1030</v>
      </c>
      <c r="F29" s="184"/>
      <c r="G29" s="243" t="s">
        <v>1046</v>
      </c>
      <c r="H29" s="184" t="s">
        <v>299</v>
      </c>
      <c r="I29" s="2015" t="s">
        <v>1047</v>
      </c>
    </row>
    <row customHeight="1" ht="15">
      <c r="A30" s="1723" t="s">
        <v>111</v>
      </c>
      <c r="C30" s="82"/>
      <c r="D30" s="95"/>
      <c r="E30" s="189" t="s">
        <v>1025</v>
      </c>
      <c r="F30" s="190"/>
      <c r="G30" s="190"/>
      <c r="H30" s="187"/>
      <c r="I30" s="2017"/>
    </row>
    <row customHeight="1" ht="30">
      <c r="A31" s="1723"/>
      <c r="B31" s="132">
        <v>3</v>
      </c>
      <c r="C31" s="82"/>
      <c r="D31" s="133">
        <v>5</v>
      </c>
      <c r="E31" s="2303"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303"/>
      <c r="G31" s="2303"/>
      <c r="H31" s="2303"/>
      <c r="I31" s="242"/>
    </row>
    <row customHeight="1" ht="26.25">
      <c r="A32" s="1723"/>
      <c r="C32" s="82"/>
      <c r="D32" s="133" t="s">
        <v>308</v>
      </c>
      <c r="E32" s="2245"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245"/>
      <c r="G32" s="2245"/>
      <c r="H32" s="2245"/>
      <c r="I32" s="242"/>
    </row>
    <row customHeight="1" ht="14.25">
      <c r="A33" s="1723"/>
      <c r="C33" s="82"/>
      <c r="D33" s="133" t="s">
        <v>1048</v>
      </c>
      <c r="E33" s="192" t="s">
        <v>1031</v>
      </c>
      <c r="F33" s="184"/>
      <c r="G33" s="243">
        <v>83956397376</v>
      </c>
      <c r="H33" s="184" t="s">
        <v>299</v>
      </c>
      <c r="I33" s="2015" t="s">
        <v>1049</v>
      </c>
    </row>
    <row customHeight="1" ht="15">
      <c r="A34" s="1723" t="s">
        <v>90</v>
      </c>
      <c r="C34" s="82"/>
      <c r="D34" s="95"/>
      <c r="E34" s="190" t="s">
        <v>1025</v>
      </c>
      <c r="F34" s="186"/>
      <c r="G34" s="186"/>
      <c r="H34" s="187"/>
      <c r="I34" s="2017"/>
    </row>
    <row customHeight="1" ht="24">
      <c r="A35" s="1723"/>
      <c r="C35" s="82"/>
      <c r="D35" s="133" t="s">
        <v>310</v>
      </c>
      <c r="E35" s="2245"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245"/>
      <c r="G35" s="2245"/>
      <c r="H35" s="2245"/>
      <c r="I35" s="242"/>
    </row>
    <row customHeight="1" ht="14.25">
      <c r="A36" s="1723"/>
      <c r="C36" s="82"/>
      <c r="D36" s="133" t="s">
        <v>1050</v>
      </c>
      <c r="E36" s="192" t="s">
        <v>1032</v>
      </c>
      <c r="F36" s="184"/>
      <c r="G36" s="243" t="s">
        <v>1051</v>
      </c>
      <c r="H36" s="184" t="s">
        <v>299</v>
      </c>
      <c r="I36" s="1993" t="s">
        <v>1052</v>
      </c>
    </row>
    <row customHeight="1" ht="15">
      <c r="A37" s="1723" t="s">
        <v>91</v>
      </c>
      <c r="C37" s="82"/>
      <c r="D37" s="95"/>
      <c r="E37" s="190" t="s">
        <v>1025</v>
      </c>
      <c r="F37" s="186"/>
      <c r="G37" s="186"/>
      <c r="H37" s="187"/>
      <c r="I37" s="1993"/>
    </row>
    <row customHeight="1" ht="26.25">
      <c r="A38" s="1723"/>
      <c r="C38" s="82"/>
      <c r="D38" s="133" t="s">
        <v>313</v>
      </c>
      <c r="E38" s="2245"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245"/>
      <c r="G38" s="2245"/>
      <c r="H38" s="2245"/>
      <c r="I38" s="242"/>
    </row>
    <row customHeight="1" ht="14.25">
      <c r="A39" s="1723"/>
      <c r="C39" s="82"/>
      <c r="D39" s="133" t="s">
        <v>784</v>
      </c>
      <c r="E39" s="192" t="s">
        <v>1033</v>
      </c>
      <c r="F39" s="184"/>
      <c r="G39" s="193" t="s">
        <v>1053</v>
      </c>
      <c r="H39" s="184" t="s">
        <v>299</v>
      </c>
      <c r="I39" s="2015" t="s">
        <v>1054</v>
      </c>
      <c r="L39" s="141" t="s">
        <v>1034</v>
      </c>
    </row>
    <row customHeight="1" ht="15">
      <c r="A40" s="1723" t="s">
        <v>112</v>
      </c>
      <c r="C40" s="82"/>
      <c r="D40" s="95"/>
      <c r="E40" s="190" t="s">
        <v>1025</v>
      </c>
      <c r="F40" s="186"/>
      <c r="G40" s="186"/>
      <c r="H40" s="187"/>
      <c r="I40" s="2017"/>
    </row>
    <row s="4414" customFormat="1" customHeight="1" ht="3">
      <c r="A41" s="1723"/>
      <c r="K41" s="182"/>
      <c r="L41" s="182"/>
    </row>
    <row customHeight="1" ht="24.75">
      <c r="D42" s="1721" t="s">
        <v>706</v>
      </c>
      <c r="E42" s="2106"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106"/>
      <c r="G42" s="2106"/>
      <c r="H42" s="2106"/>
      <c r="I42" s="2106"/>
    </row>
  </sheetData>
  <sheetProtection formatColumns="0" formatRows="0" autoFilter="0" sort="0" insertRows="0" insertColumns="1" deleteRows="0" deleteColumns="0"/>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hyperlinks>
    <hyperlink ref="G23" r:id="rId2" tooltip="https://www.baikalenergo.ru/raskritii-inform/tayshet/list.php?SECTION_ID=43" xr:uid="{514E798D-2694-EED7-8814-099BE6924FEE}"/>
    <hyperlink ref="H23" r:id="rId3" tooltip="https://portal.eias.ru/Portal/DownloadPage.aspx?type=12&amp;guid=55ab0cfb-9610-4cc8-be53-6bcadaa526a6" xr:uid="{7163D477-7F36-ADE6-9D38-CD0894EA6B2F}"/>
    <hyperlink ref="H24" r:id="rId4" tooltip="https://portal.eias.ru/Portal/DownloadPage.aspx?type=12&amp;guid=a2772e86-84a5-4b0c-a419-bbfb8cb678cc" xr:uid="{94C7648B-56D6-2942-84D3-85D60F7D8FB7}"/>
    <hyperlink ref="H26" r:id="rId5" tooltip="https://portal.eias.ru/Portal/DownloadPage.aspx?type=12&amp;guid=ef793a0a-84b3-4b4c-a531-2d42b4e1119b" xr:uid="{222F2CFA-7687-92EE-63A6-7DD9860D3495}"/>
  </hyperlink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792265-E211-D892-810C-71610B858C13}" mc:Ignorable="x14ac xr xr2 xr3">
  <sheetPr>
    <tabColor theme="6" tint="0.4"/>
  </sheetPr>
  <dimension ref="A1:AG317"/>
  <sheetViews>
    <sheetView topLeftCell="A1" showGridLines="0" zoomScale="90" workbookViewId="0">
      <selection activeCell="A1" sqref="A1"/>
    </sheetView>
  </sheetViews>
  <sheetFormatPr defaultColWidth="10.57421875" customHeight="1" defaultRowHeight="14.25"/>
  <cols>
    <col min="1" max="2" style="4417" width="25.140625" hidden="1" customWidth="1"/>
    <col min="3" max="3" style="3950" width="9.140625" hidden="1" customWidth="1"/>
    <col min="4" max="4" style="3371" width="3.7109375" customWidth="1"/>
    <col min="5" max="5" style="4453" width="6.28125" customWidth="1"/>
    <col min="6" max="6" style="4453" width="46.7109375" customWidth="1"/>
    <col min="7" max="7" style="4453" width="35.7109375" customWidth="1"/>
    <col min="8" max="8" style="4453" width="3.7109375" customWidth="1"/>
    <col min="9" max="10" style="4453" width="11.7109375" customWidth="1"/>
    <col min="11" max="12" style="4453" width="35.7109375" customWidth="1"/>
    <col min="13" max="13" style="4453" width="84.8515625" customWidth="1"/>
    <col min="14" max="14" style="4453" width="10.57421875"/>
    <col min="15" max="16" style="4377" width="10.57421875"/>
    <col min="17" max="33" style="4453" width="10.57421875"/>
  </cols>
  <sheetData>
    <row s="2948" customFormat="1" customHeight="1" ht="14.25" hidden="1">
      <c r="A1" s="1820"/>
      <c r="B1" s="1820"/>
      <c r="C1" s="369"/>
      <c r="D1" s="340"/>
      <c r="N1" s="1676">
        <f>_xlfn.IFERROR(MATCH("метод экономически обоснованных расходов (затрат)",OFFER_METHOD,0),0)</f>
        <v>0</v>
      </c>
      <c r="O1" s="1664"/>
      <c r="P1" s="1664"/>
      <c r="T1" s="837"/>
      <c r="AG1" s="241"/>
    </row>
    <row s="2948" customFormat="1" customHeight="1" ht="18.75" hidden="1">
      <c r="A2" s="1821" t="s">
        <v>156</v>
      </c>
      <c r="B2" s="1821" t="s">
        <v>157</v>
      </c>
      <c r="C2" s="369"/>
      <c r="D2" s="340"/>
      <c r="E2" s="1038"/>
      <c r="F2" s="1038"/>
      <c r="G2" s="2266" t="str">
        <f>INDEX(PT_DIFFERENTIATION_NTAR,MATCH(B2,PT_DIFFERENTIATION_NTAR_ID,0))</f>
        <v/>
      </c>
      <c r="H2" s="1907"/>
      <c r="I2" s="1779"/>
      <c r="J2" s="1814"/>
      <c r="K2" s="1908"/>
      <c r="L2" s="1907" t="s">
        <v>299</v>
      </c>
      <c r="M2" s="1918"/>
      <c r="N2" s="330"/>
      <c r="O2" s="1664"/>
      <c r="P2" s="1664"/>
    </row>
    <row s="2948" customFormat="1" customHeight="1" ht="18.75" hidden="1">
      <c r="A3" s="1821"/>
      <c r="B3" s="1821"/>
      <c r="C3" s="369" t="s">
        <v>1055</v>
      </c>
      <c r="D3" s="340"/>
      <c r="E3" s="1038"/>
      <c r="F3" s="1038"/>
      <c r="G3" s="2266"/>
      <c r="H3" s="1530"/>
      <c r="I3" s="657" t="s">
        <v>1056</v>
      </c>
      <c r="J3" s="577"/>
      <c r="K3" s="1530"/>
      <c r="L3" s="200"/>
      <c r="M3" s="1918"/>
      <c r="N3" s="330"/>
      <c r="O3" s="1664"/>
      <c r="P3" s="1664"/>
    </row>
    <row s="2948" customFormat="1" customHeight="1" ht="14.25" hidden="1">
      <c r="A4" s="1820"/>
      <c r="B4" s="1820"/>
      <c r="C4" s="369"/>
      <c r="D4" s="340"/>
      <c r="N4" s="1676">
        <f>_xlfn.IFERROR(MATCH("метод экономически обоснованных расходов (затрат)",OFFER_METHOD,0),0)</f>
        <v>0</v>
      </c>
      <c r="O4" s="1664"/>
      <c r="P4" s="1664"/>
      <c r="T4" s="837"/>
      <c r="AG4" s="241"/>
    </row>
    <row s="2948" customFormat="1" customHeight="1" ht="18.75" hidden="1">
      <c r="A5" s="1821" t="s">
        <v>156</v>
      </c>
      <c r="B5" s="1821" t="s">
        <v>157</v>
      </c>
      <c r="C5" s="369"/>
      <c r="D5" s="340"/>
      <c r="E5" s="1038"/>
      <c r="F5" s="1038"/>
      <c r="G5" s="2266" t="str">
        <f>INDEX(PT_DIFFERENTIATION_NTAR,MATCH(B5,PT_DIFFERENTIATION_NTAR_ID,0))</f>
        <v/>
      </c>
      <c r="H5" s="1907"/>
      <c r="I5" s="1779"/>
      <c r="J5" s="1814"/>
      <c r="K5" s="1819"/>
      <c r="L5" s="1907" t="s">
        <v>299</v>
      </c>
      <c r="M5" s="1918"/>
      <c r="N5" s="330"/>
      <c r="O5" s="1664"/>
      <c r="P5" s="1664"/>
    </row>
    <row s="2948" customFormat="1" customHeight="1" ht="18.75" hidden="1">
      <c r="A6" s="1821"/>
      <c r="B6" s="1821"/>
      <c r="C6" s="369" t="s">
        <v>1057</v>
      </c>
      <c r="D6" s="340"/>
      <c r="E6" s="1038"/>
      <c r="F6" s="1038"/>
      <c r="G6" s="2266"/>
      <c r="H6" s="1530"/>
      <c r="I6" s="657" t="s">
        <v>1056</v>
      </c>
      <c r="J6" s="577"/>
      <c r="K6" s="1530"/>
      <c r="L6" s="200"/>
      <c r="M6" s="1918"/>
      <c r="N6" s="330"/>
      <c r="O6" s="1664"/>
      <c r="P6" s="1664"/>
    </row>
    <row s="2948" customFormat="1" customHeight="1" ht="14.25" hidden="1">
      <c r="A7" s="1820"/>
      <c r="B7" s="1820"/>
      <c r="C7" s="369"/>
      <c r="D7" s="340"/>
      <c r="N7" s="1676">
        <f>_xlfn.IFERROR(MATCH("метод экономически обоснованных расходов (затрат)",OFFER_METHOD,0),0)</f>
        <v>0</v>
      </c>
      <c r="O7" s="1664"/>
      <c r="P7" s="1664"/>
      <c r="T7" s="837"/>
      <c r="AG7" s="241"/>
    </row>
    <row s="2948" customFormat="1" customHeight="1" ht="56.25" hidden="1">
      <c r="A8" s="1821"/>
      <c r="B8" s="1821"/>
      <c r="C8" s="369"/>
      <c r="D8" s="340"/>
      <c r="E8" s="1038"/>
      <c r="F8" s="1038"/>
      <c r="G8" s="1038"/>
      <c r="H8" s="1812"/>
      <c r="I8" s="1779"/>
      <c r="J8" s="1814"/>
      <c r="K8" s="1908"/>
      <c r="L8" s="1812" t="s">
        <v>299</v>
      </c>
      <c r="M8" s="1918"/>
      <c r="N8" s="330"/>
      <c r="O8" s="1664"/>
      <c r="P8" s="1664"/>
    </row>
    <row customHeight="1" ht="14.25" hidden="1">
      <c r="T9" s="403"/>
      <c r="AG9" s="241"/>
    </row>
    <row s="2948" customFormat="1" customHeight="1" ht="56.25" hidden="1">
      <c r="A10" s="1821"/>
      <c r="B10" s="1821"/>
      <c r="C10" s="369"/>
      <c r="D10" s="340"/>
      <c r="E10" s="1038"/>
      <c r="F10" s="1038"/>
      <c r="G10" s="1038"/>
      <c r="H10" s="1811"/>
      <c r="I10" s="1779"/>
      <c r="J10" s="1814"/>
      <c r="K10" s="1819"/>
      <c r="L10" s="1812" t="s">
        <v>299</v>
      </c>
      <c r="M10" s="1918"/>
      <c r="N10" s="330"/>
      <c r="O10" s="1664"/>
      <c r="P10" s="1664"/>
    </row>
    <row customHeight="1" ht="14.25" hidden="1"/>
    <row customHeight="1" ht="14.25" hidden="1"/>
    <row customHeight="1" ht="6">
      <c r="D13" s="377"/>
      <c r="E13" s="361"/>
      <c r="F13" s="361"/>
      <c r="G13" s="361"/>
      <c r="H13" s="361"/>
      <c r="I13" s="361"/>
      <c r="J13" s="361"/>
      <c r="K13" s="361"/>
      <c r="L13" s="70"/>
      <c r="M13" s="70"/>
    </row>
    <row customHeight="1" ht="14.25">
      <c r="D14" s="377"/>
      <c r="E14" s="2305"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305"/>
      <c r="G14" s="2305"/>
      <c r="H14" s="2305"/>
      <c r="I14" s="2305"/>
      <c r="J14" s="2305"/>
      <c r="K14" s="2305"/>
      <c r="L14" s="2305"/>
      <c r="M14" s="206"/>
    </row>
    <row customHeight="1" ht="6">
      <c r="D15" s="377"/>
      <c r="E15" s="361"/>
      <c r="F15" s="395"/>
      <c r="G15" s="395"/>
      <c r="H15" s="395"/>
      <c r="I15" s="395"/>
      <c r="J15" s="395"/>
      <c r="K15" s="395"/>
      <c r="L15" s="316"/>
      <c r="M15" s="179"/>
    </row>
    <row customHeight="1" ht="18.75">
      <c r="D16" s="377"/>
      <c r="E16" s="361"/>
      <c r="F16" s="294" t="str">
        <f>"Дата подачи заявления об "&amp;IF(TITLE_DATE_PR_CHANGE="","утверждении","изменении")&amp;" тарифов"</f>
        <v>Дата подачи заявления об изменении тарифов</v>
      </c>
      <c r="G16" s="2099" t="str">
        <f>IF(TITLE_DATE_PR_CHANGE="",IF(TITLE_DATE_PR="","",TITLE_DATE_PR),TITLE_DATE_PR_CHANGE)</f>
        <v>45280.56123842593</v>
      </c>
      <c r="H16" s="2099"/>
      <c r="I16" s="2099"/>
      <c r="J16" s="2099"/>
      <c r="K16" s="2099"/>
      <c r="L16" s="2099"/>
      <c r="M16" s="404"/>
      <c r="N16" s="322"/>
    </row>
    <row customHeight="1" ht="18.75">
      <c r="D17" s="377"/>
      <c r="E17" s="361"/>
      <c r="F17" s="294" t="str">
        <f>"Номер подачи заявления об "&amp;IF(TITLE_DATE_PR_CHANGE="","утверждении","изменении")&amp;" тарифов"</f>
        <v>Номер подачи заявления об изменении тарифов</v>
      </c>
      <c r="G17" s="2100" t="str">
        <f>IF(TITLE_NUMBER_PR_CHANGE="",IF(TITLE_NUMBER_PR="","",TITLE_NUMBER_PR),TITLE_NUMBER_PR_CHANGE)</f>
        <v>79-477-спр</v>
      </c>
      <c r="H17" s="2100"/>
      <c r="I17" s="2100"/>
      <c r="J17" s="2100"/>
      <c r="K17" s="2100"/>
      <c r="L17" s="2100"/>
      <c r="M17" s="404"/>
      <c r="N17" s="322"/>
    </row>
    <row customHeight="1" ht="14.25">
      <c r="D18" s="377"/>
      <c r="E18" s="361"/>
      <c r="F18" s="395"/>
      <c r="G18" s="395"/>
      <c r="H18" s="395"/>
      <c r="I18" s="395"/>
      <c r="J18" s="395"/>
      <c r="K18" s="395"/>
      <c r="L18" s="758"/>
      <c r="M18" s="179"/>
    </row>
    <row customHeight="1" ht="21">
      <c r="D19" s="377"/>
      <c r="E19" s="2062" t="s">
        <v>293</v>
      </c>
      <c r="F19" s="2062"/>
      <c r="G19" s="2062"/>
      <c r="H19" s="2062"/>
      <c r="I19" s="2062"/>
      <c r="J19" s="2062"/>
      <c r="K19" s="2062"/>
      <c r="L19" s="2062"/>
      <c r="M19" s="2302" t="s">
        <v>294</v>
      </c>
    </row>
    <row customHeight="1" ht="21">
      <c r="D20" s="377"/>
      <c r="E20" s="2129" t="s">
        <v>88</v>
      </c>
      <c r="F20" s="2073" t="s">
        <v>123</v>
      </c>
      <c r="G20" s="2073" t="s">
        <v>124</v>
      </c>
      <c r="H20" s="2270" t="s">
        <v>1058</v>
      </c>
      <c r="I20" s="2274"/>
      <c r="J20" s="2271"/>
      <c r="K20" s="2073" t="s">
        <v>296</v>
      </c>
      <c r="L20" s="2073" t="s">
        <v>385</v>
      </c>
      <c r="M20" s="2302"/>
    </row>
    <row customHeight="1" ht="21">
      <c r="D21" s="377"/>
      <c r="E21" s="2131"/>
      <c r="F21" s="2074"/>
      <c r="G21" s="2074"/>
      <c r="H21" s="2068" t="s">
        <v>1059</v>
      </c>
      <c r="I21" s="2084"/>
      <c r="J21" s="94" t="s">
        <v>1060</v>
      </c>
      <c r="K21" s="2074"/>
      <c r="L21" s="2074"/>
      <c r="M21" s="2302"/>
    </row>
    <row customHeight="1" ht="12">
      <c r="D22" s="377"/>
      <c r="E22" s="269"/>
      <c r="F22" s="269"/>
      <c r="G22" s="269"/>
      <c r="H22" s="2307"/>
      <c r="I22" s="2307"/>
      <c r="J22" s="269"/>
      <c r="K22" s="269"/>
      <c r="L22" s="269"/>
      <c r="M22" s="269"/>
    </row>
    <row customHeight="1" ht="18.75">
      <c r="A23" s="1821"/>
      <c r="B23" s="1821"/>
      <c r="D23" s="377"/>
      <c r="E23" s="1909" t="s">
        <v>110</v>
      </c>
      <c r="F23" s="2308" t="str">
        <f>"Предлагаемый метод регулирования"&amp;IF(TEMPLATE_SPHERE="HEAT"," в сфере "&amp;TEMPLATE_SPHERE_RUS,"")</f>
        <v>Предлагаемый метод регулирования в сфере теплоснабжения</v>
      </c>
      <c r="G23" s="2309"/>
      <c r="H23" s="2304"/>
      <c r="I23" s="2304"/>
      <c r="J23" s="2304"/>
      <c r="K23" s="2309" t="s">
        <v>299</v>
      </c>
      <c r="L23" s="2304"/>
      <c r="M23" s="1810"/>
      <c r="N23" s="330"/>
    </row>
    <row customHeight="1" ht="60.75" hidden="1">
      <c r="A24" s="1821" t="s">
        <v>156</v>
      </c>
      <c r="B24" s="1821" t="s">
        <v>157</v>
      </c>
      <c r="D24" s="2306"/>
      <c r="E24" s="2056"/>
      <c r="F24" s="2310"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266" t="str">
        <f>INDEX(PT_DIFFERENTIATION_NTAR,MATCH(B24,PT_DIFFERENTIATION_NTAR_ID,0))</f>
        <v/>
      </c>
      <c r="H24" s="1905"/>
      <c r="I24" s="1779"/>
      <c r="J24" s="1814"/>
      <c r="K24" s="1908"/>
      <c r="L24" s="1809" t="s">
        <v>299</v>
      </c>
      <c r="M24" s="201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0"/>
    </row>
    <row s="2948" customFormat="1" customHeight="1" ht="18.75" hidden="1">
      <c r="A25" s="1821"/>
      <c r="B25" s="1821"/>
      <c r="C25" s="369" t="s">
        <v>1055</v>
      </c>
      <c r="D25" s="2306"/>
      <c r="E25" s="2056"/>
      <c r="F25" s="2310"/>
      <c r="G25" s="2266"/>
      <c r="H25" s="1530"/>
      <c r="I25" s="657" t="s">
        <v>1056</v>
      </c>
      <c r="J25" s="577"/>
      <c r="K25" s="1530"/>
      <c r="L25" s="200"/>
      <c r="M25" s="2016"/>
      <c r="N25" s="330"/>
      <c r="O25" s="1664"/>
      <c r="P25" s="1664"/>
    </row>
    <row customHeight="1" ht="0.75" hidden="1">
      <c r="A26" s="1821"/>
      <c r="B26" s="1821"/>
      <c r="C26" s="369" t="s">
        <v>1061</v>
      </c>
      <c r="D26" s="2306"/>
      <c r="E26" s="2056"/>
      <c r="F26" s="2220"/>
      <c r="G26" s="406"/>
      <c r="H26" s="1530"/>
      <c r="I26" s="401"/>
      <c r="J26" s="345"/>
      <c r="K26" s="1530"/>
      <c r="L26" s="187"/>
      <c r="M26" s="2016"/>
      <c r="N26" s="330"/>
    </row>
    <row s="2948" customFormat="1" customHeight="1" ht="45" hidden="1">
      <c r="A27" s="1821" t="s">
        <v>162</v>
      </c>
      <c r="B27" s="1821" t="s">
        <v>163</v>
      </c>
      <c r="C27" s="369"/>
      <c r="D27" s="2311"/>
      <c r="E27" s="2312"/>
      <c r="F27" s="2313"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266" t="str">
        <f>INDEX(PT_DIFFERENTIATION_NTAR,MATCH(B27,PT_DIFFERENTIATION_NTAR_ID,0))</f>
        <v/>
      </c>
      <c r="H27" s="1905"/>
      <c r="I27" s="1779"/>
      <c r="J27" s="1814"/>
      <c r="K27" s="1908"/>
      <c r="L27" s="1905" t="s">
        <v>299</v>
      </c>
      <c r="M27" s="2016"/>
      <c r="N27" s="330"/>
      <c r="O27" s="1664"/>
      <c r="P27" s="1664"/>
    </row>
    <row s="2948" customFormat="1" customHeight="1" ht="18.75" hidden="1">
      <c r="A28" s="1821"/>
      <c r="B28" s="1821"/>
      <c r="C28" s="369" t="s">
        <v>1055</v>
      </c>
      <c r="D28" s="2311"/>
      <c r="E28" s="2312"/>
      <c r="F28" s="2313"/>
      <c r="G28" s="2266"/>
      <c r="H28" s="1530"/>
      <c r="I28" s="657" t="s">
        <v>1056</v>
      </c>
      <c r="J28" s="577"/>
      <c r="K28" s="1530"/>
      <c r="L28" s="200"/>
      <c r="M28" s="2016"/>
      <c r="N28" s="330"/>
      <c r="O28" s="1664"/>
      <c r="P28" s="1664"/>
    </row>
    <row s="2948" customFormat="1" customHeight="1" ht="0.75" hidden="1">
      <c r="A29" s="1821"/>
      <c r="B29" s="1821"/>
      <c r="C29" s="369" t="s">
        <v>1061</v>
      </c>
      <c r="D29" s="2311"/>
      <c r="E29" s="2056"/>
      <c r="F29" s="2220"/>
      <c r="G29" s="406"/>
      <c r="H29" s="1530"/>
      <c r="I29" s="657"/>
      <c r="J29" s="577"/>
      <c r="K29" s="1530"/>
      <c r="L29" s="200"/>
      <c r="M29" s="2016"/>
      <c r="N29" s="330"/>
      <c r="O29" s="1664"/>
      <c r="P29" s="1664"/>
    </row>
    <row s="2948" customFormat="1" customHeight="1" ht="45" hidden="1">
      <c r="A30" s="1821" t="s">
        <v>168</v>
      </c>
      <c r="B30" s="1821" t="s">
        <v>169</v>
      </c>
      <c r="C30" s="369"/>
      <c r="D30" s="2311"/>
      <c r="E30" s="2056"/>
      <c r="F30" s="2220"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266" t="str">
        <f>INDEX(PT_DIFFERENTIATION_NTAR,MATCH(B30,PT_DIFFERENTIATION_NTAR_ID,0))</f>
        <v/>
      </c>
      <c r="H30" s="1905"/>
      <c r="I30" s="1779"/>
      <c r="J30" s="1814"/>
      <c r="K30" s="1908"/>
      <c r="L30" s="1905" t="s">
        <v>299</v>
      </c>
      <c r="M30" s="2016"/>
      <c r="N30" s="330"/>
      <c r="O30" s="1664"/>
      <c r="P30" s="1664"/>
    </row>
    <row s="2948" customFormat="1" customHeight="1" ht="18.75" hidden="1">
      <c r="A31" s="1821"/>
      <c r="B31" s="1821"/>
      <c r="C31" s="369" t="s">
        <v>1055</v>
      </c>
      <c r="D31" s="2311"/>
      <c r="E31" s="2056"/>
      <c r="F31" s="2220"/>
      <c r="G31" s="2266"/>
      <c r="H31" s="1530"/>
      <c r="I31" s="657" t="s">
        <v>1056</v>
      </c>
      <c r="J31" s="577"/>
      <c r="K31" s="1530"/>
      <c r="L31" s="200"/>
      <c r="M31" s="2016"/>
      <c r="N31" s="330"/>
      <c r="O31" s="1664"/>
      <c r="P31" s="1664"/>
    </row>
    <row s="2948" customFormat="1" customHeight="1" ht="0.75" hidden="1">
      <c r="A32" s="1821"/>
      <c r="B32" s="1821"/>
      <c r="C32" s="369" t="s">
        <v>1061</v>
      </c>
      <c r="D32" s="2311"/>
      <c r="E32" s="2056"/>
      <c r="F32" s="2220"/>
      <c r="G32" s="406"/>
      <c r="H32" s="1530"/>
      <c r="I32" s="657"/>
      <c r="J32" s="577"/>
      <c r="K32" s="1530"/>
      <c r="L32" s="200"/>
      <c r="M32" s="2016"/>
      <c r="N32" s="330"/>
      <c r="O32" s="1664"/>
      <c r="P32" s="1664"/>
    </row>
    <row s="2948" customFormat="1" customHeight="1" ht="45" hidden="1">
      <c r="A33" s="1821" t="s">
        <v>176</v>
      </c>
      <c r="B33" s="1821" t="s">
        <v>177</v>
      </c>
      <c r="C33" s="369"/>
      <c r="D33" s="2311"/>
      <c r="E33" s="2056"/>
      <c r="F33" s="2220"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266" t="str">
        <f>INDEX(PT_DIFFERENTIATION_NTAR,MATCH(B33,PT_DIFFERENTIATION_NTAR_ID,0))</f>
        <v>Долгосрочный тариф на горячую воду, поставляемую потребителям с использованием открытой системы теплоснабжения</v>
      </c>
      <c r="H33" s="1905"/>
      <c r="I33" s="1779"/>
      <c r="J33" s="1814"/>
      <c r="K33" s="1908"/>
      <c r="L33" s="1905" t="s">
        <v>299</v>
      </c>
      <c r="M33" s="2016"/>
      <c r="N33" s="330"/>
      <c r="O33" s="1664"/>
      <c r="P33" s="1664"/>
    </row>
    <row s="2948" customFormat="1" customHeight="1" ht="18.75" hidden="1">
      <c r="A34" s="1821"/>
      <c r="B34" s="1821"/>
      <c r="C34" s="369" t="s">
        <v>1055</v>
      </c>
      <c r="D34" s="2311"/>
      <c r="E34" s="2056"/>
      <c r="F34" s="2220"/>
      <c r="G34" s="2266"/>
      <c r="H34" s="1530"/>
      <c r="I34" s="657" t="s">
        <v>1056</v>
      </c>
      <c r="J34" s="577"/>
      <c r="K34" s="1530"/>
      <c r="L34" s="200"/>
      <c r="M34" s="2016"/>
      <c r="N34" s="330"/>
      <c r="O34" s="1664"/>
      <c r="P34" s="1664"/>
    </row>
    <row s="2948" customFormat="1" customHeight="1" ht="0.75" hidden="1">
      <c r="A35" s="1821"/>
      <c r="B35" s="1821"/>
      <c r="C35" s="369" t="s">
        <v>1061</v>
      </c>
      <c r="D35" s="2311"/>
      <c r="E35" s="2056"/>
      <c r="F35" s="2220"/>
      <c r="G35" s="406"/>
      <c r="H35" s="1530"/>
      <c r="I35" s="657"/>
      <c r="J35" s="577"/>
      <c r="K35" s="1530"/>
      <c r="L35" s="200"/>
      <c r="M35" s="2016"/>
      <c r="N35" s="330"/>
      <c r="O35" s="1664"/>
      <c r="P35" s="1664"/>
    </row>
    <row s="2948" customFormat="1" customHeight="1" ht="18.75" hidden="1">
      <c r="A36" s="1821" t="s">
        <v>186</v>
      </c>
      <c r="B36" s="1821" t="s">
        <v>187</v>
      </c>
      <c r="C36" s="369"/>
      <c r="D36" s="2311"/>
      <c r="E36" s="2056"/>
      <c r="F36" s="2220" t="str">
        <f>INDEX(PT_DIFFERENTIATION_VTAR,MATCH(A36,PT_DIFFERENTIATION_VTAR_ID,0))</f>
        <v>Тарифы на услуги по передаче тепловой энергии</v>
      </c>
      <c r="G36" s="2266" t="str">
        <f>INDEX(PT_DIFFERENTIATION_NTAR,MATCH(B36,PT_DIFFERENTIATION_NTAR_ID,0))</f>
        <v/>
      </c>
      <c r="H36" s="1905"/>
      <c r="I36" s="1779"/>
      <c r="J36" s="1814"/>
      <c r="K36" s="1908"/>
      <c r="L36" s="1905" t="s">
        <v>299</v>
      </c>
      <c r="M36" s="2016"/>
      <c r="N36" s="330"/>
      <c r="O36" s="1664"/>
      <c r="P36" s="1664"/>
    </row>
    <row s="2948" customFormat="1" customHeight="1" ht="18.75" hidden="1">
      <c r="A37" s="1821"/>
      <c r="B37" s="1821"/>
      <c r="C37" s="369" t="s">
        <v>1055</v>
      </c>
      <c r="D37" s="2311"/>
      <c r="E37" s="2056"/>
      <c r="F37" s="2220"/>
      <c r="G37" s="2266"/>
      <c r="H37" s="1530"/>
      <c r="I37" s="657" t="s">
        <v>1056</v>
      </c>
      <c r="J37" s="577"/>
      <c r="K37" s="1530"/>
      <c r="L37" s="200"/>
      <c r="M37" s="2016"/>
      <c r="N37" s="330"/>
      <c r="O37" s="1664"/>
      <c r="P37" s="1664"/>
    </row>
    <row s="2948" customFormat="1" customHeight="1" ht="0.75" hidden="1">
      <c r="A38" s="1821"/>
      <c r="B38" s="1821"/>
      <c r="C38" s="369" t="s">
        <v>1061</v>
      </c>
      <c r="D38" s="2311"/>
      <c r="E38" s="2056"/>
      <c r="F38" s="2220"/>
      <c r="G38" s="406"/>
      <c r="H38" s="1530"/>
      <c r="I38" s="657"/>
      <c r="J38" s="577"/>
      <c r="K38" s="1530"/>
      <c r="L38" s="200"/>
      <c r="M38" s="2016"/>
      <c r="N38" s="330"/>
      <c r="O38" s="1664"/>
      <c r="P38" s="1664"/>
    </row>
    <row s="2948" customFormat="1" customHeight="1" ht="18.75" hidden="1">
      <c r="A39" s="1821" t="s">
        <v>192</v>
      </c>
      <c r="B39" s="1821" t="s">
        <v>193</v>
      </c>
      <c r="C39" s="369"/>
      <c r="D39" s="2311"/>
      <c r="E39" s="2056"/>
      <c r="F39" s="2220" t="str">
        <f>INDEX(PT_DIFFERENTIATION_VTAR,MATCH(A39,PT_DIFFERENTIATION_VTAR_ID,0))</f>
        <v>Тарифы на услуги по передаче теплоносителя</v>
      </c>
      <c r="G39" s="2266" t="str">
        <f>INDEX(PT_DIFFERENTIATION_NTAR,MATCH(B39,PT_DIFFERENTIATION_NTAR_ID,0))</f>
        <v/>
      </c>
      <c r="H39" s="1905"/>
      <c r="I39" s="1779"/>
      <c r="J39" s="1814"/>
      <c r="K39" s="1908"/>
      <c r="L39" s="1905" t="s">
        <v>299</v>
      </c>
      <c r="M39" s="2016"/>
      <c r="N39" s="330"/>
      <c r="O39" s="1664"/>
      <c r="P39" s="1664"/>
    </row>
    <row s="2948" customFormat="1" customHeight="1" ht="18.75" hidden="1">
      <c r="A40" s="1821"/>
      <c r="B40" s="1821"/>
      <c r="C40" s="369" t="s">
        <v>1055</v>
      </c>
      <c r="D40" s="2311"/>
      <c r="E40" s="2056"/>
      <c r="F40" s="2220"/>
      <c r="G40" s="2266"/>
      <c r="H40" s="1530"/>
      <c r="I40" s="657" t="s">
        <v>1056</v>
      </c>
      <c r="J40" s="577"/>
      <c r="K40" s="1530"/>
      <c r="L40" s="200"/>
      <c r="M40" s="2016"/>
      <c r="N40" s="330"/>
      <c r="O40" s="1664"/>
      <c r="P40" s="1664"/>
    </row>
    <row s="2948" customFormat="1" customHeight="1" ht="0.75" hidden="1">
      <c r="A41" s="1821"/>
      <c r="B41" s="1821"/>
      <c r="C41" s="369" t="s">
        <v>1061</v>
      </c>
      <c r="D41" s="2311"/>
      <c r="E41" s="2056"/>
      <c r="F41" s="2220"/>
      <c r="G41" s="406"/>
      <c r="H41" s="1530"/>
      <c r="I41" s="657"/>
      <c r="J41" s="577"/>
      <c r="K41" s="1530"/>
      <c r="L41" s="200"/>
      <c r="M41" s="2016"/>
      <c r="N41" s="330"/>
      <c r="O41" s="1664"/>
      <c r="P41" s="1664"/>
    </row>
    <row s="2948" customFormat="1" customHeight="1" ht="18.75" hidden="1">
      <c r="A42" s="1821" t="s">
        <v>198</v>
      </c>
      <c r="B42" s="1821" t="s">
        <v>199</v>
      </c>
      <c r="C42" s="369"/>
      <c r="D42" s="2311"/>
      <c r="E42" s="2056"/>
      <c r="F42" s="2220" t="str">
        <f>INDEX(PT_DIFFERENTIATION_VTAR,MATCH(A42,PT_DIFFERENTIATION_VTAR_ID,0))</f>
        <v>Плата за услуги по поддержанию резервной тепловой мощности при отсутствии потребления тепловой энергии</v>
      </c>
      <c r="G42" s="2266" t="str">
        <f>INDEX(PT_DIFFERENTIATION_NTAR,MATCH(B42,PT_DIFFERENTIATION_NTAR_ID,0))</f>
        <v/>
      </c>
      <c r="H42" s="1905"/>
      <c r="I42" s="1779"/>
      <c r="J42" s="1814"/>
      <c r="K42" s="1908"/>
      <c r="L42" s="1905" t="s">
        <v>299</v>
      </c>
      <c r="M42" s="2016"/>
      <c r="N42" s="330"/>
      <c r="O42" s="1664"/>
      <c r="P42" s="1664"/>
    </row>
    <row s="2948" customFormat="1" customHeight="1" ht="18.75" hidden="1">
      <c r="A43" s="1821"/>
      <c r="B43" s="1821"/>
      <c r="C43" s="369" t="s">
        <v>1055</v>
      </c>
      <c r="D43" s="2311"/>
      <c r="E43" s="2056"/>
      <c r="F43" s="2220"/>
      <c r="G43" s="2266"/>
      <c r="H43" s="1530"/>
      <c r="I43" s="657" t="s">
        <v>1056</v>
      </c>
      <c r="J43" s="577"/>
      <c r="K43" s="1530"/>
      <c r="L43" s="200"/>
      <c r="M43" s="2016"/>
      <c r="N43" s="330"/>
      <c r="O43" s="1664"/>
      <c r="P43" s="1664"/>
    </row>
    <row s="2948" customFormat="1" customHeight="1" ht="0.75" hidden="1">
      <c r="A44" s="1821"/>
      <c r="B44" s="1821"/>
      <c r="C44" s="369" t="s">
        <v>1061</v>
      </c>
      <c r="D44" s="2311"/>
      <c r="E44" s="2056"/>
      <c r="F44" s="2220"/>
      <c r="G44" s="406"/>
      <c r="H44" s="1530"/>
      <c r="I44" s="657"/>
      <c r="J44" s="577"/>
      <c r="K44" s="1530"/>
      <c r="L44" s="200"/>
      <c r="M44" s="2016"/>
      <c r="N44" s="330"/>
      <c r="O44" s="1664"/>
      <c r="P44" s="1664"/>
    </row>
    <row s="2948" customFormat="1" customHeight="1" ht="18.75" hidden="1">
      <c r="A45" s="1821" t="s">
        <v>204</v>
      </c>
      <c r="B45" s="1821" t="s">
        <v>205</v>
      </c>
      <c r="C45" s="369"/>
      <c r="D45" s="2311"/>
      <c r="E45" s="2056"/>
      <c r="F45" s="2220" t="str">
        <f>INDEX(PT_DIFFERENTIATION_VTAR,MATCH(A45,PT_DIFFERENTIATION_VTAR_ID,0))</f>
        <v>Плата за подключение (технологическое присоединение) к системе теплоснабжения</v>
      </c>
      <c r="G45" s="2266" t="str">
        <f>INDEX(PT_DIFFERENTIATION_NTAR,MATCH(B45,PT_DIFFERENTIATION_NTAR_ID,0))</f>
        <v/>
      </c>
      <c r="H45" s="1905"/>
      <c r="I45" s="1779"/>
      <c r="J45" s="1814"/>
      <c r="K45" s="1908"/>
      <c r="L45" s="1905" t="s">
        <v>299</v>
      </c>
      <c r="M45" s="2016"/>
      <c r="N45" s="330"/>
      <c r="O45" s="1664"/>
      <c r="P45" s="1664"/>
    </row>
    <row s="2948" customFormat="1" customHeight="1" ht="18.75" hidden="1">
      <c r="A46" s="1821"/>
      <c r="B46" s="1821"/>
      <c r="C46" s="369" t="s">
        <v>1055</v>
      </c>
      <c r="D46" s="2311"/>
      <c r="E46" s="2056"/>
      <c r="F46" s="2220"/>
      <c r="G46" s="2266"/>
      <c r="H46" s="1530"/>
      <c r="I46" s="657" t="s">
        <v>1056</v>
      </c>
      <c r="J46" s="577"/>
      <c r="K46" s="1530"/>
      <c r="L46" s="200"/>
      <c r="M46" s="2016"/>
      <c r="N46" s="330"/>
      <c r="O46" s="1664"/>
      <c r="P46" s="1664"/>
    </row>
    <row s="2948" customFormat="1" customHeight="1" ht="0.75" hidden="1">
      <c r="A47" s="1821"/>
      <c r="B47" s="1821"/>
      <c r="C47" s="369" t="s">
        <v>1061</v>
      </c>
      <c r="D47" s="2311"/>
      <c r="E47" s="2056"/>
      <c r="F47" s="2220"/>
      <c r="G47" s="406"/>
      <c r="H47" s="1530"/>
      <c r="I47" s="657"/>
      <c r="J47" s="577"/>
      <c r="K47" s="1530"/>
      <c r="L47" s="200"/>
      <c r="M47" s="2016"/>
      <c r="N47" s="330"/>
      <c r="O47" s="1664"/>
      <c r="P47" s="1664"/>
    </row>
    <row s="2948" customFormat="1" customHeight="1" ht="18.75" hidden="1">
      <c r="A48" s="1821" t="s">
        <v>218</v>
      </c>
      <c r="B48" s="1821" t="s">
        <v>219</v>
      </c>
      <c r="C48" s="369"/>
      <c r="D48" s="2311"/>
      <c r="E48" s="2056"/>
      <c r="F48" s="2220" t="str">
        <f>INDEX(PT_DIFFERENTIATION_VTAR,MATCH(A48,PT_DIFFERENTIATION_VTAR_ID,0))</f>
        <v>Тариф на питьевую воду (питьевое водоснабжение)</v>
      </c>
      <c r="G48" s="2266" t="str">
        <f>INDEX(PT_DIFFERENTIATION_NTAR,MATCH(B48,PT_DIFFERENTIATION_NTAR_ID,0))</f>
        <v/>
      </c>
      <c r="H48" s="1905"/>
      <c r="I48" s="1779"/>
      <c r="J48" s="1814"/>
      <c r="K48" s="1908"/>
      <c r="L48" s="1905" t="s">
        <v>299</v>
      </c>
      <c r="M48" s="2016"/>
      <c r="N48" s="330"/>
      <c r="O48" s="1664"/>
      <c r="P48" s="1664"/>
    </row>
    <row s="2948" customFormat="1" customHeight="1" ht="18.75" hidden="1">
      <c r="A49" s="1821"/>
      <c r="B49" s="1821"/>
      <c r="C49" s="369" t="s">
        <v>1055</v>
      </c>
      <c r="D49" s="2311"/>
      <c r="E49" s="2056"/>
      <c r="F49" s="2220"/>
      <c r="G49" s="2266"/>
      <c r="H49" s="1530"/>
      <c r="I49" s="657" t="s">
        <v>1056</v>
      </c>
      <c r="J49" s="577"/>
      <c r="K49" s="1530"/>
      <c r="L49" s="200"/>
      <c r="M49" s="2016"/>
      <c r="N49" s="330"/>
      <c r="O49" s="1664"/>
      <c r="P49" s="1664"/>
    </row>
    <row s="2948" customFormat="1" customHeight="1" ht="0.75" hidden="1">
      <c r="A50" s="1821"/>
      <c r="B50" s="1821"/>
      <c r="C50" s="369" t="s">
        <v>1061</v>
      </c>
      <c r="D50" s="2311"/>
      <c r="E50" s="2056"/>
      <c r="F50" s="2220"/>
      <c r="G50" s="406"/>
      <c r="H50" s="1530"/>
      <c r="I50" s="657"/>
      <c r="J50" s="577"/>
      <c r="K50" s="1530"/>
      <c r="L50" s="200"/>
      <c r="M50" s="2016"/>
      <c r="N50" s="330"/>
      <c r="O50" s="1664"/>
      <c r="P50" s="1664"/>
    </row>
    <row s="2948" customFormat="1" customHeight="1" ht="18.75" hidden="1">
      <c r="A51" s="1821" t="s">
        <v>223</v>
      </c>
      <c r="B51" s="1821" t="s">
        <v>224</v>
      </c>
      <c r="C51" s="369"/>
      <c r="D51" s="2311"/>
      <c r="E51" s="2056"/>
      <c r="F51" s="2220" t="str">
        <f>INDEX(PT_DIFFERENTIATION_VTAR,MATCH(A51,PT_DIFFERENTIATION_VTAR_ID,0))</f>
        <v>Тариф на техническую воду</v>
      </c>
      <c r="G51" s="2266" t="str">
        <f>INDEX(PT_DIFFERENTIATION_NTAR,MATCH(B51,PT_DIFFERENTIATION_NTAR_ID,0))</f>
        <v/>
      </c>
      <c r="H51" s="1905"/>
      <c r="I51" s="1779"/>
      <c r="J51" s="1814"/>
      <c r="K51" s="1908"/>
      <c r="L51" s="1905" t="s">
        <v>299</v>
      </c>
      <c r="M51" s="2016"/>
      <c r="N51" s="330"/>
      <c r="O51" s="1664"/>
      <c r="P51" s="1664"/>
    </row>
    <row s="2948" customFormat="1" customHeight="1" ht="18.75" hidden="1">
      <c r="A52" s="1821"/>
      <c r="B52" s="1821"/>
      <c r="C52" s="369" t="s">
        <v>1055</v>
      </c>
      <c r="D52" s="2311"/>
      <c r="E52" s="2056"/>
      <c r="F52" s="2220"/>
      <c r="G52" s="2266"/>
      <c r="H52" s="1530"/>
      <c r="I52" s="657" t="s">
        <v>1056</v>
      </c>
      <c r="J52" s="577"/>
      <c r="K52" s="1530"/>
      <c r="L52" s="200"/>
      <c r="M52" s="2016"/>
      <c r="N52" s="330"/>
      <c r="O52" s="1664"/>
      <c r="P52" s="1664"/>
    </row>
    <row s="2948" customFormat="1" customHeight="1" ht="0.75" hidden="1">
      <c r="A53" s="1821"/>
      <c r="B53" s="1821"/>
      <c r="C53" s="369" t="s">
        <v>1061</v>
      </c>
      <c r="D53" s="2311"/>
      <c r="E53" s="2056"/>
      <c r="F53" s="2220"/>
      <c r="G53" s="406"/>
      <c r="H53" s="1530"/>
      <c r="I53" s="657"/>
      <c r="J53" s="577"/>
      <c r="K53" s="1530"/>
      <c r="L53" s="200"/>
      <c r="M53" s="2016"/>
      <c r="N53" s="330"/>
      <c r="O53" s="1664"/>
      <c r="P53" s="1664"/>
    </row>
    <row s="2948" customFormat="1" customHeight="1" ht="18.75" hidden="1">
      <c r="A54" s="1821" t="s">
        <v>228</v>
      </c>
      <c r="B54" s="1821" t="s">
        <v>229</v>
      </c>
      <c r="C54" s="369"/>
      <c r="D54" s="2311"/>
      <c r="E54" s="2056"/>
      <c r="F54" s="2220" t="str">
        <f>INDEX(PT_DIFFERENTIATION_VTAR,MATCH(A54,PT_DIFFERENTIATION_VTAR_ID,0))</f>
        <v>Тариф на транспортировку воды</v>
      </c>
      <c r="G54" s="2266" t="str">
        <f>INDEX(PT_DIFFERENTIATION_NTAR,MATCH(B54,PT_DIFFERENTIATION_NTAR_ID,0))</f>
        <v/>
      </c>
      <c r="H54" s="1905"/>
      <c r="I54" s="1779"/>
      <c r="J54" s="1814"/>
      <c r="K54" s="1908"/>
      <c r="L54" s="1905" t="s">
        <v>299</v>
      </c>
      <c r="M54" s="2016"/>
      <c r="N54" s="330"/>
      <c r="O54" s="1664"/>
      <c r="P54" s="1664"/>
    </row>
    <row s="2948" customFormat="1" customHeight="1" ht="18.75" hidden="1">
      <c r="A55" s="1821"/>
      <c r="B55" s="1821"/>
      <c r="C55" s="369" t="s">
        <v>1055</v>
      </c>
      <c r="D55" s="2311"/>
      <c r="E55" s="2056"/>
      <c r="F55" s="2220"/>
      <c r="G55" s="2266"/>
      <c r="H55" s="1530"/>
      <c r="I55" s="657" t="s">
        <v>1056</v>
      </c>
      <c r="J55" s="577"/>
      <c r="K55" s="1530"/>
      <c r="L55" s="200"/>
      <c r="M55" s="2016"/>
      <c r="N55" s="330"/>
      <c r="O55" s="1664"/>
      <c r="P55" s="1664"/>
    </row>
    <row s="2948" customFormat="1" customHeight="1" ht="0.75" hidden="1">
      <c r="A56" s="1821"/>
      <c r="B56" s="1821"/>
      <c r="C56" s="369" t="s">
        <v>1061</v>
      </c>
      <c r="D56" s="2311"/>
      <c r="E56" s="2056"/>
      <c r="F56" s="2220"/>
      <c r="G56" s="406"/>
      <c r="H56" s="1530"/>
      <c r="I56" s="657"/>
      <c r="J56" s="577"/>
      <c r="K56" s="1530"/>
      <c r="L56" s="200"/>
      <c r="M56" s="2016"/>
      <c r="N56" s="330"/>
      <c r="O56" s="1664"/>
      <c r="P56" s="1664"/>
    </row>
    <row s="2948" customFormat="1" customHeight="1" ht="18.75" hidden="1">
      <c r="A57" s="1821" t="s">
        <v>233</v>
      </c>
      <c r="B57" s="1821" t="s">
        <v>234</v>
      </c>
      <c r="C57" s="369"/>
      <c r="D57" s="2311"/>
      <c r="E57" s="2056"/>
      <c r="F57" s="2220" t="str">
        <f>INDEX(PT_DIFFERENTIATION_VTAR,MATCH(A57,PT_DIFFERENTIATION_VTAR_ID,0))</f>
        <v>Тариф на подвоз воды</v>
      </c>
      <c r="G57" s="2266" t="str">
        <f>INDEX(PT_DIFFERENTIATION_NTAR,MATCH(B57,PT_DIFFERENTIATION_NTAR_ID,0))</f>
        <v/>
      </c>
      <c r="H57" s="1905"/>
      <c r="I57" s="1779"/>
      <c r="J57" s="1814"/>
      <c r="K57" s="1908"/>
      <c r="L57" s="1905" t="s">
        <v>299</v>
      </c>
      <c r="M57" s="2016"/>
      <c r="N57" s="330"/>
      <c r="O57" s="1664"/>
      <c r="P57" s="1664"/>
    </row>
    <row s="2948" customFormat="1" customHeight="1" ht="18.75" hidden="1">
      <c r="A58" s="1821"/>
      <c r="B58" s="1821"/>
      <c r="C58" s="369" t="s">
        <v>1055</v>
      </c>
      <c r="D58" s="2311"/>
      <c r="E58" s="2056"/>
      <c r="F58" s="2220"/>
      <c r="G58" s="2266"/>
      <c r="H58" s="1530"/>
      <c r="I58" s="657" t="s">
        <v>1056</v>
      </c>
      <c r="J58" s="577"/>
      <c r="K58" s="1530"/>
      <c r="L58" s="200"/>
      <c r="M58" s="2016"/>
      <c r="N58" s="330"/>
      <c r="O58" s="1664"/>
      <c r="P58" s="1664"/>
    </row>
    <row s="2948" customFormat="1" customHeight="1" ht="0.75" hidden="1">
      <c r="A59" s="1821"/>
      <c r="B59" s="1821"/>
      <c r="C59" s="369" t="s">
        <v>1061</v>
      </c>
      <c r="D59" s="2311"/>
      <c r="E59" s="2056"/>
      <c r="F59" s="2220"/>
      <c r="G59" s="406"/>
      <c r="H59" s="1530"/>
      <c r="I59" s="657"/>
      <c r="J59" s="577"/>
      <c r="K59" s="1530"/>
      <c r="L59" s="200"/>
      <c r="M59" s="2016"/>
      <c r="N59" s="330"/>
      <c r="O59" s="1664"/>
      <c r="P59" s="1664"/>
    </row>
    <row s="2948" customFormat="1" customHeight="1" ht="18.75" hidden="1">
      <c r="A60" s="1821" t="s">
        <v>238</v>
      </c>
      <c r="B60" s="1821" t="s">
        <v>239</v>
      </c>
      <c r="C60" s="369"/>
      <c r="D60" s="2311"/>
      <c r="E60" s="2056"/>
      <c r="F60" s="2220" t="str">
        <f>INDEX(PT_DIFFERENTIATION_VTAR,MATCH(A60,PT_DIFFERENTIATION_VTAR_ID,0))</f>
        <v>Тариф на подключение (технологическое присоединение) к централизованной системе холодного водоснабжения</v>
      </c>
      <c r="G60" s="2266" t="str">
        <f>INDEX(PT_DIFFERENTIATION_NTAR,MATCH(B60,PT_DIFFERENTIATION_NTAR_ID,0))</f>
        <v/>
      </c>
      <c r="H60" s="1905"/>
      <c r="I60" s="1779"/>
      <c r="J60" s="1814"/>
      <c r="K60" s="1908"/>
      <c r="L60" s="1905" t="s">
        <v>299</v>
      </c>
      <c r="M60" s="2016"/>
      <c r="N60" s="330"/>
      <c r="O60" s="1664"/>
      <c r="P60" s="1664"/>
    </row>
    <row s="2948" customFormat="1" customHeight="1" ht="18.75" hidden="1">
      <c r="A61" s="1821"/>
      <c r="B61" s="1821"/>
      <c r="C61" s="369" t="s">
        <v>1055</v>
      </c>
      <c r="D61" s="2311"/>
      <c r="E61" s="2056"/>
      <c r="F61" s="2220"/>
      <c r="G61" s="2266"/>
      <c r="H61" s="1530"/>
      <c r="I61" s="657" t="s">
        <v>1056</v>
      </c>
      <c r="J61" s="577"/>
      <c r="K61" s="1530"/>
      <c r="L61" s="200"/>
      <c r="M61" s="2016"/>
      <c r="N61" s="330"/>
      <c r="O61" s="1664"/>
      <c r="P61" s="1664"/>
    </row>
    <row s="2948" customFormat="1" customHeight="1" ht="0.75" hidden="1">
      <c r="A62" s="1821"/>
      <c r="B62" s="1821"/>
      <c r="C62" s="369" t="s">
        <v>1061</v>
      </c>
      <c r="D62" s="2311"/>
      <c r="E62" s="2056"/>
      <c r="F62" s="2220"/>
      <c r="G62" s="406"/>
      <c r="H62" s="1530"/>
      <c r="I62" s="657"/>
      <c r="J62" s="577"/>
      <c r="K62" s="1530"/>
      <c r="L62" s="200"/>
      <c r="M62" s="2016"/>
      <c r="N62" s="330"/>
      <c r="O62" s="1664"/>
      <c r="P62" s="1664"/>
    </row>
    <row s="2948" customFormat="1" customHeight="1" ht="18.75" hidden="1">
      <c r="A63" s="1821" t="s">
        <v>243</v>
      </c>
      <c r="B63" s="1821" t="s">
        <v>244</v>
      </c>
      <c r="C63" s="369"/>
      <c r="D63" s="2311"/>
      <c r="E63" s="2056"/>
      <c r="F63" s="2220" t="str">
        <f>INDEX(PT_DIFFERENTIATION_VTAR,MATCH(A63,PT_DIFFERENTIATION_VTAR_ID,0))</f>
        <v>Тариф на горячую воду (горячее водоснабжение)</v>
      </c>
      <c r="G63" s="2266" t="str">
        <f>INDEX(PT_DIFFERENTIATION_NTAR,MATCH(B63,PT_DIFFERENTIATION_NTAR_ID,0))</f>
        <v/>
      </c>
      <c r="H63" s="1905"/>
      <c r="I63" s="1779"/>
      <c r="J63" s="1814"/>
      <c r="K63" s="1908"/>
      <c r="L63" s="1905" t="s">
        <v>299</v>
      </c>
      <c r="M63" s="2016"/>
      <c r="N63" s="330"/>
      <c r="O63" s="1664"/>
      <c r="P63" s="1664"/>
    </row>
    <row s="2948" customFormat="1" customHeight="1" ht="18.75" hidden="1">
      <c r="A64" s="1821"/>
      <c r="B64" s="1821"/>
      <c r="C64" s="369" t="s">
        <v>1055</v>
      </c>
      <c r="D64" s="2311"/>
      <c r="E64" s="2056"/>
      <c r="F64" s="2220"/>
      <c r="G64" s="2266"/>
      <c r="H64" s="1530"/>
      <c r="I64" s="657" t="s">
        <v>1056</v>
      </c>
      <c r="J64" s="577"/>
      <c r="K64" s="1530"/>
      <c r="L64" s="200"/>
      <c r="M64" s="2016"/>
      <c r="N64" s="330"/>
      <c r="O64" s="1664"/>
      <c r="P64" s="1664"/>
    </row>
    <row s="2948" customFormat="1" customHeight="1" ht="0.75" hidden="1">
      <c r="A65" s="1821"/>
      <c r="B65" s="1821"/>
      <c r="C65" s="369" t="s">
        <v>1061</v>
      </c>
      <c r="D65" s="2311"/>
      <c r="E65" s="2056"/>
      <c r="F65" s="2220"/>
      <c r="G65" s="406"/>
      <c r="H65" s="1530"/>
      <c r="I65" s="657"/>
      <c r="J65" s="577"/>
      <c r="K65" s="1530"/>
      <c r="L65" s="200"/>
      <c r="M65" s="2016"/>
      <c r="N65" s="330"/>
      <c r="O65" s="1664"/>
      <c r="P65" s="1664"/>
    </row>
    <row s="2948" customFormat="1" customHeight="1" ht="18.75" hidden="1">
      <c r="A66" s="1821" t="s">
        <v>248</v>
      </c>
      <c r="B66" s="1821" t="s">
        <v>249</v>
      </c>
      <c r="C66" s="369"/>
      <c r="D66" s="2311"/>
      <c r="E66" s="2056"/>
      <c r="F66" s="2220" t="str">
        <f>INDEX(PT_DIFFERENTIATION_VTAR,MATCH(A66,PT_DIFFERENTIATION_VTAR_ID,0))</f>
        <v>Тариф на транспортировку горячей воды</v>
      </c>
      <c r="G66" s="2266" t="str">
        <f>INDEX(PT_DIFFERENTIATION_NTAR,MATCH(B66,PT_DIFFERENTIATION_NTAR_ID,0))</f>
        <v/>
      </c>
      <c r="H66" s="1905"/>
      <c r="I66" s="1779"/>
      <c r="J66" s="1814"/>
      <c r="K66" s="1908"/>
      <c r="L66" s="1905" t="s">
        <v>299</v>
      </c>
      <c r="M66" s="2016"/>
      <c r="N66" s="330"/>
      <c r="O66" s="1664"/>
      <c r="P66" s="1664"/>
    </row>
    <row s="2948" customFormat="1" customHeight="1" ht="18.75" hidden="1">
      <c r="A67" s="1821"/>
      <c r="B67" s="1821"/>
      <c r="C67" s="369" t="s">
        <v>1055</v>
      </c>
      <c r="D67" s="2311"/>
      <c r="E67" s="2056"/>
      <c r="F67" s="2220"/>
      <c r="G67" s="2266"/>
      <c r="H67" s="1530"/>
      <c r="I67" s="657" t="s">
        <v>1056</v>
      </c>
      <c r="J67" s="577"/>
      <c r="K67" s="1530"/>
      <c r="L67" s="200"/>
      <c r="M67" s="2016"/>
      <c r="N67" s="330"/>
      <c r="O67" s="1664"/>
      <c r="P67" s="1664"/>
    </row>
    <row s="2948" customFormat="1" customHeight="1" ht="0.75" hidden="1">
      <c r="A68" s="1821"/>
      <c r="B68" s="1821"/>
      <c r="C68" s="369" t="s">
        <v>1061</v>
      </c>
      <c r="D68" s="2311"/>
      <c r="E68" s="2056"/>
      <c r="F68" s="2220"/>
      <c r="G68" s="406"/>
      <c r="H68" s="1530"/>
      <c r="I68" s="657"/>
      <c r="J68" s="577"/>
      <c r="K68" s="1530"/>
      <c r="L68" s="200"/>
      <c r="M68" s="2016"/>
      <c r="N68" s="330"/>
      <c r="O68" s="1664"/>
      <c r="P68" s="1664"/>
    </row>
    <row s="2948" customFormat="1" customHeight="1" ht="18.75" hidden="1">
      <c r="A69" s="1821" t="s">
        <v>253</v>
      </c>
      <c r="B69" s="1821" t="s">
        <v>254</v>
      </c>
      <c r="C69" s="369"/>
      <c r="D69" s="2311"/>
      <c r="E69" s="2056"/>
      <c r="F69" s="2220" t="str">
        <f>INDEX(PT_DIFFERENTIATION_VTAR,MATCH(A69,PT_DIFFERENTIATION_VTAR_ID,0))</f>
        <v>Тариф на подключение (технологическое присоединение) к централизованной системе горячего водоснабжения</v>
      </c>
      <c r="G69" s="2266" t="str">
        <f>INDEX(PT_DIFFERENTIATION_NTAR,MATCH(B69,PT_DIFFERENTIATION_NTAR_ID,0))</f>
        <v/>
      </c>
      <c r="H69" s="1905"/>
      <c r="I69" s="1779"/>
      <c r="J69" s="1814"/>
      <c r="K69" s="1908"/>
      <c r="L69" s="1905" t="s">
        <v>299</v>
      </c>
      <c r="M69" s="2016"/>
      <c r="N69" s="330"/>
      <c r="O69" s="1664"/>
      <c r="P69" s="1664"/>
    </row>
    <row s="2948" customFormat="1" customHeight="1" ht="18.75" hidden="1">
      <c r="A70" s="1821"/>
      <c r="B70" s="1821"/>
      <c r="C70" s="369" t="s">
        <v>1055</v>
      </c>
      <c r="D70" s="2311"/>
      <c r="E70" s="2056"/>
      <c r="F70" s="2220"/>
      <c r="G70" s="2266"/>
      <c r="H70" s="1530"/>
      <c r="I70" s="657" t="s">
        <v>1056</v>
      </c>
      <c r="J70" s="577"/>
      <c r="K70" s="1530"/>
      <c r="L70" s="200"/>
      <c r="M70" s="2016"/>
      <c r="N70" s="330"/>
      <c r="O70" s="1664"/>
      <c r="P70" s="1664"/>
    </row>
    <row s="2948" customFormat="1" customHeight="1" ht="0.75" hidden="1">
      <c r="A71" s="1821"/>
      <c r="B71" s="1821"/>
      <c r="C71" s="369" t="s">
        <v>1061</v>
      </c>
      <c r="D71" s="2311"/>
      <c r="E71" s="2056"/>
      <c r="F71" s="2220"/>
      <c r="G71" s="406"/>
      <c r="H71" s="1530"/>
      <c r="I71" s="657"/>
      <c r="J71" s="577"/>
      <c r="K71" s="1530"/>
      <c r="L71" s="200"/>
      <c r="M71" s="2016"/>
      <c r="N71" s="330"/>
      <c r="O71" s="1664"/>
      <c r="P71" s="1664"/>
    </row>
    <row s="2948" customFormat="1" customHeight="1" ht="18.75" hidden="1">
      <c r="A72" s="1821" t="s">
        <v>258</v>
      </c>
      <c r="B72" s="1821" t="s">
        <v>259</v>
      </c>
      <c r="C72" s="369"/>
      <c r="D72" s="2311"/>
      <c r="E72" s="2056"/>
      <c r="F72" s="2220" t="str">
        <f>INDEX(PT_DIFFERENTIATION_VTAR,MATCH(A72,PT_DIFFERENTIATION_VTAR_ID,0))</f>
        <v>Тариф на водоотведение</v>
      </c>
      <c r="G72" s="2266" t="str">
        <f>INDEX(PT_DIFFERENTIATION_NTAR,MATCH(B72,PT_DIFFERENTIATION_NTAR_ID,0))</f>
        <v/>
      </c>
      <c r="H72" s="1905"/>
      <c r="I72" s="1779"/>
      <c r="J72" s="1814"/>
      <c r="K72" s="1908"/>
      <c r="L72" s="1905" t="s">
        <v>299</v>
      </c>
      <c r="M72" s="2016"/>
      <c r="N72" s="330"/>
      <c r="O72" s="1664"/>
      <c r="P72" s="1664"/>
    </row>
    <row s="2948" customFormat="1" customHeight="1" ht="18.75" hidden="1">
      <c r="A73" s="1821"/>
      <c r="B73" s="1821"/>
      <c r="C73" s="369" t="s">
        <v>1055</v>
      </c>
      <c r="D73" s="2311"/>
      <c r="E73" s="2056"/>
      <c r="F73" s="2220"/>
      <c r="G73" s="2266"/>
      <c r="H73" s="1530"/>
      <c r="I73" s="657" t="s">
        <v>1056</v>
      </c>
      <c r="J73" s="577"/>
      <c r="K73" s="1530"/>
      <c r="L73" s="200"/>
      <c r="M73" s="2016"/>
      <c r="N73" s="330"/>
      <c r="O73" s="1664"/>
      <c r="P73" s="1664"/>
    </row>
    <row s="2948" customFormat="1" customHeight="1" ht="0.75" hidden="1">
      <c r="A74" s="1821"/>
      <c r="B74" s="1821"/>
      <c r="C74" s="369" t="s">
        <v>1061</v>
      </c>
      <c r="D74" s="2311"/>
      <c r="E74" s="2056"/>
      <c r="F74" s="2220"/>
      <c r="G74" s="406"/>
      <c r="H74" s="1530"/>
      <c r="I74" s="657"/>
      <c r="J74" s="577"/>
      <c r="K74" s="1530"/>
      <c r="L74" s="200"/>
      <c r="M74" s="2016"/>
      <c r="N74" s="330"/>
      <c r="O74" s="1664"/>
      <c r="P74" s="1664"/>
    </row>
    <row s="2948" customFormat="1" customHeight="1" ht="18.75" hidden="1">
      <c r="A75" s="1821" t="s">
        <v>263</v>
      </c>
      <c r="B75" s="1821" t="s">
        <v>264</v>
      </c>
      <c r="C75" s="369"/>
      <c r="D75" s="2311"/>
      <c r="E75" s="2056"/>
      <c r="F75" s="2220" t="str">
        <f>INDEX(PT_DIFFERENTIATION_VTAR,MATCH(A75,PT_DIFFERENTIATION_VTAR_ID,0))</f>
        <v>Тариф на транспортировку сточных вод</v>
      </c>
      <c r="G75" s="2266" t="str">
        <f>INDEX(PT_DIFFERENTIATION_NTAR,MATCH(B75,PT_DIFFERENTIATION_NTAR_ID,0))</f>
        <v/>
      </c>
      <c r="H75" s="1905"/>
      <c r="I75" s="1779"/>
      <c r="J75" s="1814"/>
      <c r="K75" s="1908"/>
      <c r="L75" s="1905" t="s">
        <v>299</v>
      </c>
      <c r="M75" s="2016"/>
      <c r="N75" s="330"/>
      <c r="O75" s="1664"/>
      <c r="P75" s="1664"/>
    </row>
    <row s="2948" customFormat="1" customHeight="1" ht="18.75" hidden="1">
      <c r="A76" s="1821"/>
      <c r="B76" s="1821"/>
      <c r="C76" s="369" t="s">
        <v>1055</v>
      </c>
      <c r="D76" s="2311"/>
      <c r="E76" s="2056"/>
      <c r="F76" s="2220"/>
      <c r="G76" s="2266"/>
      <c r="H76" s="1530"/>
      <c r="I76" s="657" t="s">
        <v>1056</v>
      </c>
      <c r="J76" s="577"/>
      <c r="K76" s="1530"/>
      <c r="L76" s="200"/>
      <c r="M76" s="2016"/>
      <c r="N76" s="330"/>
      <c r="O76" s="1664"/>
      <c r="P76" s="1664"/>
    </row>
    <row s="2948" customFormat="1" customHeight="1" ht="0.75" hidden="1">
      <c r="A77" s="1821"/>
      <c r="B77" s="1821"/>
      <c r="C77" s="369" t="s">
        <v>1061</v>
      </c>
      <c r="D77" s="2311"/>
      <c r="E77" s="2056"/>
      <c r="F77" s="2220"/>
      <c r="G77" s="406"/>
      <c r="H77" s="1530"/>
      <c r="I77" s="657"/>
      <c r="J77" s="577"/>
      <c r="K77" s="1530"/>
      <c r="L77" s="200"/>
      <c r="M77" s="2016"/>
      <c r="N77" s="330"/>
      <c r="O77" s="1664"/>
      <c r="P77" s="1664"/>
    </row>
    <row s="2948" customFormat="1" customHeight="1" ht="18.75" hidden="1">
      <c r="A78" s="1821" t="s">
        <v>268</v>
      </c>
      <c r="B78" s="1821" t="s">
        <v>269</v>
      </c>
      <c r="C78" s="369"/>
      <c r="D78" s="2311"/>
      <c r="E78" s="2056"/>
      <c r="F78" s="2220" t="str">
        <f>INDEX(PT_DIFFERENTIATION_VTAR,MATCH(A78,PT_DIFFERENTIATION_VTAR_ID,0))</f>
        <v>Тариф на подключение (технологическое присоединение) к централизованной системе водоотведения</v>
      </c>
      <c r="G78" s="2266" t="str">
        <f>INDEX(PT_DIFFERENTIATION_NTAR,MATCH(B78,PT_DIFFERENTIATION_NTAR_ID,0))</f>
        <v/>
      </c>
      <c r="H78" s="1905"/>
      <c r="I78" s="1779"/>
      <c r="J78" s="1814"/>
      <c r="K78" s="1908"/>
      <c r="L78" s="1905" t="s">
        <v>299</v>
      </c>
      <c r="M78" s="2016"/>
      <c r="N78" s="330"/>
      <c r="O78" s="1664"/>
      <c r="P78" s="1664"/>
    </row>
    <row s="2948" customFormat="1" customHeight="1" ht="18.75" hidden="1">
      <c r="A79" s="1821"/>
      <c r="B79" s="1821"/>
      <c r="C79" s="369" t="s">
        <v>1055</v>
      </c>
      <c r="D79" s="2311"/>
      <c r="E79" s="2056"/>
      <c r="F79" s="2220"/>
      <c r="G79" s="2266"/>
      <c r="H79" s="1530"/>
      <c r="I79" s="657" t="s">
        <v>1056</v>
      </c>
      <c r="J79" s="577"/>
      <c r="K79" s="1530"/>
      <c r="L79" s="200"/>
      <c r="M79" s="2016"/>
      <c r="N79" s="330"/>
      <c r="O79" s="1664"/>
      <c r="P79" s="1664"/>
    </row>
    <row s="2948" customFormat="1" customHeight="1" ht="0.75">
      <c r="A80" s="1821"/>
      <c r="B80" s="1821"/>
      <c r="C80" s="369" t="s">
        <v>1061</v>
      </c>
      <c r="D80" s="2311"/>
      <c r="E80" s="2056"/>
      <c r="F80" s="2220"/>
      <c r="G80" s="406"/>
      <c r="H80" s="1530"/>
      <c r="I80" s="657"/>
      <c r="J80" s="577"/>
      <c r="K80" s="1530"/>
      <c r="L80" s="200"/>
      <c r="M80" s="2016"/>
      <c r="N80" s="330"/>
      <c r="O80" s="1664"/>
      <c r="P80" s="1664"/>
    </row>
    <row customHeight="1" ht="18.75">
      <c r="A81" s="1821"/>
      <c r="B81" s="1821"/>
      <c r="D81" s="377"/>
      <c r="E81" s="133" t="s">
        <v>111</v>
      </c>
      <c r="F81" s="2303"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1" s="2303"/>
      <c r="H81" s="2303"/>
      <c r="I81" s="2303"/>
      <c r="J81" s="2303"/>
      <c r="K81" s="2303"/>
      <c r="L81" s="2303"/>
      <c r="M81" s="285"/>
      <c r="N81" s="330"/>
    </row>
    <row customHeight="1" ht="33.75">
      <c r="A82" s="1821"/>
      <c r="B82" s="1821"/>
      <c r="D82" s="377"/>
      <c r="E82" s="405"/>
      <c r="F82" s="184" t="s">
        <v>299</v>
      </c>
      <c r="G82" s="184" t="s">
        <v>299</v>
      </c>
      <c r="H82" s="2068" t="s">
        <v>299</v>
      </c>
      <c r="I82" s="2084"/>
      <c r="J82" s="184" t="s">
        <v>299</v>
      </c>
      <c r="K82" s="184" t="s">
        <v>299</v>
      </c>
      <c r="L82" s="407"/>
      <c r="M82" s="341" t="s">
        <v>1062</v>
      </c>
      <c r="N82" s="330"/>
    </row>
    <row customHeight="1" ht="18.75">
      <c r="A83" s="1821"/>
      <c r="B83" s="1821"/>
      <c r="D83" s="377"/>
      <c r="E83" s="133" t="s">
        <v>90</v>
      </c>
      <c r="F83" s="2303" t="s">
        <v>1063</v>
      </c>
      <c r="G83" s="2303"/>
      <c r="H83" s="2303"/>
      <c r="I83" s="2303"/>
      <c r="J83" s="2303"/>
      <c r="K83" s="2303"/>
      <c r="L83" s="2303"/>
      <c r="M83" s="285"/>
      <c r="N83" s="330"/>
    </row>
    <row s="2948" customFormat="1" customHeight="1" ht="60.75" hidden="1">
      <c r="A84" s="1821" t="s">
        <v>156</v>
      </c>
      <c r="B84" s="1821" t="s">
        <v>157</v>
      </c>
      <c r="C84" s="369"/>
      <c r="D84" s="2311"/>
      <c r="E84" s="2056"/>
      <c r="F84" s="2220" t="str">
        <f>INDEX(PT_DIFFERENTIATION_VTAR,MATCH(A84,PT_DIFFERENTIATION_VTAR_ID,0))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4" s="2266" t="str">
        <f>INDEX(PT_DIFFERENTIATION_NTAR,MATCH(B84,PT_DIFFERENTIATION_NTAR_ID,0))</f>
        <v/>
      </c>
      <c r="H84" s="1905"/>
      <c r="I84" s="1779"/>
      <c r="J84" s="1814"/>
      <c r="K84" s="1819"/>
      <c r="L84" s="1905" t="s">
        <v>299</v>
      </c>
      <c r="M84" s="201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4" s="330"/>
      <c r="O84" s="1664"/>
      <c r="P84" s="1664"/>
    </row>
    <row s="2948" customFormat="1" customHeight="1" ht="18.75" hidden="1">
      <c r="A85" s="1821"/>
      <c r="B85" s="1821"/>
      <c r="C85" s="369" t="s">
        <v>1057</v>
      </c>
      <c r="D85" s="2311"/>
      <c r="E85" s="2056"/>
      <c r="F85" s="2220"/>
      <c r="G85" s="2266"/>
      <c r="H85" s="1530"/>
      <c r="I85" s="657" t="s">
        <v>1056</v>
      </c>
      <c r="J85" s="577"/>
      <c r="K85" s="1530"/>
      <c r="L85" s="200"/>
      <c r="M85" s="2016"/>
      <c r="N85" s="330"/>
      <c r="O85" s="1664"/>
      <c r="P85" s="1664"/>
    </row>
    <row s="2948" customFormat="1" customHeight="1" ht="0.75" hidden="1">
      <c r="A86" s="1821"/>
      <c r="B86" s="1821"/>
      <c r="C86" s="369" t="s">
        <v>1064</v>
      </c>
      <c r="D86" s="2311"/>
      <c r="E86" s="2056"/>
      <c r="F86" s="2220"/>
      <c r="G86" s="406"/>
      <c r="H86" s="1530"/>
      <c r="I86" s="657"/>
      <c r="J86" s="577"/>
      <c r="K86" s="1530"/>
      <c r="L86" s="200"/>
      <c r="M86" s="2016"/>
      <c r="N86" s="330"/>
      <c r="O86" s="1664"/>
      <c r="P86" s="1664"/>
    </row>
    <row s="2948" customFormat="1" customHeight="1" ht="45" hidden="1">
      <c r="A87" s="1821" t="s">
        <v>162</v>
      </c>
      <c r="B87" s="1821" t="s">
        <v>163</v>
      </c>
      <c r="C87" s="369"/>
      <c r="D87" s="2311"/>
      <c r="E87" s="2056"/>
      <c r="F87" s="2220" t="str">
        <f>INDEX(PT_DIFFERENTIATION_VTAR,MATCH(A87,PT_DIFFERENTIATION_VTAR_ID,0))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87" s="2266" t="str">
        <f>INDEX(PT_DIFFERENTIATION_NTAR,MATCH(B87,PT_DIFFERENTIATION_NTAR_ID,0))</f>
        <v/>
      </c>
      <c r="H87" s="1905"/>
      <c r="I87" s="1779"/>
      <c r="J87" s="1814"/>
      <c r="K87" s="1819"/>
      <c r="L87" s="1905" t="s">
        <v>299</v>
      </c>
      <c r="M87" s="2017"/>
      <c r="N87" s="330"/>
      <c r="O87" s="1664"/>
      <c r="P87" s="1664"/>
    </row>
    <row s="2948" customFormat="1" customHeight="1" ht="18.75" hidden="1">
      <c r="A88" s="1821"/>
      <c r="B88" s="1821"/>
      <c r="C88" s="369" t="s">
        <v>1057</v>
      </c>
      <c r="D88" s="2311"/>
      <c r="E88" s="2056"/>
      <c r="F88" s="2220"/>
      <c r="G88" s="2266"/>
      <c r="H88" s="1530"/>
      <c r="I88" s="657" t="s">
        <v>1056</v>
      </c>
      <c r="J88" s="577"/>
      <c r="K88" s="1530"/>
      <c r="L88" s="200"/>
      <c r="M88" s="1904"/>
      <c r="N88" s="330"/>
      <c r="O88" s="1664"/>
      <c r="P88" s="1664"/>
    </row>
    <row s="2948" customFormat="1" customHeight="1" ht="0.75" hidden="1">
      <c r="A89" s="1821"/>
      <c r="B89" s="1821"/>
      <c r="C89" s="369" t="s">
        <v>1064</v>
      </c>
      <c r="D89" s="2311"/>
      <c r="E89" s="2056"/>
      <c r="F89" s="2220"/>
      <c r="G89" s="406"/>
      <c r="H89" s="1530"/>
      <c r="I89" s="657"/>
      <c r="J89" s="577"/>
      <c r="K89" s="1530"/>
      <c r="L89" s="200"/>
      <c r="M89" s="337"/>
      <c r="N89" s="330"/>
      <c r="O89" s="1664"/>
      <c r="P89" s="1664"/>
    </row>
    <row s="2948" customFormat="1" customHeight="1" ht="45" hidden="1">
      <c r="A90" s="1821" t="s">
        <v>168</v>
      </c>
      <c r="B90" s="1821" t="s">
        <v>169</v>
      </c>
      <c r="C90" s="369"/>
      <c r="D90" s="2311"/>
      <c r="E90" s="2056"/>
      <c r="F90" s="2220" t="str">
        <f>INDEX(PT_DIFFERENTIATION_VTAR,MATCH(A90,PT_DIFFERENTIATION_VTAR_ID,0))</f>
        <v>Тарифы на теплоноситель, поставляемый теплоснабжающими организациями потребителям, другим теплоснабжающим организациям</v>
      </c>
      <c r="G90" s="2266" t="str">
        <f>INDEX(PT_DIFFERENTIATION_NTAR,MATCH(B90,PT_DIFFERENTIATION_NTAR_ID,0))</f>
        <v/>
      </c>
      <c r="H90" s="1905"/>
      <c r="I90" s="1779"/>
      <c r="J90" s="1814"/>
      <c r="K90" s="1819"/>
      <c r="L90" s="1905" t="s">
        <v>299</v>
      </c>
      <c r="M90" s="337"/>
      <c r="N90" s="330"/>
      <c r="O90" s="1664"/>
      <c r="P90" s="1664"/>
    </row>
    <row s="2948" customFormat="1" customHeight="1" ht="18.75" hidden="1">
      <c r="A91" s="1821"/>
      <c r="B91" s="1821"/>
      <c r="C91" s="369" t="s">
        <v>1057</v>
      </c>
      <c r="D91" s="2311"/>
      <c r="E91" s="2056"/>
      <c r="F91" s="2220"/>
      <c r="G91" s="2266"/>
      <c r="H91" s="1530"/>
      <c r="I91" s="657" t="s">
        <v>1056</v>
      </c>
      <c r="J91" s="577"/>
      <c r="K91" s="1530"/>
      <c r="L91" s="200"/>
      <c r="M91" s="337"/>
      <c r="N91" s="330"/>
      <c r="O91" s="1664"/>
      <c r="P91" s="1664"/>
    </row>
    <row s="2948" customFormat="1" customHeight="1" ht="0.75" hidden="1">
      <c r="A92" s="1821"/>
      <c r="B92" s="1821"/>
      <c r="C92" s="369" t="s">
        <v>1064</v>
      </c>
      <c r="D92" s="2311"/>
      <c r="E92" s="2056"/>
      <c r="F92" s="2220"/>
      <c r="G92" s="406"/>
      <c r="H92" s="1530"/>
      <c r="I92" s="657"/>
      <c r="J92" s="577"/>
      <c r="K92" s="1530"/>
      <c r="L92" s="200"/>
      <c r="M92" s="337"/>
      <c r="N92" s="330"/>
      <c r="O92" s="1664"/>
      <c r="P92" s="1664"/>
    </row>
    <row s="2948" customFormat="1" customHeight="1" ht="45" hidden="1">
      <c r="A93" s="1821" t="s">
        <v>176</v>
      </c>
      <c r="B93" s="1821" t="s">
        <v>177</v>
      </c>
      <c r="C93" s="369"/>
      <c r="D93" s="2311"/>
      <c r="E93" s="2056"/>
      <c r="F93" s="2220" t="str">
        <f>INDEX(PT_DIFFERENTIATION_VTAR,MATCH(A93,PT_DIFFERENTIATION_VTAR_ID,0))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3" s="2266" t="str">
        <f>INDEX(PT_DIFFERENTIATION_NTAR,MATCH(B93,PT_DIFFERENTIATION_NTAR_ID,0))</f>
        <v>Долгосрочный тариф на горячую воду, поставляемую потребителям с использованием открытой системы теплоснабжения</v>
      </c>
      <c r="H93" s="1905"/>
      <c r="I93" s="1779"/>
      <c r="J93" s="1814"/>
      <c r="K93" s="1819"/>
      <c r="L93" s="1905" t="s">
        <v>299</v>
      </c>
      <c r="M93" s="337"/>
      <c r="N93" s="330"/>
      <c r="O93" s="1664"/>
      <c r="P93" s="1664"/>
    </row>
    <row s="2948" customFormat="1" customHeight="1" ht="18.75" hidden="1">
      <c r="A94" s="1821"/>
      <c r="B94" s="1821"/>
      <c r="C94" s="369" t="s">
        <v>1057</v>
      </c>
      <c r="D94" s="2311"/>
      <c r="E94" s="2056"/>
      <c r="F94" s="2220"/>
      <c r="G94" s="2266"/>
      <c r="H94" s="1530"/>
      <c r="I94" s="657" t="s">
        <v>1056</v>
      </c>
      <c r="J94" s="577"/>
      <c r="K94" s="1530"/>
      <c r="L94" s="200"/>
      <c r="M94" s="337"/>
      <c r="N94" s="330"/>
      <c r="O94" s="1664"/>
      <c r="P94" s="1664"/>
    </row>
    <row s="2948" customFormat="1" customHeight="1" ht="0.75" hidden="1">
      <c r="A95" s="1821"/>
      <c r="B95" s="1821"/>
      <c r="C95" s="369" t="s">
        <v>1064</v>
      </c>
      <c r="D95" s="2311"/>
      <c r="E95" s="2056"/>
      <c r="F95" s="2220"/>
      <c r="G95" s="406"/>
      <c r="H95" s="1530"/>
      <c r="I95" s="657"/>
      <c r="J95" s="577"/>
      <c r="K95" s="1530"/>
      <c r="L95" s="200"/>
      <c r="M95" s="337"/>
      <c r="N95" s="330"/>
      <c r="O95" s="1664"/>
      <c r="P95" s="1664"/>
    </row>
    <row s="2948" customFormat="1" customHeight="1" ht="18.75" hidden="1">
      <c r="A96" s="1821" t="s">
        <v>186</v>
      </c>
      <c r="B96" s="1821" t="s">
        <v>187</v>
      </c>
      <c r="C96" s="369"/>
      <c r="D96" s="2311"/>
      <c r="E96" s="2056"/>
      <c r="F96" s="2220" t="str">
        <f>INDEX(PT_DIFFERENTIATION_VTAR,MATCH(A96,PT_DIFFERENTIATION_VTAR_ID,0))</f>
        <v>Тарифы на услуги по передаче тепловой энергии</v>
      </c>
      <c r="G96" s="2266" t="str">
        <f>INDEX(PT_DIFFERENTIATION_NTAR,MATCH(B96,PT_DIFFERENTIATION_NTAR_ID,0))</f>
        <v/>
      </c>
      <c r="H96" s="1905"/>
      <c r="I96" s="1779"/>
      <c r="J96" s="1814"/>
      <c r="K96" s="1819"/>
      <c r="L96" s="1905" t="s">
        <v>299</v>
      </c>
      <c r="M96" s="337"/>
      <c r="N96" s="330"/>
      <c r="O96" s="1664"/>
      <c r="P96" s="1664"/>
    </row>
    <row s="2948" customFormat="1" customHeight="1" ht="18.75" hidden="1">
      <c r="A97" s="1821"/>
      <c r="B97" s="1821"/>
      <c r="C97" s="369" t="s">
        <v>1057</v>
      </c>
      <c r="D97" s="2311"/>
      <c r="E97" s="2056"/>
      <c r="F97" s="2220"/>
      <c r="G97" s="2266"/>
      <c r="H97" s="1530"/>
      <c r="I97" s="657" t="s">
        <v>1056</v>
      </c>
      <c r="J97" s="577"/>
      <c r="K97" s="1530"/>
      <c r="L97" s="200"/>
      <c r="M97" s="337"/>
      <c r="N97" s="330"/>
      <c r="O97" s="1664"/>
      <c r="P97" s="1664"/>
    </row>
    <row s="2948" customFormat="1" customHeight="1" ht="0.75" hidden="1">
      <c r="A98" s="1821"/>
      <c r="B98" s="1821"/>
      <c r="C98" s="369" t="s">
        <v>1064</v>
      </c>
      <c r="D98" s="2311"/>
      <c r="E98" s="2056"/>
      <c r="F98" s="2220"/>
      <c r="G98" s="406"/>
      <c r="H98" s="1530"/>
      <c r="I98" s="657"/>
      <c r="J98" s="577"/>
      <c r="K98" s="1530"/>
      <c r="L98" s="200"/>
      <c r="M98" s="337"/>
      <c r="N98" s="330"/>
      <c r="O98" s="1664"/>
      <c r="P98" s="1664"/>
    </row>
    <row s="2948" customFormat="1" customHeight="1" ht="18.75" hidden="1">
      <c r="A99" s="1821" t="s">
        <v>192</v>
      </c>
      <c r="B99" s="1821" t="s">
        <v>193</v>
      </c>
      <c r="C99" s="369"/>
      <c r="D99" s="2311"/>
      <c r="E99" s="2056"/>
      <c r="F99" s="2220" t="str">
        <f>INDEX(PT_DIFFERENTIATION_VTAR,MATCH(A99,PT_DIFFERENTIATION_VTAR_ID,0))</f>
        <v>Тарифы на услуги по передаче теплоносителя</v>
      </c>
      <c r="G99" s="2266" t="str">
        <f>INDEX(PT_DIFFERENTIATION_NTAR,MATCH(B99,PT_DIFFERENTIATION_NTAR_ID,0))</f>
        <v/>
      </c>
      <c r="H99" s="1905"/>
      <c r="I99" s="1779"/>
      <c r="J99" s="1814"/>
      <c r="K99" s="1819"/>
      <c r="L99" s="1905" t="s">
        <v>299</v>
      </c>
      <c r="M99" s="337"/>
      <c r="N99" s="330"/>
      <c r="O99" s="1664"/>
      <c r="P99" s="1664"/>
    </row>
    <row s="2948" customFormat="1" customHeight="1" ht="18.75" hidden="1">
      <c r="A100" s="1821"/>
      <c r="B100" s="1821"/>
      <c r="C100" s="369" t="s">
        <v>1057</v>
      </c>
      <c r="D100" s="2311"/>
      <c r="E100" s="2056"/>
      <c r="F100" s="2220"/>
      <c r="G100" s="2266"/>
      <c r="H100" s="1530"/>
      <c r="I100" s="657" t="s">
        <v>1056</v>
      </c>
      <c r="J100" s="577"/>
      <c r="K100" s="1530"/>
      <c r="L100" s="200"/>
      <c r="M100" s="337"/>
      <c r="N100" s="330"/>
      <c r="O100" s="1664"/>
      <c r="P100" s="1664"/>
    </row>
    <row s="2948" customFormat="1" customHeight="1" ht="0.75" hidden="1">
      <c r="A101" s="1821"/>
      <c r="B101" s="1821"/>
      <c r="C101" s="369" t="s">
        <v>1064</v>
      </c>
      <c r="D101" s="2311"/>
      <c r="E101" s="2056"/>
      <c r="F101" s="2220"/>
      <c r="G101" s="406"/>
      <c r="H101" s="1530"/>
      <c r="I101" s="657"/>
      <c r="J101" s="577"/>
      <c r="K101" s="1530"/>
      <c r="L101" s="200"/>
      <c r="M101" s="337"/>
      <c r="N101" s="330"/>
      <c r="O101" s="1664"/>
      <c r="P101" s="1664"/>
    </row>
    <row s="2948" customFormat="1" customHeight="1" ht="18.75" hidden="1">
      <c r="A102" s="1821" t="s">
        <v>198</v>
      </c>
      <c r="B102" s="1821" t="s">
        <v>199</v>
      </c>
      <c r="C102" s="369"/>
      <c r="D102" s="2311"/>
      <c r="E102" s="2056"/>
      <c r="F102" s="2220" t="str">
        <f>INDEX(PT_DIFFERENTIATION_VTAR,MATCH(A102,PT_DIFFERENTIATION_VTAR_ID,0))</f>
        <v>Плата за услуги по поддержанию резервной тепловой мощности при отсутствии потребления тепловой энергии</v>
      </c>
      <c r="G102" s="2266" t="str">
        <f>INDEX(PT_DIFFERENTIATION_NTAR,MATCH(B102,PT_DIFFERENTIATION_NTAR_ID,0))</f>
        <v/>
      </c>
      <c r="H102" s="1905"/>
      <c r="I102" s="1779"/>
      <c r="J102" s="1814"/>
      <c r="K102" s="1819"/>
      <c r="L102" s="1905" t="s">
        <v>299</v>
      </c>
      <c r="M102" s="337"/>
      <c r="N102" s="330"/>
      <c r="O102" s="1664"/>
      <c r="P102" s="1664"/>
    </row>
    <row s="2948" customFormat="1" customHeight="1" ht="18.75" hidden="1">
      <c r="A103" s="1821"/>
      <c r="B103" s="1821"/>
      <c r="C103" s="369" t="s">
        <v>1057</v>
      </c>
      <c r="D103" s="2311"/>
      <c r="E103" s="2056"/>
      <c r="F103" s="2220"/>
      <c r="G103" s="2266"/>
      <c r="H103" s="1530"/>
      <c r="I103" s="657" t="s">
        <v>1056</v>
      </c>
      <c r="J103" s="577"/>
      <c r="K103" s="1530"/>
      <c r="L103" s="200"/>
      <c r="M103" s="337"/>
      <c r="N103" s="330"/>
      <c r="O103" s="1664"/>
      <c r="P103" s="1664"/>
    </row>
    <row s="2948" customFormat="1" customHeight="1" ht="0.75" hidden="1">
      <c r="A104" s="1821"/>
      <c r="B104" s="1821"/>
      <c r="C104" s="369" t="s">
        <v>1064</v>
      </c>
      <c r="D104" s="2311"/>
      <c r="E104" s="2056"/>
      <c r="F104" s="2220"/>
      <c r="G104" s="406"/>
      <c r="H104" s="1530"/>
      <c r="I104" s="657"/>
      <c r="J104" s="577"/>
      <c r="K104" s="1530"/>
      <c r="L104" s="200"/>
      <c r="M104" s="337"/>
      <c r="N104" s="330"/>
      <c r="O104" s="1664"/>
      <c r="P104" s="1664"/>
    </row>
    <row s="2948" customFormat="1" customHeight="1" ht="18.75" hidden="1">
      <c r="A105" s="1821" t="s">
        <v>204</v>
      </c>
      <c r="B105" s="1821" t="s">
        <v>205</v>
      </c>
      <c r="C105" s="369"/>
      <c r="D105" s="2311"/>
      <c r="E105" s="2056"/>
      <c r="F105" s="2220" t="str">
        <f>INDEX(PT_DIFFERENTIATION_VTAR,MATCH(A105,PT_DIFFERENTIATION_VTAR_ID,0))</f>
        <v>Плата за подключение (технологическое присоединение) к системе теплоснабжения</v>
      </c>
      <c r="G105" s="2266" t="str">
        <f>INDEX(PT_DIFFERENTIATION_NTAR,MATCH(B105,PT_DIFFERENTIATION_NTAR_ID,0))</f>
        <v/>
      </c>
      <c r="H105" s="1905"/>
      <c r="I105" s="1779"/>
      <c r="J105" s="1814"/>
      <c r="K105" s="1819"/>
      <c r="L105" s="1905" t="s">
        <v>299</v>
      </c>
      <c r="M105" s="337"/>
      <c r="N105" s="330"/>
      <c r="O105" s="1664"/>
      <c r="P105" s="1664"/>
    </row>
    <row s="2948" customFormat="1" customHeight="1" ht="18.75" hidden="1">
      <c r="A106" s="1821"/>
      <c r="B106" s="1821"/>
      <c r="C106" s="369" t="s">
        <v>1057</v>
      </c>
      <c r="D106" s="2311"/>
      <c r="E106" s="2056"/>
      <c r="F106" s="2220"/>
      <c r="G106" s="2266"/>
      <c r="H106" s="1530"/>
      <c r="I106" s="657" t="s">
        <v>1056</v>
      </c>
      <c r="J106" s="577"/>
      <c r="K106" s="1530"/>
      <c r="L106" s="200"/>
      <c r="M106" s="337"/>
      <c r="N106" s="330"/>
      <c r="O106" s="1664"/>
      <c r="P106" s="1664"/>
    </row>
    <row s="2948" customFormat="1" customHeight="1" ht="0.75" hidden="1">
      <c r="A107" s="1821"/>
      <c r="B107" s="1821"/>
      <c r="C107" s="369" t="s">
        <v>1064</v>
      </c>
      <c r="D107" s="2311"/>
      <c r="E107" s="2056"/>
      <c r="F107" s="2220"/>
      <c r="G107" s="406"/>
      <c r="H107" s="1530"/>
      <c r="I107" s="657"/>
      <c r="J107" s="577"/>
      <c r="K107" s="1530"/>
      <c r="L107" s="200"/>
      <c r="M107" s="337"/>
      <c r="N107" s="330"/>
      <c r="O107" s="1664"/>
      <c r="P107" s="1664"/>
    </row>
    <row s="2948" customFormat="1" customHeight="1" ht="18.75" hidden="1">
      <c r="A108" s="1821" t="s">
        <v>218</v>
      </c>
      <c r="B108" s="1821" t="s">
        <v>219</v>
      </c>
      <c r="C108" s="369"/>
      <c r="D108" s="2311"/>
      <c r="E108" s="2056"/>
      <c r="F108" s="2220" t="str">
        <f>INDEX(PT_DIFFERENTIATION_VTAR,MATCH(A108,PT_DIFFERENTIATION_VTAR_ID,0))</f>
        <v>Тариф на питьевую воду (питьевое водоснабжение)</v>
      </c>
      <c r="G108" s="2266" t="str">
        <f>INDEX(PT_DIFFERENTIATION_NTAR,MATCH(B108,PT_DIFFERENTIATION_NTAR_ID,0))</f>
        <v/>
      </c>
      <c r="H108" s="1905"/>
      <c r="I108" s="1779"/>
      <c r="J108" s="1814"/>
      <c r="K108" s="1819"/>
      <c r="L108" s="1905" t="s">
        <v>299</v>
      </c>
      <c r="M108" s="337"/>
      <c r="N108" s="330"/>
      <c r="O108" s="1664"/>
      <c r="P108" s="1664"/>
    </row>
    <row s="2948" customFormat="1" customHeight="1" ht="18.75" hidden="1">
      <c r="A109" s="1821"/>
      <c r="B109" s="1821"/>
      <c r="C109" s="369" t="s">
        <v>1057</v>
      </c>
      <c r="D109" s="2311"/>
      <c r="E109" s="2056"/>
      <c r="F109" s="2220"/>
      <c r="G109" s="2266"/>
      <c r="H109" s="1530"/>
      <c r="I109" s="657" t="s">
        <v>1056</v>
      </c>
      <c r="J109" s="577"/>
      <c r="K109" s="1530"/>
      <c r="L109" s="200"/>
      <c r="M109" s="337"/>
      <c r="N109" s="330"/>
      <c r="O109" s="1664"/>
      <c r="P109" s="1664"/>
    </row>
    <row s="2948" customFormat="1" customHeight="1" ht="0.75" hidden="1">
      <c r="A110" s="1821"/>
      <c r="B110" s="1821"/>
      <c r="C110" s="369" t="s">
        <v>1064</v>
      </c>
      <c r="D110" s="2311"/>
      <c r="E110" s="2056"/>
      <c r="F110" s="2220"/>
      <c r="G110" s="406"/>
      <c r="H110" s="1530"/>
      <c r="I110" s="657"/>
      <c r="J110" s="577"/>
      <c r="K110" s="1530"/>
      <c r="L110" s="200"/>
      <c r="M110" s="337"/>
      <c r="N110" s="330"/>
      <c r="O110" s="1664"/>
      <c r="P110" s="1664"/>
    </row>
    <row s="2948" customFormat="1" customHeight="1" ht="18.75" hidden="1">
      <c r="A111" s="1821" t="s">
        <v>223</v>
      </c>
      <c r="B111" s="1821" t="s">
        <v>224</v>
      </c>
      <c r="C111" s="369"/>
      <c r="D111" s="2311"/>
      <c r="E111" s="2056"/>
      <c r="F111" s="2220" t="str">
        <f>INDEX(PT_DIFFERENTIATION_VTAR,MATCH(A111,PT_DIFFERENTIATION_VTAR_ID,0))</f>
        <v>Тариф на техническую воду</v>
      </c>
      <c r="G111" s="2266" t="str">
        <f>INDEX(PT_DIFFERENTIATION_NTAR,MATCH(B111,PT_DIFFERENTIATION_NTAR_ID,0))</f>
        <v/>
      </c>
      <c r="H111" s="1905"/>
      <c r="I111" s="1779"/>
      <c r="J111" s="1814"/>
      <c r="K111" s="1819"/>
      <c r="L111" s="1905" t="s">
        <v>299</v>
      </c>
      <c r="M111" s="337"/>
      <c r="N111" s="330"/>
      <c r="O111" s="1664"/>
      <c r="P111" s="1664"/>
    </row>
    <row s="2948" customFormat="1" customHeight="1" ht="18.75" hidden="1">
      <c r="A112" s="1821"/>
      <c r="B112" s="1821"/>
      <c r="C112" s="369" t="s">
        <v>1057</v>
      </c>
      <c r="D112" s="2311"/>
      <c r="E112" s="2056"/>
      <c r="F112" s="2220"/>
      <c r="G112" s="2266"/>
      <c r="H112" s="1530"/>
      <c r="I112" s="657" t="s">
        <v>1056</v>
      </c>
      <c r="J112" s="577"/>
      <c r="K112" s="1530"/>
      <c r="L112" s="200"/>
      <c r="M112" s="337"/>
      <c r="N112" s="330"/>
      <c r="O112" s="1664"/>
      <c r="P112" s="1664"/>
    </row>
    <row s="2948" customFormat="1" customHeight="1" ht="0.75" hidden="1">
      <c r="A113" s="1821"/>
      <c r="B113" s="1821"/>
      <c r="C113" s="369" t="s">
        <v>1064</v>
      </c>
      <c r="D113" s="2311"/>
      <c r="E113" s="2056"/>
      <c r="F113" s="2220"/>
      <c r="G113" s="406"/>
      <c r="H113" s="1530"/>
      <c r="I113" s="657"/>
      <c r="J113" s="577"/>
      <c r="K113" s="1530"/>
      <c r="L113" s="200"/>
      <c r="M113" s="337"/>
      <c r="N113" s="330"/>
      <c r="O113" s="1664"/>
      <c r="P113" s="1664"/>
    </row>
    <row s="2948" customFormat="1" customHeight="1" ht="18.75" hidden="1">
      <c r="A114" s="1821" t="s">
        <v>228</v>
      </c>
      <c r="B114" s="1821" t="s">
        <v>229</v>
      </c>
      <c r="C114" s="369"/>
      <c r="D114" s="2311"/>
      <c r="E114" s="2056"/>
      <c r="F114" s="2220" t="str">
        <f>INDEX(PT_DIFFERENTIATION_VTAR,MATCH(A114,PT_DIFFERENTIATION_VTAR_ID,0))</f>
        <v>Тариф на транспортировку воды</v>
      </c>
      <c r="G114" s="2266" t="str">
        <f>INDEX(PT_DIFFERENTIATION_NTAR,MATCH(B114,PT_DIFFERENTIATION_NTAR_ID,0))</f>
        <v/>
      </c>
      <c r="H114" s="1905"/>
      <c r="I114" s="1779"/>
      <c r="J114" s="1814"/>
      <c r="K114" s="1819"/>
      <c r="L114" s="1905" t="s">
        <v>299</v>
      </c>
      <c r="M114" s="337"/>
      <c r="N114" s="330"/>
      <c r="O114" s="1664"/>
      <c r="P114" s="1664"/>
    </row>
    <row s="2948" customFormat="1" customHeight="1" ht="18.75" hidden="1">
      <c r="A115" s="1821"/>
      <c r="B115" s="1821"/>
      <c r="C115" s="369" t="s">
        <v>1057</v>
      </c>
      <c r="D115" s="2311"/>
      <c r="E115" s="2056"/>
      <c r="F115" s="2220"/>
      <c r="G115" s="2266"/>
      <c r="H115" s="1530"/>
      <c r="I115" s="657" t="s">
        <v>1056</v>
      </c>
      <c r="J115" s="577"/>
      <c r="K115" s="1530"/>
      <c r="L115" s="200"/>
      <c r="M115" s="337"/>
      <c r="N115" s="330"/>
      <c r="O115" s="1664"/>
      <c r="P115" s="1664"/>
    </row>
    <row s="2948" customFormat="1" customHeight="1" ht="0.75" hidden="1">
      <c r="A116" s="1821"/>
      <c r="B116" s="1821"/>
      <c r="C116" s="369" t="s">
        <v>1064</v>
      </c>
      <c r="D116" s="2311"/>
      <c r="E116" s="2056"/>
      <c r="F116" s="2220"/>
      <c r="G116" s="406"/>
      <c r="H116" s="1530"/>
      <c r="I116" s="657"/>
      <c r="J116" s="577"/>
      <c r="K116" s="1530"/>
      <c r="L116" s="200"/>
      <c r="M116" s="337"/>
      <c r="N116" s="330"/>
      <c r="O116" s="1664"/>
      <c r="P116" s="1664"/>
    </row>
    <row s="2948" customFormat="1" customHeight="1" ht="18.75" hidden="1">
      <c r="A117" s="1821" t="s">
        <v>233</v>
      </c>
      <c r="B117" s="1821" t="s">
        <v>234</v>
      </c>
      <c r="C117" s="369"/>
      <c r="D117" s="2311"/>
      <c r="E117" s="2056"/>
      <c r="F117" s="2220" t="str">
        <f>INDEX(PT_DIFFERENTIATION_VTAR,MATCH(A117,PT_DIFFERENTIATION_VTAR_ID,0))</f>
        <v>Тариф на подвоз воды</v>
      </c>
      <c r="G117" s="2266" t="str">
        <f>INDEX(PT_DIFFERENTIATION_NTAR,MATCH(B117,PT_DIFFERENTIATION_NTAR_ID,0))</f>
        <v/>
      </c>
      <c r="H117" s="1905"/>
      <c r="I117" s="1779"/>
      <c r="J117" s="1814"/>
      <c r="K117" s="1819"/>
      <c r="L117" s="1905" t="s">
        <v>299</v>
      </c>
      <c r="M117" s="337"/>
      <c r="N117" s="330"/>
      <c r="O117" s="1664"/>
      <c r="P117" s="1664"/>
    </row>
    <row s="2948" customFormat="1" customHeight="1" ht="18.75" hidden="1">
      <c r="A118" s="1821"/>
      <c r="B118" s="1821"/>
      <c r="C118" s="369" t="s">
        <v>1057</v>
      </c>
      <c r="D118" s="2311"/>
      <c r="E118" s="2056"/>
      <c r="F118" s="2220"/>
      <c r="G118" s="2266"/>
      <c r="H118" s="1530"/>
      <c r="I118" s="657" t="s">
        <v>1056</v>
      </c>
      <c r="J118" s="577"/>
      <c r="K118" s="1530"/>
      <c r="L118" s="200"/>
      <c r="M118" s="337"/>
      <c r="N118" s="330"/>
      <c r="O118" s="1664"/>
      <c r="P118" s="1664"/>
    </row>
    <row s="2948" customFormat="1" customHeight="1" ht="0.75" hidden="1">
      <c r="A119" s="1821"/>
      <c r="B119" s="1821"/>
      <c r="C119" s="369" t="s">
        <v>1064</v>
      </c>
      <c r="D119" s="2311"/>
      <c r="E119" s="2056"/>
      <c r="F119" s="2220"/>
      <c r="G119" s="406"/>
      <c r="H119" s="1530"/>
      <c r="I119" s="657"/>
      <c r="J119" s="577"/>
      <c r="K119" s="1530"/>
      <c r="L119" s="200"/>
      <c r="M119" s="337"/>
      <c r="N119" s="330"/>
      <c r="O119" s="1664"/>
      <c r="P119" s="1664"/>
    </row>
    <row s="2948" customFormat="1" customHeight="1" ht="18.75" hidden="1">
      <c r="A120" s="1821" t="s">
        <v>238</v>
      </c>
      <c r="B120" s="1821" t="s">
        <v>239</v>
      </c>
      <c r="C120" s="369"/>
      <c r="D120" s="2311"/>
      <c r="E120" s="2056"/>
      <c r="F120" s="2220" t="str">
        <f>INDEX(PT_DIFFERENTIATION_VTAR,MATCH(A120,PT_DIFFERENTIATION_VTAR_ID,0))</f>
        <v>Тариф на подключение (технологическое присоединение) к централизованной системе холодного водоснабжения</v>
      </c>
      <c r="G120" s="2266" t="str">
        <f>INDEX(PT_DIFFERENTIATION_NTAR,MATCH(B120,PT_DIFFERENTIATION_NTAR_ID,0))</f>
        <v/>
      </c>
      <c r="H120" s="1905"/>
      <c r="I120" s="1779"/>
      <c r="J120" s="1814"/>
      <c r="K120" s="1819"/>
      <c r="L120" s="1905" t="s">
        <v>299</v>
      </c>
      <c r="M120" s="337"/>
      <c r="N120" s="330"/>
      <c r="O120" s="1664"/>
      <c r="P120" s="1664"/>
    </row>
    <row s="2948" customFormat="1" customHeight="1" ht="18.75" hidden="1">
      <c r="A121" s="1821"/>
      <c r="B121" s="1821"/>
      <c r="C121" s="369" t="s">
        <v>1057</v>
      </c>
      <c r="D121" s="2311"/>
      <c r="E121" s="2056"/>
      <c r="F121" s="2220"/>
      <c r="G121" s="2266"/>
      <c r="H121" s="1530"/>
      <c r="I121" s="657" t="s">
        <v>1056</v>
      </c>
      <c r="J121" s="577"/>
      <c r="K121" s="1530"/>
      <c r="L121" s="200"/>
      <c r="M121" s="337"/>
      <c r="N121" s="330"/>
      <c r="O121" s="1664"/>
      <c r="P121" s="1664"/>
    </row>
    <row s="2948" customFormat="1" customHeight="1" ht="0.75" hidden="1">
      <c r="A122" s="1821"/>
      <c r="B122" s="1821"/>
      <c r="C122" s="369" t="s">
        <v>1064</v>
      </c>
      <c r="D122" s="2311"/>
      <c r="E122" s="2056"/>
      <c r="F122" s="2220"/>
      <c r="G122" s="406"/>
      <c r="H122" s="1530"/>
      <c r="I122" s="657"/>
      <c r="J122" s="577"/>
      <c r="K122" s="1530"/>
      <c r="L122" s="200"/>
      <c r="M122" s="337"/>
      <c r="N122" s="330"/>
      <c r="O122" s="1664"/>
      <c r="P122" s="1664"/>
    </row>
    <row s="2948" customFormat="1" customHeight="1" ht="18.75" hidden="1">
      <c r="A123" s="1821" t="s">
        <v>243</v>
      </c>
      <c r="B123" s="1821" t="s">
        <v>244</v>
      </c>
      <c r="C123" s="369"/>
      <c r="D123" s="2311"/>
      <c r="E123" s="2056"/>
      <c r="F123" s="2220" t="str">
        <f>INDEX(PT_DIFFERENTIATION_VTAR,MATCH(A123,PT_DIFFERENTIATION_VTAR_ID,0))</f>
        <v>Тариф на горячую воду (горячее водоснабжение)</v>
      </c>
      <c r="G123" s="2266" t="str">
        <f>INDEX(PT_DIFFERENTIATION_NTAR,MATCH(B123,PT_DIFFERENTIATION_NTAR_ID,0))</f>
        <v/>
      </c>
      <c r="H123" s="1905"/>
      <c r="I123" s="1779"/>
      <c r="J123" s="1814"/>
      <c r="K123" s="1819"/>
      <c r="L123" s="1905" t="s">
        <v>299</v>
      </c>
      <c r="M123" s="337"/>
      <c r="N123" s="330"/>
      <c r="O123" s="1664"/>
      <c r="P123" s="1664"/>
    </row>
    <row s="2948" customFormat="1" customHeight="1" ht="18.75" hidden="1">
      <c r="A124" s="1821"/>
      <c r="B124" s="1821"/>
      <c r="C124" s="369" t="s">
        <v>1057</v>
      </c>
      <c r="D124" s="2311"/>
      <c r="E124" s="2056"/>
      <c r="F124" s="2220"/>
      <c r="G124" s="2266"/>
      <c r="H124" s="1530"/>
      <c r="I124" s="657" t="s">
        <v>1056</v>
      </c>
      <c r="J124" s="577"/>
      <c r="K124" s="1530"/>
      <c r="L124" s="200"/>
      <c r="M124" s="337"/>
      <c r="N124" s="330"/>
      <c r="O124" s="1664"/>
      <c r="P124" s="1664"/>
    </row>
    <row s="2948" customFormat="1" customHeight="1" ht="0.75" hidden="1">
      <c r="A125" s="1821"/>
      <c r="B125" s="1821"/>
      <c r="C125" s="369" t="s">
        <v>1064</v>
      </c>
      <c r="D125" s="2311"/>
      <c r="E125" s="2056"/>
      <c r="F125" s="2220"/>
      <c r="G125" s="406"/>
      <c r="H125" s="1530"/>
      <c r="I125" s="657"/>
      <c r="J125" s="577"/>
      <c r="K125" s="1530"/>
      <c r="L125" s="200"/>
      <c r="M125" s="337"/>
      <c r="N125" s="330"/>
      <c r="O125" s="1664"/>
      <c r="P125" s="1664"/>
    </row>
    <row s="2948" customFormat="1" customHeight="1" ht="18.75" hidden="1">
      <c r="A126" s="1821" t="s">
        <v>248</v>
      </c>
      <c r="B126" s="1821" t="s">
        <v>249</v>
      </c>
      <c r="C126" s="369"/>
      <c r="D126" s="2311"/>
      <c r="E126" s="2056"/>
      <c r="F126" s="2220" t="str">
        <f>INDEX(PT_DIFFERENTIATION_VTAR,MATCH(A126,PT_DIFFERENTIATION_VTAR_ID,0))</f>
        <v>Тариф на транспортировку горячей воды</v>
      </c>
      <c r="G126" s="2266" t="str">
        <f>INDEX(PT_DIFFERENTIATION_NTAR,MATCH(B126,PT_DIFFERENTIATION_NTAR_ID,0))</f>
        <v/>
      </c>
      <c r="H126" s="1905"/>
      <c r="I126" s="1779"/>
      <c r="J126" s="1814"/>
      <c r="K126" s="1819"/>
      <c r="L126" s="1905" t="s">
        <v>299</v>
      </c>
      <c r="M126" s="337"/>
      <c r="N126" s="330"/>
      <c r="O126" s="1664"/>
      <c r="P126" s="1664"/>
    </row>
    <row s="2948" customFormat="1" customHeight="1" ht="18.75" hidden="1">
      <c r="A127" s="1821"/>
      <c r="B127" s="1821"/>
      <c r="C127" s="369" t="s">
        <v>1057</v>
      </c>
      <c r="D127" s="2311"/>
      <c r="E127" s="2056"/>
      <c r="F127" s="2220"/>
      <c r="G127" s="2266"/>
      <c r="H127" s="1530"/>
      <c r="I127" s="657" t="s">
        <v>1056</v>
      </c>
      <c r="J127" s="577"/>
      <c r="K127" s="1530"/>
      <c r="L127" s="200"/>
      <c r="M127" s="337"/>
      <c r="N127" s="330"/>
      <c r="O127" s="1664"/>
      <c r="P127" s="1664"/>
    </row>
    <row s="2948" customFormat="1" customHeight="1" ht="0.75" hidden="1">
      <c r="A128" s="1821"/>
      <c r="B128" s="1821"/>
      <c r="C128" s="369" t="s">
        <v>1064</v>
      </c>
      <c r="D128" s="2311"/>
      <c r="E128" s="2056"/>
      <c r="F128" s="2220"/>
      <c r="G128" s="406"/>
      <c r="H128" s="1530"/>
      <c r="I128" s="657"/>
      <c r="J128" s="577"/>
      <c r="K128" s="1530"/>
      <c r="L128" s="200"/>
      <c r="M128" s="337"/>
      <c r="N128" s="330"/>
      <c r="O128" s="1664"/>
      <c r="P128" s="1664"/>
    </row>
    <row s="2948" customFormat="1" customHeight="1" ht="18.75" hidden="1">
      <c r="A129" s="1821" t="s">
        <v>253</v>
      </c>
      <c r="B129" s="1821" t="s">
        <v>254</v>
      </c>
      <c r="C129" s="369"/>
      <c r="D129" s="2311"/>
      <c r="E129" s="2056"/>
      <c r="F129" s="2220" t="str">
        <f>INDEX(PT_DIFFERENTIATION_VTAR,MATCH(A129,PT_DIFFERENTIATION_VTAR_ID,0))</f>
        <v>Тариф на подключение (технологическое присоединение) к централизованной системе горячего водоснабжения</v>
      </c>
      <c r="G129" s="2266" t="str">
        <f>INDEX(PT_DIFFERENTIATION_NTAR,MATCH(B129,PT_DIFFERENTIATION_NTAR_ID,0))</f>
        <v/>
      </c>
      <c r="H129" s="1905"/>
      <c r="I129" s="1779"/>
      <c r="J129" s="1814"/>
      <c r="K129" s="1819"/>
      <c r="L129" s="1905" t="s">
        <v>299</v>
      </c>
      <c r="M129" s="337"/>
      <c r="N129" s="330"/>
      <c r="O129" s="1664"/>
      <c r="P129" s="1664"/>
    </row>
    <row s="2948" customFormat="1" customHeight="1" ht="18.75" hidden="1">
      <c r="A130" s="1821"/>
      <c r="B130" s="1821"/>
      <c r="C130" s="369" t="s">
        <v>1057</v>
      </c>
      <c r="D130" s="2311"/>
      <c r="E130" s="2056"/>
      <c r="F130" s="2220"/>
      <c r="G130" s="2266"/>
      <c r="H130" s="1530"/>
      <c r="I130" s="657" t="s">
        <v>1056</v>
      </c>
      <c r="J130" s="577"/>
      <c r="K130" s="1530"/>
      <c r="L130" s="200"/>
      <c r="M130" s="337"/>
      <c r="N130" s="330"/>
      <c r="O130" s="1664"/>
      <c r="P130" s="1664"/>
    </row>
    <row s="2948" customFormat="1" customHeight="1" ht="0.75" hidden="1">
      <c r="A131" s="1821"/>
      <c r="B131" s="1821"/>
      <c r="C131" s="369" t="s">
        <v>1064</v>
      </c>
      <c r="D131" s="2311"/>
      <c r="E131" s="2056"/>
      <c r="F131" s="2220"/>
      <c r="G131" s="406"/>
      <c r="H131" s="1530"/>
      <c r="I131" s="657"/>
      <c r="J131" s="577"/>
      <c r="K131" s="1530"/>
      <c r="L131" s="200"/>
      <c r="M131" s="337"/>
      <c r="N131" s="330"/>
      <c r="O131" s="1664"/>
      <c r="P131" s="1664"/>
    </row>
    <row s="2948" customFormat="1" customHeight="1" ht="18.75" hidden="1">
      <c r="A132" s="1821" t="s">
        <v>258</v>
      </c>
      <c r="B132" s="1821" t="s">
        <v>259</v>
      </c>
      <c r="C132" s="369"/>
      <c r="D132" s="2311"/>
      <c r="E132" s="2056"/>
      <c r="F132" s="2220" t="str">
        <f>INDEX(PT_DIFFERENTIATION_VTAR,MATCH(A132,PT_DIFFERENTIATION_VTAR_ID,0))</f>
        <v>Тариф на водоотведение</v>
      </c>
      <c r="G132" s="2266" t="str">
        <f>INDEX(PT_DIFFERENTIATION_NTAR,MATCH(B132,PT_DIFFERENTIATION_NTAR_ID,0))</f>
        <v/>
      </c>
      <c r="H132" s="1905"/>
      <c r="I132" s="1779"/>
      <c r="J132" s="1814"/>
      <c r="K132" s="1819"/>
      <c r="L132" s="1905" t="s">
        <v>299</v>
      </c>
      <c r="M132" s="337"/>
      <c r="N132" s="330"/>
      <c r="O132" s="1664"/>
      <c r="P132" s="1664"/>
    </row>
    <row s="2948" customFormat="1" customHeight="1" ht="18.75" hidden="1">
      <c r="A133" s="1821"/>
      <c r="B133" s="1821"/>
      <c r="C133" s="369" t="s">
        <v>1057</v>
      </c>
      <c r="D133" s="2311"/>
      <c r="E133" s="2056"/>
      <c r="F133" s="2220"/>
      <c r="G133" s="2266"/>
      <c r="H133" s="1530"/>
      <c r="I133" s="657" t="s">
        <v>1056</v>
      </c>
      <c r="J133" s="577"/>
      <c r="K133" s="1530"/>
      <c r="L133" s="200"/>
      <c r="M133" s="337"/>
      <c r="N133" s="330"/>
      <c r="O133" s="1664"/>
      <c r="P133" s="1664"/>
    </row>
    <row s="2948" customFormat="1" customHeight="1" ht="0.75" hidden="1">
      <c r="A134" s="1821"/>
      <c r="B134" s="1821"/>
      <c r="C134" s="369" t="s">
        <v>1064</v>
      </c>
      <c r="D134" s="2311"/>
      <c r="E134" s="2056"/>
      <c r="F134" s="2220"/>
      <c r="G134" s="406"/>
      <c r="H134" s="1530"/>
      <c r="I134" s="657"/>
      <c r="J134" s="577"/>
      <c r="K134" s="1530"/>
      <c r="L134" s="200"/>
      <c r="M134" s="337"/>
      <c r="N134" s="330"/>
      <c r="O134" s="1664"/>
      <c r="P134" s="1664"/>
    </row>
    <row s="2948" customFormat="1" customHeight="1" ht="18.75" hidden="1">
      <c r="A135" s="1821" t="s">
        <v>263</v>
      </c>
      <c r="B135" s="1821" t="s">
        <v>264</v>
      </c>
      <c r="C135" s="369"/>
      <c r="D135" s="2311"/>
      <c r="E135" s="2056"/>
      <c r="F135" s="2220" t="str">
        <f>INDEX(PT_DIFFERENTIATION_VTAR,MATCH(A135,PT_DIFFERENTIATION_VTAR_ID,0))</f>
        <v>Тариф на транспортировку сточных вод</v>
      </c>
      <c r="G135" s="2266" t="str">
        <f>INDEX(PT_DIFFERENTIATION_NTAR,MATCH(B135,PT_DIFFERENTIATION_NTAR_ID,0))</f>
        <v/>
      </c>
      <c r="H135" s="1905"/>
      <c r="I135" s="1779"/>
      <c r="J135" s="1814"/>
      <c r="K135" s="1819"/>
      <c r="L135" s="1905" t="s">
        <v>299</v>
      </c>
      <c r="M135" s="337"/>
      <c r="N135" s="330"/>
      <c r="O135" s="1664"/>
      <c r="P135" s="1664"/>
    </row>
    <row s="2948" customFormat="1" customHeight="1" ht="18.75" hidden="1">
      <c r="A136" s="1821"/>
      <c r="B136" s="1821"/>
      <c r="C136" s="369" t="s">
        <v>1057</v>
      </c>
      <c r="D136" s="2311"/>
      <c r="E136" s="2056"/>
      <c r="F136" s="2220"/>
      <c r="G136" s="2266"/>
      <c r="H136" s="1530"/>
      <c r="I136" s="657" t="s">
        <v>1056</v>
      </c>
      <c r="J136" s="577"/>
      <c r="K136" s="1530"/>
      <c r="L136" s="200"/>
      <c r="M136" s="337"/>
      <c r="N136" s="330"/>
      <c r="O136" s="1664"/>
      <c r="P136" s="1664"/>
    </row>
    <row s="2948" customFormat="1" customHeight="1" ht="0.75" hidden="1">
      <c r="A137" s="1821"/>
      <c r="B137" s="1821"/>
      <c r="C137" s="369" t="s">
        <v>1064</v>
      </c>
      <c r="D137" s="2311"/>
      <c r="E137" s="2056"/>
      <c r="F137" s="2220"/>
      <c r="G137" s="406"/>
      <c r="H137" s="1530"/>
      <c r="I137" s="657"/>
      <c r="J137" s="577"/>
      <c r="K137" s="1530"/>
      <c r="L137" s="200"/>
      <c r="M137" s="337"/>
      <c r="N137" s="330"/>
      <c r="O137" s="1664"/>
      <c r="P137" s="1664"/>
    </row>
    <row s="2948" customFormat="1" customHeight="1" ht="18.75" hidden="1">
      <c r="A138" s="1821" t="s">
        <v>268</v>
      </c>
      <c r="B138" s="1821" t="s">
        <v>269</v>
      </c>
      <c r="C138" s="369"/>
      <c r="D138" s="2311"/>
      <c r="E138" s="2056"/>
      <c r="F138" s="2220" t="str">
        <f>INDEX(PT_DIFFERENTIATION_VTAR,MATCH(A138,PT_DIFFERENTIATION_VTAR_ID,0))</f>
        <v>Тариф на подключение (технологическое присоединение) к централизованной системе водоотведения</v>
      </c>
      <c r="G138" s="2266" t="str">
        <f>INDEX(PT_DIFFERENTIATION_NTAR,MATCH(B138,PT_DIFFERENTIATION_NTAR_ID,0))</f>
        <v/>
      </c>
      <c r="H138" s="1905"/>
      <c r="I138" s="1779"/>
      <c r="J138" s="1814"/>
      <c r="K138" s="1819"/>
      <c r="L138" s="1905" t="s">
        <v>299</v>
      </c>
      <c r="M138" s="337"/>
      <c r="N138" s="330"/>
      <c r="O138" s="1664"/>
      <c r="P138" s="1664"/>
    </row>
    <row s="2948" customFormat="1" customHeight="1" ht="18.75" hidden="1">
      <c r="A139" s="1821"/>
      <c r="B139" s="1821"/>
      <c r="C139" s="369" t="s">
        <v>1057</v>
      </c>
      <c r="D139" s="2311"/>
      <c r="E139" s="2056"/>
      <c r="F139" s="2220"/>
      <c r="G139" s="2266"/>
      <c r="H139" s="1530"/>
      <c r="I139" s="657" t="s">
        <v>1056</v>
      </c>
      <c r="J139" s="577"/>
      <c r="K139" s="1530"/>
      <c r="L139" s="200"/>
      <c r="M139" s="337"/>
      <c r="N139" s="330"/>
      <c r="O139" s="1664"/>
      <c r="P139" s="1664"/>
    </row>
    <row s="2948" customFormat="1" customHeight="1" ht="0.75">
      <c r="A140" s="1821"/>
      <c r="B140" s="1821"/>
      <c r="C140" s="369" t="s">
        <v>1064</v>
      </c>
      <c r="D140" s="2311"/>
      <c r="E140" s="2056"/>
      <c r="F140" s="2220"/>
      <c r="G140" s="406"/>
      <c r="H140" s="1530"/>
      <c r="I140" s="657"/>
      <c r="J140" s="577"/>
      <c r="K140" s="1530"/>
      <c r="L140" s="200"/>
      <c r="M140" s="337"/>
      <c r="N140" s="330"/>
      <c r="O140" s="1664"/>
      <c r="P140" s="1664"/>
    </row>
    <row customHeight="1" ht="18.75">
      <c r="A141" s="1821"/>
      <c r="B141" s="1821"/>
      <c r="D141" s="377"/>
      <c r="E141" s="133" t="s">
        <v>91</v>
      </c>
      <c r="F141" s="2303"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1" s="2303"/>
      <c r="H141" s="2303"/>
      <c r="I141" s="2303"/>
      <c r="J141" s="2303"/>
      <c r="K141" s="2303"/>
      <c r="L141" s="2303"/>
      <c r="M141" s="285"/>
      <c r="N141" s="330"/>
    </row>
    <row s="2948" customFormat="1" customHeight="1" ht="60.75" hidden="1">
      <c r="A142" s="1821" t="s">
        <v>156</v>
      </c>
      <c r="B142" s="1821" t="s">
        <v>157</v>
      </c>
      <c r="C142" s="369"/>
      <c r="D142" s="2311"/>
      <c r="E142" s="2056"/>
      <c r="F142" s="2220" t="str">
        <f>INDEX(PT_DIFFERENTIATION_VTAR,MATCH(A142,PT_DIFFERENTIATION_VTAR_ID,0))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2" s="2266" t="str">
        <f>INDEX(PT_DIFFERENTIATION_NTAR,MATCH(B142,PT_DIFFERENTIATION_NTAR_ID,0))</f>
        <v/>
      </c>
      <c r="H142" s="1905"/>
      <c r="I142" s="1779"/>
      <c r="J142" s="1814"/>
      <c r="K142" s="1819"/>
      <c r="L142" s="1905" t="s">
        <v>299</v>
      </c>
      <c r="M142" s="201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2" s="330"/>
      <c r="O142" s="1664"/>
      <c r="P142" s="1664"/>
    </row>
    <row s="2948" customFormat="1" customHeight="1" ht="18.75" hidden="1">
      <c r="A143" s="1821"/>
      <c r="B143" s="1821"/>
      <c r="C143" s="369" t="s">
        <v>1057</v>
      </c>
      <c r="D143" s="2311"/>
      <c r="E143" s="2056"/>
      <c r="F143" s="2220"/>
      <c r="G143" s="2266"/>
      <c r="H143" s="1530"/>
      <c r="I143" s="657" t="s">
        <v>1056</v>
      </c>
      <c r="J143" s="577"/>
      <c r="K143" s="1530"/>
      <c r="L143" s="200"/>
      <c r="M143" s="2016"/>
      <c r="N143" s="330"/>
      <c r="O143" s="1664"/>
      <c r="P143" s="1664"/>
    </row>
    <row s="2948" customFormat="1" customHeight="1" ht="0.75" hidden="1">
      <c r="A144" s="1821"/>
      <c r="B144" s="1821"/>
      <c r="C144" s="369" t="s">
        <v>1064</v>
      </c>
      <c r="D144" s="2311"/>
      <c r="E144" s="2056"/>
      <c r="F144" s="2220"/>
      <c r="G144" s="406"/>
      <c r="H144" s="1530"/>
      <c r="I144" s="657"/>
      <c r="J144" s="577"/>
      <c r="K144" s="1530"/>
      <c r="L144" s="200"/>
      <c r="M144" s="2016"/>
      <c r="N144" s="330"/>
      <c r="O144" s="1664"/>
      <c r="P144" s="1664"/>
    </row>
    <row s="2948" customFormat="1" customHeight="1" ht="45" hidden="1">
      <c r="A145" s="1821" t="s">
        <v>162</v>
      </c>
      <c r="B145" s="1821" t="s">
        <v>163</v>
      </c>
      <c r="C145" s="369"/>
      <c r="D145" s="2311"/>
      <c r="E145" s="2056"/>
      <c r="F145" s="2220" t="str">
        <f>INDEX(PT_DIFFERENTIATION_VTAR,MATCH(A145,PT_DIFFERENTIATION_VTAR_ID,0))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45" s="2266" t="str">
        <f>INDEX(PT_DIFFERENTIATION_NTAR,MATCH(B145,PT_DIFFERENTIATION_NTAR_ID,0))</f>
        <v/>
      </c>
      <c r="H145" s="1905"/>
      <c r="I145" s="1779"/>
      <c r="J145" s="1814"/>
      <c r="K145" s="1819"/>
      <c r="L145" s="1905" t="s">
        <v>299</v>
      </c>
      <c r="M145" s="2017"/>
      <c r="N145" s="330"/>
      <c r="O145" s="1664"/>
      <c r="P145" s="1664"/>
    </row>
    <row s="2948" customFormat="1" customHeight="1" ht="18.75" hidden="1">
      <c r="A146" s="1821"/>
      <c r="B146" s="1821"/>
      <c r="C146" s="369" t="s">
        <v>1057</v>
      </c>
      <c r="D146" s="2311"/>
      <c r="E146" s="2056"/>
      <c r="F146" s="2220"/>
      <c r="G146" s="2266"/>
      <c r="H146" s="1530"/>
      <c r="I146" s="657" t="s">
        <v>1056</v>
      </c>
      <c r="J146" s="577"/>
      <c r="K146" s="1530"/>
      <c r="L146" s="200"/>
      <c r="M146" s="1904"/>
      <c r="N146" s="330"/>
      <c r="O146" s="1664"/>
      <c r="P146" s="1664"/>
    </row>
    <row s="2948" customFormat="1" customHeight="1" ht="0.75" hidden="1">
      <c r="A147" s="1821"/>
      <c r="B147" s="1821"/>
      <c r="C147" s="369" t="s">
        <v>1064</v>
      </c>
      <c r="D147" s="2311"/>
      <c r="E147" s="2056"/>
      <c r="F147" s="2220"/>
      <c r="G147" s="406"/>
      <c r="H147" s="1530"/>
      <c r="I147" s="657"/>
      <c r="J147" s="577"/>
      <c r="K147" s="1530"/>
      <c r="L147" s="200"/>
      <c r="M147" s="337"/>
      <c r="N147" s="330"/>
      <c r="O147" s="1664"/>
      <c r="P147" s="1664"/>
    </row>
    <row s="2948" customFormat="1" customHeight="1" ht="45" hidden="1">
      <c r="A148" s="1821" t="s">
        <v>168</v>
      </c>
      <c r="B148" s="1821" t="s">
        <v>169</v>
      </c>
      <c r="C148" s="369"/>
      <c r="D148" s="2311"/>
      <c r="E148" s="2056"/>
      <c r="F148" s="2220" t="str">
        <f>INDEX(PT_DIFFERENTIATION_VTAR,MATCH(A148,PT_DIFFERENTIATION_VTAR_ID,0))</f>
        <v>Тарифы на теплоноситель, поставляемый теплоснабжающими организациями потребителям, другим теплоснабжающим организациям</v>
      </c>
      <c r="G148" s="2266" t="str">
        <f>INDEX(PT_DIFFERENTIATION_NTAR,MATCH(B148,PT_DIFFERENTIATION_NTAR_ID,0))</f>
        <v/>
      </c>
      <c r="H148" s="1905"/>
      <c r="I148" s="1779"/>
      <c r="J148" s="1814"/>
      <c r="K148" s="1819"/>
      <c r="L148" s="1905" t="s">
        <v>299</v>
      </c>
      <c r="M148" s="337"/>
      <c r="N148" s="330"/>
      <c r="O148" s="1664"/>
      <c r="P148" s="1664"/>
    </row>
    <row s="2948" customFormat="1" customHeight="1" ht="18.75" hidden="1">
      <c r="A149" s="1821"/>
      <c r="B149" s="1821"/>
      <c r="C149" s="369" t="s">
        <v>1057</v>
      </c>
      <c r="D149" s="2311"/>
      <c r="E149" s="2056"/>
      <c r="F149" s="2220"/>
      <c r="G149" s="2266"/>
      <c r="H149" s="1530"/>
      <c r="I149" s="657" t="s">
        <v>1056</v>
      </c>
      <c r="J149" s="577"/>
      <c r="K149" s="1530"/>
      <c r="L149" s="200"/>
      <c r="M149" s="337"/>
      <c r="N149" s="330"/>
      <c r="O149" s="1664"/>
      <c r="P149" s="1664"/>
    </row>
    <row s="2948" customFormat="1" customHeight="1" ht="0.75" hidden="1">
      <c r="A150" s="1821"/>
      <c r="B150" s="1821"/>
      <c r="C150" s="369" t="s">
        <v>1064</v>
      </c>
      <c r="D150" s="2311"/>
      <c r="E150" s="2056"/>
      <c r="F150" s="2220"/>
      <c r="G150" s="406"/>
      <c r="H150" s="1530"/>
      <c r="I150" s="657"/>
      <c r="J150" s="577"/>
      <c r="K150" s="1530"/>
      <c r="L150" s="200"/>
      <c r="M150" s="337"/>
      <c r="N150" s="330"/>
      <c r="O150" s="1664"/>
      <c r="P150" s="1664"/>
    </row>
    <row s="2948" customFormat="1" customHeight="1" ht="45" hidden="1">
      <c r="A151" s="1821" t="s">
        <v>176</v>
      </c>
      <c r="B151" s="1821" t="s">
        <v>177</v>
      </c>
      <c r="C151" s="369"/>
      <c r="D151" s="2311"/>
      <c r="E151" s="2056"/>
      <c r="F151" s="2220" t="str">
        <f>INDEX(PT_DIFFERENTIATION_VTAR,MATCH(A151,PT_DIFFERENTIATION_VTAR_ID,0))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1" s="2266" t="str">
        <f>INDEX(PT_DIFFERENTIATION_NTAR,MATCH(B151,PT_DIFFERENTIATION_NTAR_ID,0))</f>
        <v>Долгосрочный тариф на горячую воду, поставляемую потребителям с использованием открытой системы теплоснабжения</v>
      </c>
      <c r="H151" s="1905"/>
      <c r="I151" s="1779"/>
      <c r="J151" s="1814"/>
      <c r="K151" s="1819"/>
      <c r="L151" s="1905" t="s">
        <v>299</v>
      </c>
      <c r="M151" s="337"/>
      <c r="N151" s="330"/>
      <c r="O151" s="1664"/>
      <c r="P151" s="1664"/>
    </row>
    <row s="2948" customFormat="1" customHeight="1" ht="18.75" hidden="1">
      <c r="A152" s="1821"/>
      <c r="B152" s="1821"/>
      <c r="C152" s="369" t="s">
        <v>1057</v>
      </c>
      <c r="D152" s="2311"/>
      <c r="E152" s="2056"/>
      <c r="F152" s="2220"/>
      <c r="G152" s="2266"/>
      <c r="H152" s="1530"/>
      <c r="I152" s="657" t="s">
        <v>1056</v>
      </c>
      <c r="J152" s="577"/>
      <c r="K152" s="1530"/>
      <c r="L152" s="200"/>
      <c r="M152" s="337"/>
      <c r="N152" s="330"/>
      <c r="O152" s="1664"/>
      <c r="P152" s="1664"/>
    </row>
    <row s="2948" customFormat="1" customHeight="1" ht="0.75" hidden="1">
      <c r="A153" s="1821"/>
      <c r="B153" s="1821"/>
      <c r="C153" s="369" t="s">
        <v>1064</v>
      </c>
      <c r="D153" s="2311"/>
      <c r="E153" s="2056"/>
      <c r="F153" s="2220"/>
      <c r="G153" s="406"/>
      <c r="H153" s="1530"/>
      <c r="I153" s="657"/>
      <c r="J153" s="577"/>
      <c r="K153" s="1530"/>
      <c r="L153" s="200"/>
      <c r="M153" s="337"/>
      <c r="N153" s="330"/>
      <c r="O153" s="1664"/>
      <c r="P153" s="1664"/>
    </row>
    <row s="2948" customFormat="1" customHeight="1" ht="18.75" hidden="1">
      <c r="A154" s="1821" t="s">
        <v>186</v>
      </c>
      <c r="B154" s="1821" t="s">
        <v>187</v>
      </c>
      <c r="C154" s="369"/>
      <c r="D154" s="2311"/>
      <c r="E154" s="2056"/>
      <c r="F154" s="2220" t="str">
        <f>INDEX(PT_DIFFERENTIATION_VTAR,MATCH(A154,PT_DIFFERENTIATION_VTAR_ID,0))</f>
        <v>Тарифы на услуги по передаче тепловой энергии</v>
      </c>
      <c r="G154" s="2266" t="str">
        <f>INDEX(PT_DIFFERENTIATION_NTAR,MATCH(B154,PT_DIFFERENTIATION_NTAR_ID,0))</f>
        <v/>
      </c>
      <c r="H154" s="1905"/>
      <c r="I154" s="1779"/>
      <c r="J154" s="1814"/>
      <c r="K154" s="1819"/>
      <c r="L154" s="1905" t="s">
        <v>299</v>
      </c>
      <c r="M154" s="337"/>
      <c r="N154" s="330"/>
      <c r="O154" s="1664"/>
      <c r="P154" s="1664"/>
    </row>
    <row s="2948" customFormat="1" customHeight="1" ht="18.75" hidden="1">
      <c r="A155" s="1821"/>
      <c r="B155" s="1821"/>
      <c r="C155" s="369" t="s">
        <v>1057</v>
      </c>
      <c r="D155" s="2311"/>
      <c r="E155" s="2056"/>
      <c r="F155" s="2220"/>
      <c r="G155" s="2266"/>
      <c r="H155" s="1530"/>
      <c r="I155" s="657" t="s">
        <v>1056</v>
      </c>
      <c r="J155" s="577"/>
      <c r="K155" s="1530"/>
      <c r="L155" s="200"/>
      <c r="M155" s="337"/>
      <c r="N155" s="330"/>
      <c r="O155" s="1664"/>
      <c r="P155" s="1664"/>
    </row>
    <row s="2948" customFormat="1" customHeight="1" ht="0.75" hidden="1">
      <c r="A156" s="1821"/>
      <c r="B156" s="1821"/>
      <c r="C156" s="369" t="s">
        <v>1064</v>
      </c>
      <c r="D156" s="2311"/>
      <c r="E156" s="2056"/>
      <c r="F156" s="2220"/>
      <c r="G156" s="406"/>
      <c r="H156" s="1530"/>
      <c r="I156" s="657"/>
      <c r="J156" s="577"/>
      <c r="K156" s="1530"/>
      <c r="L156" s="200"/>
      <c r="M156" s="337"/>
      <c r="N156" s="330"/>
      <c r="O156" s="1664"/>
      <c r="P156" s="1664"/>
    </row>
    <row s="2948" customFormat="1" customHeight="1" ht="18.75" hidden="1">
      <c r="A157" s="1821" t="s">
        <v>192</v>
      </c>
      <c r="B157" s="1821" t="s">
        <v>193</v>
      </c>
      <c r="C157" s="369"/>
      <c r="D157" s="2311"/>
      <c r="E157" s="2056"/>
      <c r="F157" s="2220" t="str">
        <f>INDEX(PT_DIFFERENTIATION_VTAR,MATCH(A157,PT_DIFFERENTIATION_VTAR_ID,0))</f>
        <v>Тарифы на услуги по передаче теплоносителя</v>
      </c>
      <c r="G157" s="2266" t="str">
        <f>INDEX(PT_DIFFERENTIATION_NTAR,MATCH(B157,PT_DIFFERENTIATION_NTAR_ID,0))</f>
        <v/>
      </c>
      <c r="H157" s="1905"/>
      <c r="I157" s="1779"/>
      <c r="J157" s="1814"/>
      <c r="K157" s="1819"/>
      <c r="L157" s="1905" t="s">
        <v>299</v>
      </c>
      <c r="M157" s="337"/>
      <c r="N157" s="330"/>
      <c r="O157" s="1664"/>
      <c r="P157" s="1664"/>
    </row>
    <row s="2948" customFormat="1" customHeight="1" ht="18.75" hidden="1">
      <c r="A158" s="1821"/>
      <c r="B158" s="1821"/>
      <c r="C158" s="369" t="s">
        <v>1057</v>
      </c>
      <c r="D158" s="2311"/>
      <c r="E158" s="2056"/>
      <c r="F158" s="2220"/>
      <c r="G158" s="2266"/>
      <c r="H158" s="1530"/>
      <c r="I158" s="657" t="s">
        <v>1056</v>
      </c>
      <c r="J158" s="577"/>
      <c r="K158" s="1530"/>
      <c r="L158" s="200"/>
      <c r="M158" s="337"/>
      <c r="N158" s="330"/>
      <c r="O158" s="1664"/>
      <c r="P158" s="1664"/>
    </row>
    <row s="2948" customFormat="1" customHeight="1" ht="0.75" hidden="1">
      <c r="A159" s="1821"/>
      <c r="B159" s="1821"/>
      <c r="C159" s="369" t="s">
        <v>1064</v>
      </c>
      <c r="D159" s="2311"/>
      <c r="E159" s="2056"/>
      <c r="F159" s="2220"/>
      <c r="G159" s="406"/>
      <c r="H159" s="1530"/>
      <c r="I159" s="657"/>
      <c r="J159" s="577"/>
      <c r="K159" s="1530"/>
      <c r="L159" s="200"/>
      <c r="M159" s="337"/>
      <c r="N159" s="330"/>
      <c r="O159" s="1664"/>
      <c r="P159" s="1664"/>
    </row>
    <row s="2948" customFormat="1" customHeight="1" ht="18.75" hidden="1">
      <c r="A160" s="1821" t="s">
        <v>198</v>
      </c>
      <c r="B160" s="1821" t="s">
        <v>199</v>
      </c>
      <c r="C160" s="369"/>
      <c r="D160" s="2311"/>
      <c r="E160" s="2056"/>
      <c r="F160" s="2220" t="str">
        <f>INDEX(PT_DIFFERENTIATION_VTAR,MATCH(A160,PT_DIFFERENTIATION_VTAR_ID,0))</f>
        <v>Плата за услуги по поддержанию резервной тепловой мощности при отсутствии потребления тепловой энергии</v>
      </c>
      <c r="G160" s="2266" t="str">
        <f>INDEX(PT_DIFFERENTIATION_NTAR,MATCH(B160,PT_DIFFERENTIATION_NTAR_ID,0))</f>
        <v/>
      </c>
      <c r="H160" s="1905"/>
      <c r="I160" s="1779"/>
      <c r="J160" s="1814"/>
      <c r="K160" s="1819"/>
      <c r="L160" s="1905" t="s">
        <v>299</v>
      </c>
      <c r="M160" s="337"/>
      <c r="N160" s="330"/>
      <c r="O160" s="1664"/>
      <c r="P160" s="1664"/>
    </row>
    <row s="2948" customFormat="1" customHeight="1" ht="18.75" hidden="1">
      <c r="A161" s="1821"/>
      <c r="B161" s="1821"/>
      <c r="C161" s="369" t="s">
        <v>1057</v>
      </c>
      <c r="D161" s="2311"/>
      <c r="E161" s="2056"/>
      <c r="F161" s="2220"/>
      <c r="G161" s="2266"/>
      <c r="H161" s="1530"/>
      <c r="I161" s="657" t="s">
        <v>1056</v>
      </c>
      <c r="J161" s="577"/>
      <c r="K161" s="1530"/>
      <c r="L161" s="200"/>
      <c r="M161" s="337"/>
      <c r="N161" s="330"/>
      <c r="O161" s="1664"/>
      <c r="P161" s="1664"/>
    </row>
    <row s="2948" customFormat="1" customHeight="1" ht="0.75" hidden="1">
      <c r="A162" s="1821"/>
      <c r="B162" s="1821"/>
      <c r="C162" s="369" t="s">
        <v>1064</v>
      </c>
      <c r="D162" s="2311"/>
      <c r="E162" s="2056"/>
      <c r="F162" s="2220"/>
      <c r="G162" s="406"/>
      <c r="H162" s="1530"/>
      <c r="I162" s="657"/>
      <c r="J162" s="577"/>
      <c r="K162" s="1530"/>
      <c r="L162" s="200"/>
      <c r="M162" s="337"/>
      <c r="N162" s="330"/>
      <c r="O162" s="1664"/>
      <c r="P162" s="1664"/>
    </row>
    <row s="2948" customFormat="1" customHeight="1" ht="18.75" hidden="1">
      <c r="A163" s="1821" t="s">
        <v>204</v>
      </c>
      <c r="B163" s="1821" t="s">
        <v>205</v>
      </c>
      <c r="C163" s="369"/>
      <c r="D163" s="2311"/>
      <c r="E163" s="2056"/>
      <c r="F163" s="2220" t="str">
        <f>INDEX(PT_DIFFERENTIATION_VTAR,MATCH(A163,PT_DIFFERENTIATION_VTAR_ID,0))</f>
        <v>Плата за подключение (технологическое присоединение) к системе теплоснабжения</v>
      </c>
      <c r="G163" s="2266" t="str">
        <f>INDEX(PT_DIFFERENTIATION_NTAR,MATCH(B163,PT_DIFFERENTIATION_NTAR_ID,0))</f>
        <v/>
      </c>
      <c r="H163" s="1905"/>
      <c r="I163" s="1779"/>
      <c r="J163" s="1814"/>
      <c r="K163" s="1819"/>
      <c r="L163" s="1905" t="s">
        <v>299</v>
      </c>
      <c r="M163" s="337"/>
      <c r="N163" s="330"/>
      <c r="O163" s="1664"/>
      <c r="P163" s="1664"/>
    </row>
    <row s="2948" customFormat="1" customHeight="1" ht="18.75" hidden="1">
      <c r="A164" s="1821"/>
      <c r="B164" s="1821"/>
      <c r="C164" s="369" t="s">
        <v>1057</v>
      </c>
      <c r="D164" s="2311"/>
      <c r="E164" s="2056"/>
      <c r="F164" s="2220"/>
      <c r="G164" s="2266"/>
      <c r="H164" s="1530"/>
      <c r="I164" s="657" t="s">
        <v>1056</v>
      </c>
      <c r="J164" s="577"/>
      <c r="K164" s="1530"/>
      <c r="L164" s="200"/>
      <c r="M164" s="337"/>
      <c r="N164" s="330"/>
      <c r="O164" s="1664"/>
      <c r="P164" s="1664"/>
    </row>
    <row s="2948" customFormat="1" customHeight="1" ht="0.75" hidden="1">
      <c r="A165" s="1821"/>
      <c r="B165" s="1821"/>
      <c r="C165" s="369" t="s">
        <v>1064</v>
      </c>
      <c r="D165" s="2311"/>
      <c r="E165" s="2056"/>
      <c r="F165" s="2220"/>
      <c r="G165" s="406"/>
      <c r="H165" s="1530"/>
      <c r="I165" s="657"/>
      <c r="J165" s="577"/>
      <c r="K165" s="1530"/>
      <c r="L165" s="200"/>
      <c r="M165" s="337"/>
      <c r="N165" s="330"/>
      <c r="O165" s="1664"/>
      <c r="P165" s="1664"/>
    </row>
    <row s="2948" customFormat="1" customHeight="1" ht="18.75" hidden="1">
      <c r="A166" s="1821" t="s">
        <v>218</v>
      </c>
      <c r="B166" s="1821" t="s">
        <v>219</v>
      </c>
      <c r="C166" s="369"/>
      <c r="D166" s="2311"/>
      <c r="E166" s="2056"/>
      <c r="F166" s="2220" t="str">
        <f>INDEX(PT_DIFFERENTIATION_VTAR,MATCH(A166,PT_DIFFERENTIATION_VTAR_ID,0))</f>
        <v>Тариф на питьевую воду (питьевое водоснабжение)</v>
      </c>
      <c r="G166" s="2266" t="str">
        <f>INDEX(PT_DIFFERENTIATION_NTAR,MATCH(B166,PT_DIFFERENTIATION_NTAR_ID,0))</f>
        <v/>
      </c>
      <c r="H166" s="1905"/>
      <c r="I166" s="1779"/>
      <c r="J166" s="1814"/>
      <c r="K166" s="1819"/>
      <c r="L166" s="1905" t="s">
        <v>299</v>
      </c>
      <c r="M166" s="337"/>
      <c r="N166" s="330"/>
      <c r="O166" s="1664"/>
      <c r="P166" s="1664"/>
    </row>
    <row s="2948" customFormat="1" customHeight="1" ht="18.75" hidden="1">
      <c r="A167" s="1821"/>
      <c r="B167" s="1821"/>
      <c r="C167" s="369" t="s">
        <v>1057</v>
      </c>
      <c r="D167" s="2311"/>
      <c r="E167" s="2056"/>
      <c r="F167" s="2220"/>
      <c r="G167" s="2266"/>
      <c r="H167" s="1530"/>
      <c r="I167" s="657" t="s">
        <v>1056</v>
      </c>
      <c r="J167" s="577"/>
      <c r="K167" s="1530"/>
      <c r="L167" s="200"/>
      <c r="M167" s="337"/>
      <c r="N167" s="330"/>
      <c r="O167" s="1664"/>
      <c r="P167" s="1664"/>
    </row>
    <row s="2948" customFormat="1" customHeight="1" ht="0.75" hidden="1">
      <c r="A168" s="1821"/>
      <c r="B168" s="1821"/>
      <c r="C168" s="369" t="s">
        <v>1064</v>
      </c>
      <c r="D168" s="2311"/>
      <c r="E168" s="2056"/>
      <c r="F168" s="2220"/>
      <c r="G168" s="406"/>
      <c r="H168" s="1530"/>
      <c r="I168" s="657"/>
      <c r="J168" s="577"/>
      <c r="K168" s="1530"/>
      <c r="L168" s="200"/>
      <c r="M168" s="337"/>
      <c r="N168" s="330"/>
      <c r="O168" s="1664"/>
      <c r="P168" s="1664"/>
    </row>
    <row s="2948" customFormat="1" customHeight="1" ht="18.75" hidden="1">
      <c r="A169" s="1821" t="s">
        <v>223</v>
      </c>
      <c r="B169" s="1821" t="s">
        <v>224</v>
      </c>
      <c r="C169" s="369"/>
      <c r="D169" s="2311"/>
      <c r="E169" s="2056"/>
      <c r="F169" s="2220" t="str">
        <f>INDEX(PT_DIFFERENTIATION_VTAR,MATCH(A169,PT_DIFFERENTIATION_VTAR_ID,0))</f>
        <v>Тариф на техническую воду</v>
      </c>
      <c r="G169" s="2266" t="str">
        <f>INDEX(PT_DIFFERENTIATION_NTAR,MATCH(B169,PT_DIFFERENTIATION_NTAR_ID,0))</f>
        <v/>
      </c>
      <c r="H169" s="1905"/>
      <c r="I169" s="1779"/>
      <c r="J169" s="1814"/>
      <c r="K169" s="1819"/>
      <c r="L169" s="1905" t="s">
        <v>299</v>
      </c>
      <c r="M169" s="337"/>
      <c r="N169" s="330"/>
      <c r="O169" s="1664"/>
      <c r="P169" s="1664"/>
    </row>
    <row s="2948" customFormat="1" customHeight="1" ht="18.75" hidden="1">
      <c r="A170" s="1821"/>
      <c r="B170" s="1821"/>
      <c r="C170" s="369" t="s">
        <v>1057</v>
      </c>
      <c r="D170" s="2311"/>
      <c r="E170" s="2056"/>
      <c r="F170" s="2220"/>
      <c r="G170" s="2266"/>
      <c r="H170" s="1530"/>
      <c r="I170" s="657" t="s">
        <v>1056</v>
      </c>
      <c r="J170" s="577"/>
      <c r="K170" s="1530"/>
      <c r="L170" s="200"/>
      <c r="M170" s="337"/>
      <c r="N170" s="330"/>
      <c r="O170" s="1664"/>
      <c r="P170" s="1664"/>
    </row>
    <row s="2948" customFormat="1" customHeight="1" ht="0.75" hidden="1">
      <c r="A171" s="1821"/>
      <c r="B171" s="1821"/>
      <c r="C171" s="369" t="s">
        <v>1064</v>
      </c>
      <c r="D171" s="2311"/>
      <c r="E171" s="2056"/>
      <c r="F171" s="2220"/>
      <c r="G171" s="406"/>
      <c r="H171" s="1530"/>
      <c r="I171" s="657"/>
      <c r="J171" s="577"/>
      <c r="K171" s="1530"/>
      <c r="L171" s="200"/>
      <c r="M171" s="337"/>
      <c r="N171" s="330"/>
      <c r="O171" s="1664"/>
      <c r="P171" s="1664"/>
    </row>
    <row s="2948" customFormat="1" customHeight="1" ht="18.75" hidden="1">
      <c r="A172" s="1821" t="s">
        <v>228</v>
      </c>
      <c r="B172" s="1821" t="s">
        <v>229</v>
      </c>
      <c r="C172" s="369"/>
      <c r="D172" s="2311"/>
      <c r="E172" s="2056"/>
      <c r="F172" s="2220" t="str">
        <f>INDEX(PT_DIFFERENTIATION_VTAR,MATCH(A172,PT_DIFFERENTIATION_VTAR_ID,0))</f>
        <v>Тариф на транспортировку воды</v>
      </c>
      <c r="G172" s="2266" t="str">
        <f>INDEX(PT_DIFFERENTIATION_NTAR,MATCH(B172,PT_DIFFERENTIATION_NTAR_ID,0))</f>
        <v/>
      </c>
      <c r="H172" s="1905"/>
      <c r="I172" s="1779"/>
      <c r="J172" s="1814"/>
      <c r="K172" s="1819"/>
      <c r="L172" s="1905" t="s">
        <v>299</v>
      </c>
      <c r="M172" s="337"/>
      <c r="N172" s="330"/>
      <c r="O172" s="1664"/>
      <c r="P172" s="1664"/>
    </row>
    <row s="2948" customFormat="1" customHeight="1" ht="18.75" hidden="1">
      <c r="A173" s="1821"/>
      <c r="B173" s="1821"/>
      <c r="C173" s="369" t="s">
        <v>1057</v>
      </c>
      <c r="D173" s="2311"/>
      <c r="E173" s="2056"/>
      <c r="F173" s="2220"/>
      <c r="G173" s="2266"/>
      <c r="H173" s="1530"/>
      <c r="I173" s="657" t="s">
        <v>1056</v>
      </c>
      <c r="J173" s="577"/>
      <c r="K173" s="1530"/>
      <c r="L173" s="200"/>
      <c r="M173" s="337"/>
      <c r="N173" s="330"/>
      <c r="O173" s="1664"/>
      <c r="P173" s="1664"/>
    </row>
    <row s="2948" customFormat="1" customHeight="1" ht="0.75" hidden="1">
      <c r="A174" s="1821"/>
      <c r="B174" s="1821"/>
      <c r="C174" s="369" t="s">
        <v>1064</v>
      </c>
      <c r="D174" s="2311"/>
      <c r="E174" s="2056"/>
      <c r="F174" s="2220"/>
      <c r="G174" s="406"/>
      <c r="H174" s="1530"/>
      <c r="I174" s="657"/>
      <c r="J174" s="577"/>
      <c r="K174" s="1530"/>
      <c r="L174" s="200"/>
      <c r="M174" s="337"/>
      <c r="N174" s="330"/>
      <c r="O174" s="1664"/>
      <c r="P174" s="1664"/>
    </row>
    <row s="2948" customFormat="1" customHeight="1" ht="18.75" hidden="1">
      <c r="A175" s="1821" t="s">
        <v>233</v>
      </c>
      <c r="B175" s="1821" t="s">
        <v>234</v>
      </c>
      <c r="C175" s="369"/>
      <c r="D175" s="2311"/>
      <c r="E175" s="2056"/>
      <c r="F175" s="2220" t="str">
        <f>INDEX(PT_DIFFERENTIATION_VTAR,MATCH(A175,PT_DIFFERENTIATION_VTAR_ID,0))</f>
        <v>Тариф на подвоз воды</v>
      </c>
      <c r="G175" s="2266" t="str">
        <f>INDEX(PT_DIFFERENTIATION_NTAR,MATCH(B175,PT_DIFFERENTIATION_NTAR_ID,0))</f>
        <v/>
      </c>
      <c r="H175" s="1905"/>
      <c r="I175" s="1779"/>
      <c r="J175" s="1814"/>
      <c r="K175" s="1819"/>
      <c r="L175" s="1905" t="s">
        <v>299</v>
      </c>
      <c r="M175" s="337"/>
      <c r="N175" s="330"/>
      <c r="O175" s="1664"/>
      <c r="P175" s="1664"/>
    </row>
    <row s="2948" customFormat="1" customHeight="1" ht="18.75" hidden="1">
      <c r="A176" s="1821"/>
      <c r="B176" s="1821"/>
      <c r="C176" s="369" t="s">
        <v>1057</v>
      </c>
      <c r="D176" s="2311"/>
      <c r="E176" s="2056"/>
      <c r="F176" s="2220"/>
      <c r="G176" s="2266"/>
      <c r="H176" s="1530"/>
      <c r="I176" s="657" t="s">
        <v>1056</v>
      </c>
      <c r="J176" s="577"/>
      <c r="K176" s="1530"/>
      <c r="L176" s="200"/>
      <c r="M176" s="337"/>
      <c r="N176" s="330"/>
      <c r="O176" s="1664"/>
      <c r="P176" s="1664"/>
    </row>
    <row s="2948" customFormat="1" customHeight="1" ht="0.75" hidden="1">
      <c r="A177" s="1821"/>
      <c r="B177" s="1821"/>
      <c r="C177" s="369" t="s">
        <v>1064</v>
      </c>
      <c r="D177" s="2311"/>
      <c r="E177" s="2056"/>
      <c r="F177" s="2220"/>
      <c r="G177" s="406"/>
      <c r="H177" s="1530"/>
      <c r="I177" s="657"/>
      <c r="J177" s="577"/>
      <c r="K177" s="1530"/>
      <c r="L177" s="200"/>
      <c r="M177" s="337"/>
      <c r="N177" s="330"/>
      <c r="O177" s="1664"/>
      <c r="P177" s="1664"/>
    </row>
    <row s="2948" customFormat="1" customHeight="1" ht="18.75" hidden="1">
      <c r="A178" s="1821" t="s">
        <v>238</v>
      </c>
      <c r="B178" s="1821" t="s">
        <v>239</v>
      </c>
      <c r="C178" s="369"/>
      <c r="D178" s="2311"/>
      <c r="E178" s="2056"/>
      <c r="F178" s="2220" t="str">
        <f>INDEX(PT_DIFFERENTIATION_VTAR,MATCH(A178,PT_DIFFERENTIATION_VTAR_ID,0))</f>
        <v>Тариф на подключение (технологическое присоединение) к централизованной системе холодного водоснабжения</v>
      </c>
      <c r="G178" s="2266" t="str">
        <f>INDEX(PT_DIFFERENTIATION_NTAR,MATCH(B178,PT_DIFFERENTIATION_NTAR_ID,0))</f>
        <v/>
      </c>
      <c r="H178" s="1905"/>
      <c r="I178" s="1779"/>
      <c r="J178" s="1814"/>
      <c r="K178" s="1819"/>
      <c r="L178" s="1905" t="s">
        <v>299</v>
      </c>
      <c r="M178" s="337"/>
      <c r="N178" s="330"/>
      <c r="O178" s="1664"/>
      <c r="P178" s="1664"/>
    </row>
    <row s="2948" customFormat="1" customHeight="1" ht="18.75" hidden="1">
      <c r="A179" s="1821"/>
      <c r="B179" s="1821"/>
      <c r="C179" s="369" t="s">
        <v>1057</v>
      </c>
      <c r="D179" s="2311"/>
      <c r="E179" s="2056"/>
      <c r="F179" s="2220"/>
      <c r="G179" s="2266"/>
      <c r="H179" s="1530"/>
      <c r="I179" s="657" t="s">
        <v>1056</v>
      </c>
      <c r="J179" s="577"/>
      <c r="K179" s="1530"/>
      <c r="L179" s="200"/>
      <c r="M179" s="337"/>
      <c r="N179" s="330"/>
      <c r="O179" s="1664"/>
      <c r="P179" s="1664"/>
    </row>
    <row s="2948" customFormat="1" customHeight="1" ht="0.75" hidden="1">
      <c r="A180" s="1821"/>
      <c r="B180" s="1821"/>
      <c r="C180" s="369" t="s">
        <v>1064</v>
      </c>
      <c r="D180" s="2311"/>
      <c r="E180" s="2056"/>
      <c r="F180" s="2220"/>
      <c r="G180" s="406"/>
      <c r="H180" s="1530"/>
      <c r="I180" s="657"/>
      <c r="J180" s="577"/>
      <c r="K180" s="1530"/>
      <c r="L180" s="200"/>
      <c r="M180" s="337"/>
      <c r="N180" s="330"/>
      <c r="O180" s="1664"/>
      <c r="P180" s="1664"/>
    </row>
    <row s="2948" customFormat="1" customHeight="1" ht="18.75" hidden="1">
      <c r="A181" s="1821" t="s">
        <v>243</v>
      </c>
      <c r="B181" s="1821" t="s">
        <v>244</v>
      </c>
      <c r="C181" s="369"/>
      <c r="D181" s="2311"/>
      <c r="E181" s="2056"/>
      <c r="F181" s="2220" t="str">
        <f>INDEX(PT_DIFFERENTIATION_VTAR,MATCH(A181,PT_DIFFERENTIATION_VTAR_ID,0))</f>
        <v>Тариф на горячую воду (горячее водоснабжение)</v>
      </c>
      <c r="G181" s="2266" t="str">
        <f>INDEX(PT_DIFFERENTIATION_NTAR,MATCH(B181,PT_DIFFERENTIATION_NTAR_ID,0))</f>
        <v/>
      </c>
      <c r="H181" s="1905"/>
      <c r="I181" s="1779"/>
      <c r="J181" s="1814"/>
      <c r="K181" s="1819"/>
      <c r="L181" s="1905" t="s">
        <v>299</v>
      </c>
      <c r="M181" s="337"/>
      <c r="N181" s="330"/>
      <c r="O181" s="1664"/>
      <c r="P181" s="1664"/>
    </row>
    <row s="2948" customFormat="1" customHeight="1" ht="18.75" hidden="1">
      <c r="A182" s="1821"/>
      <c r="B182" s="1821"/>
      <c r="C182" s="369" t="s">
        <v>1057</v>
      </c>
      <c r="D182" s="2311"/>
      <c r="E182" s="2056"/>
      <c r="F182" s="2220"/>
      <c r="G182" s="2266"/>
      <c r="H182" s="1530"/>
      <c r="I182" s="657" t="s">
        <v>1056</v>
      </c>
      <c r="J182" s="577"/>
      <c r="K182" s="1530"/>
      <c r="L182" s="200"/>
      <c r="M182" s="337"/>
      <c r="N182" s="330"/>
      <c r="O182" s="1664"/>
      <c r="P182" s="1664"/>
    </row>
    <row s="2948" customFormat="1" customHeight="1" ht="0.75" hidden="1">
      <c r="A183" s="1821"/>
      <c r="B183" s="1821"/>
      <c r="C183" s="369" t="s">
        <v>1064</v>
      </c>
      <c r="D183" s="2311"/>
      <c r="E183" s="2056"/>
      <c r="F183" s="2220"/>
      <c r="G183" s="406"/>
      <c r="H183" s="1530"/>
      <c r="I183" s="657"/>
      <c r="J183" s="577"/>
      <c r="K183" s="1530"/>
      <c r="L183" s="200"/>
      <c r="M183" s="337"/>
      <c r="N183" s="330"/>
      <c r="O183" s="1664"/>
      <c r="P183" s="1664"/>
    </row>
    <row s="2948" customFormat="1" customHeight="1" ht="18.75" hidden="1">
      <c r="A184" s="1821" t="s">
        <v>248</v>
      </c>
      <c r="B184" s="1821" t="s">
        <v>249</v>
      </c>
      <c r="C184" s="369"/>
      <c r="D184" s="2311"/>
      <c r="E184" s="2056"/>
      <c r="F184" s="2220" t="str">
        <f>INDEX(PT_DIFFERENTIATION_VTAR,MATCH(A184,PT_DIFFERENTIATION_VTAR_ID,0))</f>
        <v>Тариф на транспортировку горячей воды</v>
      </c>
      <c r="G184" s="2266" t="str">
        <f>INDEX(PT_DIFFERENTIATION_NTAR,MATCH(B184,PT_DIFFERENTIATION_NTAR_ID,0))</f>
        <v/>
      </c>
      <c r="H184" s="1905"/>
      <c r="I184" s="1779"/>
      <c r="J184" s="1814"/>
      <c r="K184" s="1819"/>
      <c r="L184" s="1905" t="s">
        <v>299</v>
      </c>
      <c r="M184" s="337"/>
      <c r="N184" s="330"/>
      <c r="O184" s="1664"/>
      <c r="P184" s="1664"/>
    </row>
    <row s="2948" customFormat="1" customHeight="1" ht="18.75" hidden="1">
      <c r="A185" s="1821"/>
      <c r="B185" s="1821"/>
      <c r="C185" s="369" t="s">
        <v>1057</v>
      </c>
      <c r="D185" s="2311"/>
      <c r="E185" s="2056"/>
      <c r="F185" s="2220"/>
      <c r="G185" s="2266"/>
      <c r="H185" s="1530"/>
      <c r="I185" s="657" t="s">
        <v>1056</v>
      </c>
      <c r="J185" s="577"/>
      <c r="K185" s="1530"/>
      <c r="L185" s="200"/>
      <c r="M185" s="337"/>
      <c r="N185" s="330"/>
      <c r="O185" s="1664"/>
      <c r="P185" s="1664"/>
    </row>
    <row s="2948" customFormat="1" customHeight="1" ht="0.75" hidden="1">
      <c r="A186" s="1821"/>
      <c r="B186" s="1821"/>
      <c r="C186" s="369" t="s">
        <v>1064</v>
      </c>
      <c r="D186" s="2311"/>
      <c r="E186" s="2056"/>
      <c r="F186" s="2220"/>
      <c r="G186" s="406"/>
      <c r="H186" s="1530"/>
      <c r="I186" s="657"/>
      <c r="J186" s="577"/>
      <c r="K186" s="1530"/>
      <c r="L186" s="200"/>
      <c r="M186" s="337"/>
      <c r="N186" s="330"/>
      <c r="O186" s="1664"/>
      <c r="P186" s="1664"/>
    </row>
    <row s="2948" customFormat="1" customHeight="1" ht="18.75" hidden="1">
      <c r="A187" s="1821" t="s">
        <v>253</v>
      </c>
      <c r="B187" s="1821" t="s">
        <v>254</v>
      </c>
      <c r="C187" s="369"/>
      <c r="D187" s="2311"/>
      <c r="E187" s="2056"/>
      <c r="F187" s="2220" t="str">
        <f>INDEX(PT_DIFFERENTIATION_VTAR,MATCH(A187,PT_DIFFERENTIATION_VTAR_ID,0))</f>
        <v>Тариф на подключение (технологическое присоединение) к централизованной системе горячего водоснабжения</v>
      </c>
      <c r="G187" s="2266" t="str">
        <f>INDEX(PT_DIFFERENTIATION_NTAR,MATCH(B187,PT_DIFFERENTIATION_NTAR_ID,0))</f>
        <v/>
      </c>
      <c r="H187" s="1905"/>
      <c r="I187" s="1779"/>
      <c r="J187" s="1814"/>
      <c r="K187" s="1819"/>
      <c r="L187" s="1905" t="s">
        <v>299</v>
      </c>
      <c r="M187" s="337"/>
      <c r="N187" s="330"/>
      <c r="O187" s="1664"/>
      <c r="P187" s="1664"/>
    </row>
    <row s="2948" customFormat="1" customHeight="1" ht="18.75" hidden="1">
      <c r="A188" s="1821"/>
      <c r="B188" s="1821"/>
      <c r="C188" s="369" t="s">
        <v>1057</v>
      </c>
      <c r="D188" s="2311"/>
      <c r="E188" s="2056"/>
      <c r="F188" s="2220"/>
      <c r="G188" s="2266"/>
      <c r="H188" s="1530"/>
      <c r="I188" s="657" t="s">
        <v>1056</v>
      </c>
      <c r="J188" s="577"/>
      <c r="K188" s="1530"/>
      <c r="L188" s="200"/>
      <c r="M188" s="337"/>
      <c r="N188" s="330"/>
      <c r="O188" s="1664"/>
      <c r="P188" s="1664"/>
    </row>
    <row s="2948" customFormat="1" customHeight="1" ht="0.75" hidden="1">
      <c r="A189" s="1821"/>
      <c r="B189" s="1821"/>
      <c r="C189" s="369" t="s">
        <v>1064</v>
      </c>
      <c r="D189" s="2311"/>
      <c r="E189" s="2056"/>
      <c r="F189" s="2220"/>
      <c r="G189" s="406"/>
      <c r="H189" s="1530"/>
      <c r="I189" s="657"/>
      <c r="J189" s="577"/>
      <c r="K189" s="1530"/>
      <c r="L189" s="200"/>
      <c r="M189" s="337"/>
      <c r="N189" s="330"/>
      <c r="O189" s="1664"/>
      <c r="P189" s="1664"/>
    </row>
    <row s="2948" customFormat="1" customHeight="1" ht="18.75" hidden="1">
      <c r="A190" s="1821" t="s">
        <v>258</v>
      </c>
      <c r="B190" s="1821" t="s">
        <v>259</v>
      </c>
      <c r="C190" s="369"/>
      <c r="D190" s="2311"/>
      <c r="E190" s="2056"/>
      <c r="F190" s="2220" t="str">
        <f>INDEX(PT_DIFFERENTIATION_VTAR,MATCH(A190,PT_DIFFERENTIATION_VTAR_ID,0))</f>
        <v>Тариф на водоотведение</v>
      </c>
      <c r="G190" s="2266" t="str">
        <f>INDEX(PT_DIFFERENTIATION_NTAR,MATCH(B190,PT_DIFFERENTIATION_NTAR_ID,0))</f>
        <v/>
      </c>
      <c r="H190" s="1905"/>
      <c r="I190" s="1779"/>
      <c r="J190" s="1814"/>
      <c r="K190" s="1819"/>
      <c r="L190" s="1905" t="s">
        <v>299</v>
      </c>
      <c r="M190" s="337"/>
      <c r="N190" s="330"/>
      <c r="O190" s="1664"/>
      <c r="P190" s="1664"/>
    </row>
    <row s="2948" customFormat="1" customHeight="1" ht="18.75" hidden="1">
      <c r="A191" s="1821"/>
      <c r="B191" s="1821"/>
      <c r="C191" s="369" t="s">
        <v>1057</v>
      </c>
      <c r="D191" s="2311"/>
      <c r="E191" s="2056"/>
      <c r="F191" s="2220"/>
      <c r="G191" s="2266"/>
      <c r="H191" s="1530"/>
      <c r="I191" s="657" t="s">
        <v>1056</v>
      </c>
      <c r="J191" s="577"/>
      <c r="K191" s="1530"/>
      <c r="L191" s="200"/>
      <c r="M191" s="337"/>
      <c r="N191" s="330"/>
      <c r="O191" s="1664"/>
      <c r="P191" s="1664"/>
    </row>
    <row s="2948" customFormat="1" customHeight="1" ht="0.75" hidden="1">
      <c r="A192" s="1821"/>
      <c r="B192" s="1821"/>
      <c r="C192" s="369" t="s">
        <v>1064</v>
      </c>
      <c r="D192" s="2311"/>
      <c r="E192" s="2056"/>
      <c r="F192" s="2220"/>
      <c r="G192" s="406"/>
      <c r="H192" s="1530"/>
      <c r="I192" s="657"/>
      <c r="J192" s="577"/>
      <c r="K192" s="1530"/>
      <c r="L192" s="200"/>
      <c r="M192" s="337"/>
      <c r="N192" s="330"/>
      <c r="O192" s="1664"/>
      <c r="P192" s="1664"/>
    </row>
    <row s="2948" customFormat="1" customHeight="1" ht="18.75" hidden="1">
      <c r="A193" s="1821" t="s">
        <v>263</v>
      </c>
      <c r="B193" s="1821" t="s">
        <v>264</v>
      </c>
      <c r="C193" s="369"/>
      <c r="D193" s="2311"/>
      <c r="E193" s="2056"/>
      <c r="F193" s="2220" t="str">
        <f>INDEX(PT_DIFFERENTIATION_VTAR,MATCH(A193,PT_DIFFERENTIATION_VTAR_ID,0))</f>
        <v>Тариф на транспортировку сточных вод</v>
      </c>
      <c r="G193" s="2266" t="str">
        <f>INDEX(PT_DIFFERENTIATION_NTAR,MATCH(B193,PT_DIFFERENTIATION_NTAR_ID,0))</f>
        <v/>
      </c>
      <c r="H193" s="1905"/>
      <c r="I193" s="1779"/>
      <c r="J193" s="1814"/>
      <c r="K193" s="1819"/>
      <c r="L193" s="1905" t="s">
        <v>299</v>
      </c>
      <c r="M193" s="337"/>
      <c r="N193" s="330"/>
      <c r="O193" s="1664"/>
      <c r="P193" s="1664"/>
    </row>
    <row s="2948" customFormat="1" customHeight="1" ht="18.75" hidden="1">
      <c r="A194" s="1821"/>
      <c r="B194" s="1821"/>
      <c r="C194" s="369" t="s">
        <v>1057</v>
      </c>
      <c r="D194" s="2311"/>
      <c r="E194" s="2056"/>
      <c r="F194" s="2220"/>
      <c r="G194" s="2266"/>
      <c r="H194" s="1530"/>
      <c r="I194" s="657" t="s">
        <v>1056</v>
      </c>
      <c r="J194" s="577"/>
      <c r="K194" s="1530"/>
      <c r="L194" s="200"/>
      <c r="M194" s="337"/>
      <c r="N194" s="330"/>
      <c r="O194" s="1664"/>
      <c r="P194" s="1664"/>
    </row>
    <row s="2948" customFormat="1" customHeight="1" ht="0.75" hidden="1">
      <c r="A195" s="1821"/>
      <c r="B195" s="1821"/>
      <c r="C195" s="369" t="s">
        <v>1064</v>
      </c>
      <c r="D195" s="2311"/>
      <c r="E195" s="2056"/>
      <c r="F195" s="2220"/>
      <c r="G195" s="406"/>
      <c r="H195" s="1530"/>
      <c r="I195" s="657"/>
      <c r="J195" s="577"/>
      <c r="K195" s="1530"/>
      <c r="L195" s="200"/>
      <c r="M195" s="337"/>
      <c r="N195" s="330"/>
      <c r="O195" s="1664"/>
      <c r="P195" s="1664"/>
    </row>
    <row s="2948" customFormat="1" customHeight="1" ht="18.75" hidden="1">
      <c r="A196" s="1821" t="s">
        <v>268</v>
      </c>
      <c r="B196" s="1821" t="s">
        <v>269</v>
      </c>
      <c r="C196" s="369"/>
      <c r="D196" s="2311"/>
      <c r="E196" s="2056"/>
      <c r="F196" s="2220" t="str">
        <f>INDEX(PT_DIFFERENTIATION_VTAR,MATCH(A196,PT_DIFFERENTIATION_VTAR_ID,0))</f>
        <v>Тариф на подключение (технологическое присоединение) к централизованной системе водоотведения</v>
      </c>
      <c r="G196" s="2266" t="str">
        <f>INDEX(PT_DIFFERENTIATION_NTAR,MATCH(B196,PT_DIFFERENTIATION_NTAR_ID,0))</f>
        <v/>
      </c>
      <c r="H196" s="1905"/>
      <c r="I196" s="1779"/>
      <c r="J196" s="1814"/>
      <c r="K196" s="1819"/>
      <c r="L196" s="1905" t="s">
        <v>299</v>
      </c>
      <c r="M196" s="337"/>
      <c r="N196" s="330"/>
      <c r="O196" s="1664"/>
      <c r="P196" s="1664"/>
    </row>
    <row s="2948" customFormat="1" customHeight="1" ht="18.75" hidden="1">
      <c r="A197" s="1821"/>
      <c r="B197" s="1821"/>
      <c r="C197" s="369" t="s">
        <v>1057</v>
      </c>
      <c r="D197" s="2311"/>
      <c r="E197" s="2056"/>
      <c r="F197" s="2220"/>
      <c r="G197" s="2266"/>
      <c r="H197" s="1530"/>
      <c r="I197" s="657" t="s">
        <v>1056</v>
      </c>
      <c r="J197" s="577"/>
      <c r="K197" s="1530"/>
      <c r="L197" s="200"/>
      <c r="M197" s="337"/>
      <c r="N197" s="330"/>
      <c r="O197" s="1664"/>
      <c r="P197" s="1664"/>
    </row>
    <row s="2948" customFormat="1" customHeight="1" ht="0.75">
      <c r="A198" s="1821"/>
      <c r="B198" s="1821"/>
      <c r="C198" s="369" t="s">
        <v>1064</v>
      </c>
      <c r="D198" s="2311"/>
      <c r="E198" s="2056"/>
      <c r="F198" s="2220"/>
      <c r="G198" s="406"/>
      <c r="H198" s="1530"/>
      <c r="I198" s="657"/>
      <c r="J198" s="577"/>
      <c r="K198" s="1530"/>
      <c r="L198" s="200"/>
      <c r="M198" s="337"/>
      <c r="N198" s="330"/>
      <c r="O198" s="1664"/>
      <c r="P198" s="1664"/>
    </row>
    <row customHeight="1" ht="26.25">
      <c r="A199" s="1821"/>
      <c r="B199" s="1821"/>
      <c r="D199" s="377"/>
      <c r="E199" s="133" t="s">
        <v>112</v>
      </c>
      <c r="F199" s="2303"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199" s="2303"/>
      <c r="H199" s="2303"/>
      <c r="I199" s="2303"/>
      <c r="J199" s="2303"/>
      <c r="K199" s="2303"/>
      <c r="L199" s="2303"/>
      <c r="M199" s="285"/>
      <c r="N199" s="330"/>
    </row>
    <row s="2948" customFormat="1" customHeight="1" ht="60.75" hidden="1">
      <c r="A200" s="1821" t="s">
        <v>156</v>
      </c>
      <c r="B200" s="1821" t="s">
        <v>157</v>
      </c>
      <c r="C200" s="369"/>
      <c r="D200" s="2311"/>
      <c r="E200" s="2056"/>
      <c r="F200" s="2220" t="str">
        <f>INDEX(PT_DIFFERENTIATION_VTAR,MATCH(A200,PT_DIFFERENTIATION_VTAR_ID,0))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0" s="2266" t="str">
        <f>INDEX(PT_DIFFERENTIATION_NTAR,MATCH(B200,PT_DIFFERENTIATION_NTAR_ID,0))</f>
        <v/>
      </c>
      <c r="H200" s="1905"/>
      <c r="I200" s="1779"/>
      <c r="J200" s="1814"/>
      <c r="K200" s="1819"/>
      <c r="L200" s="1905" t="s">
        <v>299</v>
      </c>
      <c r="M200" s="201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0" s="330"/>
      <c r="O200" s="1664"/>
      <c r="P200" s="1664"/>
    </row>
    <row s="2948" customFormat="1" customHeight="1" ht="18.75" hidden="1">
      <c r="A201" s="1821"/>
      <c r="B201" s="1821"/>
      <c r="C201" s="369" t="s">
        <v>1057</v>
      </c>
      <c r="D201" s="2311"/>
      <c r="E201" s="2056"/>
      <c r="F201" s="2220"/>
      <c r="G201" s="2266"/>
      <c r="H201" s="1530"/>
      <c r="I201" s="657" t="s">
        <v>1056</v>
      </c>
      <c r="J201" s="577"/>
      <c r="K201" s="1530"/>
      <c r="L201" s="200"/>
      <c r="M201" s="2016"/>
      <c r="N201" s="330"/>
      <c r="O201" s="1664"/>
      <c r="P201" s="1664"/>
    </row>
    <row s="2948" customFormat="1" customHeight="1" ht="0.75" hidden="1">
      <c r="A202" s="1821"/>
      <c r="B202" s="1821"/>
      <c r="C202" s="369" t="s">
        <v>1064</v>
      </c>
      <c r="D202" s="2311"/>
      <c r="E202" s="2056"/>
      <c r="F202" s="2220"/>
      <c r="G202" s="406"/>
      <c r="H202" s="1530"/>
      <c r="I202" s="657"/>
      <c r="J202" s="577"/>
      <c r="K202" s="1530"/>
      <c r="L202" s="200"/>
      <c r="M202" s="2016"/>
      <c r="N202" s="330"/>
      <c r="O202" s="1664"/>
      <c r="P202" s="1664"/>
    </row>
    <row s="2948" customFormat="1" customHeight="1" ht="45" hidden="1">
      <c r="A203" s="1821" t="s">
        <v>162</v>
      </c>
      <c r="B203" s="1821" t="s">
        <v>163</v>
      </c>
      <c r="C203" s="369"/>
      <c r="D203" s="2311"/>
      <c r="E203" s="2056"/>
      <c r="F203" s="2220" t="str">
        <f>INDEX(PT_DIFFERENTIATION_VTAR,MATCH(A203,PT_DIFFERENTIATION_VTAR_ID,0))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03" s="2266" t="str">
        <f>INDEX(PT_DIFFERENTIATION_NTAR,MATCH(B203,PT_DIFFERENTIATION_NTAR_ID,0))</f>
        <v/>
      </c>
      <c r="H203" s="1905"/>
      <c r="I203" s="1779"/>
      <c r="J203" s="1814"/>
      <c r="K203" s="1819"/>
      <c r="L203" s="1905" t="s">
        <v>299</v>
      </c>
      <c r="M203" s="2017"/>
      <c r="N203" s="330"/>
      <c r="O203" s="1664"/>
      <c r="P203" s="1664"/>
    </row>
    <row s="2948" customFormat="1" customHeight="1" ht="18.75" hidden="1">
      <c r="A204" s="1821"/>
      <c r="B204" s="1821"/>
      <c r="C204" s="369" t="s">
        <v>1057</v>
      </c>
      <c r="D204" s="2311"/>
      <c r="E204" s="2056"/>
      <c r="F204" s="2220"/>
      <c r="G204" s="2266"/>
      <c r="H204" s="1530"/>
      <c r="I204" s="657" t="s">
        <v>1056</v>
      </c>
      <c r="J204" s="577"/>
      <c r="K204" s="1530"/>
      <c r="L204" s="200"/>
      <c r="M204" s="1904"/>
      <c r="N204" s="330"/>
      <c r="O204" s="1664"/>
      <c r="P204" s="1664"/>
    </row>
    <row s="2948" customFormat="1" customHeight="1" ht="0.75" hidden="1">
      <c r="A205" s="1821"/>
      <c r="B205" s="1821"/>
      <c r="C205" s="369" t="s">
        <v>1064</v>
      </c>
      <c r="D205" s="2311"/>
      <c r="E205" s="2056"/>
      <c r="F205" s="2220"/>
      <c r="G205" s="406"/>
      <c r="H205" s="1530"/>
      <c r="I205" s="657"/>
      <c r="J205" s="577"/>
      <c r="K205" s="1530"/>
      <c r="L205" s="200"/>
      <c r="M205" s="337"/>
      <c r="N205" s="330"/>
      <c r="O205" s="1664"/>
      <c r="P205" s="1664"/>
    </row>
    <row s="2948" customFormat="1" customHeight="1" ht="45" hidden="1">
      <c r="A206" s="1821" t="s">
        <v>168</v>
      </c>
      <c r="B206" s="1821" t="s">
        <v>169</v>
      </c>
      <c r="C206" s="369"/>
      <c r="D206" s="2311"/>
      <c r="E206" s="2056"/>
      <c r="F206" s="2220" t="str">
        <f>INDEX(PT_DIFFERENTIATION_VTAR,MATCH(A206,PT_DIFFERENTIATION_VTAR_ID,0))</f>
        <v>Тарифы на теплоноситель, поставляемый теплоснабжающими организациями потребителям, другим теплоснабжающим организациям</v>
      </c>
      <c r="G206" s="2266" t="str">
        <f>INDEX(PT_DIFFERENTIATION_NTAR,MATCH(B206,PT_DIFFERENTIATION_NTAR_ID,0))</f>
        <v/>
      </c>
      <c r="H206" s="1905"/>
      <c r="I206" s="1779"/>
      <c r="J206" s="1814"/>
      <c r="K206" s="1819"/>
      <c r="L206" s="1905" t="s">
        <v>299</v>
      </c>
      <c r="M206" s="337"/>
      <c r="N206" s="330"/>
      <c r="O206" s="1664"/>
      <c r="P206" s="1664"/>
    </row>
    <row s="2948" customFormat="1" customHeight="1" ht="18.75" hidden="1">
      <c r="A207" s="1821"/>
      <c r="B207" s="1821"/>
      <c r="C207" s="369" t="s">
        <v>1057</v>
      </c>
      <c r="D207" s="2311"/>
      <c r="E207" s="2056"/>
      <c r="F207" s="2220"/>
      <c r="G207" s="2266"/>
      <c r="H207" s="1530"/>
      <c r="I207" s="657" t="s">
        <v>1056</v>
      </c>
      <c r="J207" s="577"/>
      <c r="K207" s="1530"/>
      <c r="L207" s="200"/>
      <c r="M207" s="337"/>
      <c r="N207" s="330"/>
      <c r="O207" s="1664"/>
      <c r="P207" s="1664"/>
    </row>
    <row s="2948" customFormat="1" customHeight="1" ht="0.75" hidden="1">
      <c r="A208" s="1821"/>
      <c r="B208" s="1821"/>
      <c r="C208" s="369" t="s">
        <v>1064</v>
      </c>
      <c r="D208" s="2311"/>
      <c r="E208" s="2056"/>
      <c r="F208" s="2220"/>
      <c r="G208" s="406"/>
      <c r="H208" s="1530"/>
      <c r="I208" s="657"/>
      <c r="J208" s="577"/>
      <c r="K208" s="1530"/>
      <c r="L208" s="200"/>
      <c r="M208" s="337"/>
      <c r="N208" s="330"/>
      <c r="O208" s="1664"/>
      <c r="P208" s="1664"/>
    </row>
    <row s="2948" customFormat="1" customHeight="1" ht="45" hidden="1">
      <c r="A209" s="1821" t="s">
        <v>176</v>
      </c>
      <c r="B209" s="1821" t="s">
        <v>177</v>
      </c>
      <c r="C209" s="369"/>
      <c r="D209" s="2311"/>
      <c r="E209" s="2056"/>
      <c r="F209" s="2220" t="str">
        <f>INDEX(PT_DIFFERENTIATION_VTAR,MATCH(A209,PT_DIFFERENTIATION_VTAR_ID,0))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09" s="2266" t="str">
        <f>INDEX(PT_DIFFERENTIATION_NTAR,MATCH(B209,PT_DIFFERENTIATION_NTAR_ID,0))</f>
        <v>Долгосрочный тариф на горячую воду, поставляемую потребителям с использованием открытой системы теплоснабжения</v>
      </c>
      <c r="H209" s="1905"/>
      <c r="I209" s="1779"/>
      <c r="J209" s="1814"/>
      <c r="K209" s="1819"/>
      <c r="L209" s="1905" t="s">
        <v>299</v>
      </c>
      <c r="M209" s="337"/>
      <c r="N209" s="330"/>
      <c r="O209" s="1664"/>
      <c r="P209" s="1664"/>
    </row>
    <row s="2948" customFormat="1" customHeight="1" ht="18.75" hidden="1">
      <c r="A210" s="1821"/>
      <c r="B210" s="1821"/>
      <c r="C210" s="369" t="s">
        <v>1057</v>
      </c>
      <c r="D210" s="2311"/>
      <c r="E210" s="2056"/>
      <c r="F210" s="2220"/>
      <c r="G210" s="2266"/>
      <c r="H210" s="1530"/>
      <c r="I210" s="657" t="s">
        <v>1056</v>
      </c>
      <c r="J210" s="577"/>
      <c r="K210" s="1530"/>
      <c r="L210" s="200"/>
      <c r="M210" s="337"/>
      <c r="N210" s="330"/>
      <c r="O210" s="1664"/>
      <c r="P210" s="1664"/>
    </row>
    <row s="2948" customFormat="1" customHeight="1" ht="0.75" hidden="1">
      <c r="A211" s="1821"/>
      <c r="B211" s="1821"/>
      <c r="C211" s="369" t="s">
        <v>1064</v>
      </c>
      <c r="D211" s="2311"/>
      <c r="E211" s="2056"/>
      <c r="F211" s="2220"/>
      <c r="G211" s="406"/>
      <c r="H211" s="1530"/>
      <c r="I211" s="657"/>
      <c r="J211" s="577"/>
      <c r="K211" s="1530"/>
      <c r="L211" s="200"/>
      <c r="M211" s="337"/>
      <c r="N211" s="330"/>
      <c r="O211" s="1664"/>
      <c r="P211" s="1664"/>
    </row>
    <row s="2948" customFormat="1" customHeight="1" ht="18.75" hidden="1">
      <c r="A212" s="1821" t="s">
        <v>186</v>
      </c>
      <c r="B212" s="1821" t="s">
        <v>187</v>
      </c>
      <c r="C212" s="369"/>
      <c r="D212" s="2311"/>
      <c r="E212" s="2056"/>
      <c r="F212" s="2220" t="str">
        <f>INDEX(PT_DIFFERENTIATION_VTAR,MATCH(A212,PT_DIFFERENTIATION_VTAR_ID,0))</f>
        <v>Тарифы на услуги по передаче тепловой энергии</v>
      </c>
      <c r="G212" s="2266" t="str">
        <f>INDEX(PT_DIFFERENTIATION_NTAR,MATCH(B212,PT_DIFFERENTIATION_NTAR_ID,0))</f>
        <v/>
      </c>
      <c r="H212" s="1905"/>
      <c r="I212" s="1779"/>
      <c r="J212" s="1814"/>
      <c r="K212" s="1819"/>
      <c r="L212" s="1905" t="s">
        <v>299</v>
      </c>
      <c r="M212" s="337"/>
      <c r="N212" s="330"/>
      <c r="O212" s="1664"/>
      <c r="P212" s="1664"/>
    </row>
    <row s="2948" customFormat="1" customHeight="1" ht="18.75" hidden="1">
      <c r="A213" s="1821"/>
      <c r="B213" s="1821"/>
      <c r="C213" s="369" t="s">
        <v>1057</v>
      </c>
      <c r="D213" s="2311"/>
      <c r="E213" s="2056"/>
      <c r="F213" s="2220"/>
      <c r="G213" s="2266"/>
      <c r="H213" s="1530"/>
      <c r="I213" s="657" t="s">
        <v>1056</v>
      </c>
      <c r="J213" s="577"/>
      <c r="K213" s="1530"/>
      <c r="L213" s="200"/>
      <c r="M213" s="337"/>
      <c r="N213" s="330"/>
      <c r="O213" s="1664"/>
      <c r="P213" s="1664"/>
    </row>
    <row s="2948" customFormat="1" customHeight="1" ht="0.75" hidden="1">
      <c r="A214" s="1821"/>
      <c r="B214" s="1821"/>
      <c r="C214" s="369" t="s">
        <v>1064</v>
      </c>
      <c r="D214" s="2311"/>
      <c r="E214" s="2056"/>
      <c r="F214" s="2220"/>
      <c r="G214" s="406"/>
      <c r="H214" s="1530"/>
      <c r="I214" s="657"/>
      <c r="J214" s="577"/>
      <c r="K214" s="1530"/>
      <c r="L214" s="200"/>
      <c r="M214" s="337"/>
      <c r="N214" s="330"/>
      <c r="O214" s="1664"/>
      <c r="P214" s="1664"/>
    </row>
    <row s="2948" customFormat="1" customHeight="1" ht="18.75" hidden="1">
      <c r="A215" s="1821" t="s">
        <v>192</v>
      </c>
      <c r="B215" s="1821" t="s">
        <v>193</v>
      </c>
      <c r="C215" s="369"/>
      <c r="D215" s="2311"/>
      <c r="E215" s="2056"/>
      <c r="F215" s="2220" t="str">
        <f>INDEX(PT_DIFFERENTIATION_VTAR,MATCH(A215,PT_DIFFERENTIATION_VTAR_ID,0))</f>
        <v>Тарифы на услуги по передаче теплоносителя</v>
      </c>
      <c r="G215" s="2266" t="str">
        <f>INDEX(PT_DIFFERENTIATION_NTAR,MATCH(B215,PT_DIFFERENTIATION_NTAR_ID,0))</f>
        <v/>
      </c>
      <c r="H215" s="1905"/>
      <c r="I215" s="1779"/>
      <c r="J215" s="1814"/>
      <c r="K215" s="1819"/>
      <c r="L215" s="1905" t="s">
        <v>299</v>
      </c>
      <c r="M215" s="337"/>
      <c r="N215" s="330"/>
      <c r="O215" s="1664"/>
      <c r="P215" s="1664"/>
    </row>
    <row s="2948" customFormat="1" customHeight="1" ht="18.75" hidden="1">
      <c r="A216" s="1821"/>
      <c r="B216" s="1821"/>
      <c r="C216" s="369" t="s">
        <v>1057</v>
      </c>
      <c r="D216" s="2311"/>
      <c r="E216" s="2056"/>
      <c r="F216" s="2220"/>
      <c r="G216" s="2266"/>
      <c r="H216" s="1530"/>
      <c r="I216" s="657" t="s">
        <v>1056</v>
      </c>
      <c r="J216" s="577"/>
      <c r="K216" s="1530"/>
      <c r="L216" s="200"/>
      <c r="M216" s="337"/>
      <c r="N216" s="330"/>
      <c r="O216" s="1664"/>
      <c r="P216" s="1664"/>
    </row>
    <row s="2948" customFormat="1" customHeight="1" ht="0.75" hidden="1">
      <c r="A217" s="1821"/>
      <c r="B217" s="1821"/>
      <c r="C217" s="369" t="s">
        <v>1064</v>
      </c>
      <c r="D217" s="2311"/>
      <c r="E217" s="2056"/>
      <c r="F217" s="2220"/>
      <c r="G217" s="406"/>
      <c r="H217" s="1530"/>
      <c r="I217" s="657"/>
      <c r="J217" s="577"/>
      <c r="K217" s="1530"/>
      <c r="L217" s="200"/>
      <c r="M217" s="337"/>
      <c r="N217" s="330"/>
      <c r="O217" s="1664"/>
      <c r="P217" s="1664"/>
    </row>
    <row s="2948" customFormat="1" customHeight="1" ht="18.75" hidden="1">
      <c r="A218" s="1821" t="s">
        <v>198</v>
      </c>
      <c r="B218" s="1821" t="s">
        <v>199</v>
      </c>
      <c r="C218" s="369"/>
      <c r="D218" s="2311"/>
      <c r="E218" s="2056"/>
      <c r="F218" s="2220" t="str">
        <f>INDEX(PT_DIFFERENTIATION_VTAR,MATCH(A218,PT_DIFFERENTIATION_VTAR_ID,0))</f>
        <v>Плата за услуги по поддержанию резервной тепловой мощности при отсутствии потребления тепловой энергии</v>
      </c>
      <c r="G218" s="2266" t="str">
        <f>INDEX(PT_DIFFERENTIATION_NTAR,MATCH(B218,PT_DIFFERENTIATION_NTAR_ID,0))</f>
        <v/>
      </c>
      <c r="H218" s="1905"/>
      <c r="I218" s="1779"/>
      <c r="J218" s="1814"/>
      <c r="K218" s="1819"/>
      <c r="L218" s="1905" t="s">
        <v>299</v>
      </c>
      <c r="M218" s="337"/>
      <c r="N218" s="330"/>
      <c r="O218" s="1664"/>
      <c r="P218" s="1664"/>
    </row>
    <row s="2948" customFormat="1" customHeight="1" ht="18.75" hidden="1">
      <c r="A219" s="1821"/>
      <c r="B219" s="1821"/>
      <c r="C219" s="369" t="s">
        <v>1057</v>
      </c>
      <c r="D219" s="2311"/>
      <c r="E219" s="2056"/>
      <c r="F219" s="2220"/>
      <c r="G219" s="2266"/>
      <c r="H219" s="1530"/>
      <c r="I219" s="657" t="s">
        <v>1056</v>
      </c>
      <c r="J219" s="577"/>
      <c r="K219" s="1530"/>
      <c r="L219" s="200"/>
      <c r="M219" s="337"/>
      <c r="N219" s="330"/>
      <c r="O219" s="1664"/>
      <c r="P219" s="1664"/>
    </row>
    <row s="2948" customFormat="1" customHeight="1" ht="0.75" hidden="1">
      <c r="A220" s="1821"/>
      <c r="B220" s="1821"/>
      <c r="C220" s="369" t="s">
        <v>1064</v>
      </c>
      <c r="D220" s="2311"/>
      <c r="E220" s="2056"/>
      <c r="F220" s="2220"/>
      <c r="G220" s="406"/>
      <c r="H220" s="1530"/>
      <c r="I220" s="657"/>
      <c r="J220" s="577"/>
      <c r="K220" s="1530"/>
      <c r="L220" s="200"/>
      <c r="M220" s="337"/>
      <c r="N220" s="330"/>
      <c r="O220" s="1664"/>
      <c r="P220" s="1664"/>
    </row>
    <row s="2948" customFormat="1" customHeight="1" ht="18.75" hidden="1">
      <c r="A221" s="1821" t="s">
        <v>204</v>
      </c>
      <c r="B221" s="1821" t="s">
        <v>205</v>
      </c>
      <c r="C221" s="369"/>
      <c r="D221" s="2311"/>
      <c r="E221" s="2056"/>
      <c r="F221" s="2220" t="str">
        <f>INDEX(PT_DIFFERENTIATION_VTAR,MATCH(A221,PT_DIFFERENTIATION_VTAR_ID,0))</f>
        <v>Плата за подключение (технологическое присоединение) к системе теплоснабжения</v>
      </c>
      <c r="G221" s="2266" t="str">
        <f>INDEX(PT_DIFFERENTIATION_NTAR,MATCH(B221,PT_DIFFERENTIATION_NTAR_ID,0))</f>
        <v/>
      </c>
      <c r="H221" s="1905"/>
      <c r="I221" s="1779"/>
      <c r="J221" s="1814"/>
      <c r="K221" s="1819"/>
      <c r="L221" s="1905" t="s">
        <v>299</v>
      </c>
      <c r="M221" s="337"/>
      <c r="N221" s="330"/>
      <c r="O221" s="1664"/>
      <c r="P221" s="1664"/>
    </row>
    <row s="2948" customFormat="1" customHeight="1" ht="18.75" hidden="1">
      <c r="A222" s="1821"/>
      <c r="B222" s="1821"/>
      <c r="C222" s="369" t="s">
        <v>1057</v>
      </c>
      <c r="D222" s="2311"/>
      <c r="E222" s="2056"/>
      <c r="F222" s="2220"/>
      <c r="G222" s="2266"/>
      <c r="H222" s="1530"/>
      <c r="I222" s="657" t="s">
        <v>1056</v>
      </c>
      <c r="J222" s="577"/>
      <c r="K222" s="1530"/>
      <c r="L222" s="200"/>
      <c r="M222" s="337"/>
      <c r="N222" s="330"/>
      <c r="O222" s="1664"/>
      <c r="P222" s="1664"/>
    </row>
    <row s="2948" customFormat="1" customHeight="1" ht="0.75" hidden="1">
      <c r="A223" s="1821"/>
      <c r="B223" s="1821"/>
      <c r="C223" s="369" t="s">
        <v>1064</v>
      </c>
      <c r="D223" s="2311"/>
      <c r="E223" s="2056"/>
      <c r="F223" s="2220"/>
      <c r="G223" s="406"/>
      <c r="H223" s="1530"/>
      <c r="I223" s="657"/>
      <c r="J223" s="577"/>
      <c r="K223" s="1530"/>
      <c r="L223" s="200"/>
      <c r="M223" s="337"/>
      <c r="N223" s="330"/>
      <c r="O223" s="1664"/>
      <c r="P223" s="1664"/>
    </row>
    <row s="2948" customFormat="1" customHeight="1" ht="18.75" hidden="1">
      <c r="A224" s="1821" t="s">
        <v>218</v>
      </c>
      <c r="B224" s="1821" t="s">
        <v>219</v>
      </c>
      <c r="C224" s="369"/>
      <c r="D224" s="2311"/>
      <c r="E224" s="2056"/>
      <c r="F224" s="2220" t="str">
        <f>INDEX(PT_DIFFERENTIATION_VTAR,MATCH(A224,PT_DIFFERENTIATION_VTAR_ID,0))</f>
        <v>Тариф на питьевую воду (питьевое водоснабжение)</v>
      </c>
      <c r="G224" s="2266" t="str">
        <f>INDEX(PT_DIFFERENTIATION_NTAR,MATCH(B224,PT_DIFFERENTIATION_NTAR_ID,0))</f>
        <v/>
      </c>
      <c r="H224" s="1905"/>
      <c r="I224" s="1779"/>
      <c r="J224" s="1814"/>
      <c r="K224" s="1819"/>
      <c r="L224" s="1905" t="s">
        <v>299</v>
      </c>
      <c r="M224" s="337"/>
      <c r="N224" s="330"/>
      <c r="O224" s="1664"/>
      <c r="P224" s="1664"/>
    </row>
    <row s="2948" customFormat="1" customHeight="1" ht="18.75" hidden="1">
      <c r="A225" s="1821"/>
      <c r="B225" s="1821"/>
      <c r="C225" s="369" t="s">
        <v>1057</v>
      </c>
      <c r="D225" s="2311"/>
      <c r="E225" s="2056"/>
      <c r="F225" s="2220"/>
      <c r="G225" s="2266"/>
      <c r="H225" s="1530"/>
      <c r="I225" s="657" t="s">
        <v>1056</v>
      </c>
      <c r="J225" s="577"/>
      <c r="K225" s="1530"/>
      <c r="L225" s="200"/>
      <c r="M225" s="337"/>
      <c r="N225" s="330"/>
      <c r="O225" s="1664"/>
      <c r="P225" s="1664"/>
    </row>
    <row s="2948" customFormat="1" customHeight="1" ht="0.75" hidden="1">
      <c r="A226" s="1821"/>
      <c r="B226" s="1821"/>
      <c r="C226" s="369" t="s">
        <v>1064</v>
      </c>
      <c r="D226" s="2311"/>
      <c r="E226" s="2056"/>
      <c r="F226" s="2220"/>
      <c r="G226" s="406"/>
      <c r="H226" s="1530"/>
      <c r="I226" s="657"/>
      <c r="J226" s="577"/>
      <c r="K226" s="1530"/>
      <c r="L226" s="200"/>
      <c r="M226" s="337"/>
      <c r="N226" s="330"/>
      <c r="O226" s="1664"/>
      <c r="P226" s="1664"/>
    </row>
    <row s="2948" customFormat="1" customHeight="1" ht="18.75" hidden="1">
      <c r="A227" s="1821" t="s">
        <v>223</v>
      </c>
      <c r="B227" s="1821" t="s">
        <v>224</v>
      </c>
      <c r="C227" s="369"/>
      <c r="D227" s="2311"/>
      <c r="E227" s="2056"/>
      <c r="F227" s="2220" t="str">
        <f>INDEX(PT_DIFFERENTIATION_VTAR,MATCH(A227,PT_DIFFERENTIATION_VTAR_ID,0))</f>
        <v>Тариф на техническую воду</v>
      </c>
      <c r="G227" s="2266" t="str">
        <f>INDEX(PT_DIFFERENTIATION_NTAR,MATCH(B227,PT_DIFFERENTIATION_NTAR_ID,0))</f>
        <v/>
      </c>
      <c r="H227" s="1905"/>
      <c r="I227" s="1779"/>
      <c r="J227" s="1814"/>
      <c r="K227" s="1819"/>
      <c r="L227" s="1905" t="s">
        <v>299</v>
      </c>
      <c r="M227" s="337"/>
      <c r="N227" s="330"/>
      <c r="O227" s="1664"/>
      <c r="P227" s="1664"/>
    </row>
    <row s="2948" customFormat="1" customHeight="1" ht="18.75" hidden="1">
      <c r="A228" s="1821"/>
      <c r="B228" s="1821"/>
      <c r="C228" s="369" t="s">
        <v>1057</v>
      </c>
      <c r="D228" s="2311"/>
      <c r="E228" s="2056"/>
      <c r="F228" s="2220"/>
      <c r="G228" s="2266"/>
      <c r="H228" s="1530"/>
      <c r="I228" s="657" t="s">
        <v>1056</v>
      </c>
      <c r="J228" s="577"/>
      <c r="K228" s="1530"/>
      <c r="L228" s="200"/>
      <c r="M228" s="337"/>
      <c r="N228" s="330"/>
      <c r="O228" s="1664"/>
      <c r="P228" s="1664"/>
    </row>
    <row s="2948" customFormat="1" customHeight="1" ht="0.75" hidden="1">
      <c r="A229" s="1821"/>
      <c r="B229" s="1821"/>
      <c r="C229" s="369" t="s">
        <v>1064</v>
      </c>
      <c r="D229" s="2311"/>
      <c r="E229" s="2056"/>
      <c r="F229" s="2220"/>
      <c r="G229" s="406"/>
      <c r="H229" s="1530"/>
      <c r="I229" s="657"/>
      <c r="J229" s="577"/>
      <c r="K229" s="1530"/>
      <c r="L229" s="200"/>
      <c r="M229" s="337"/>
      <c r="N229" s="330"/>
      <c r="O229" s="1664"/>
      <c r="P229" s="1664"/>
    </row>
    <row s="2948" customFormat="1" customHeight="1" ht="18.75" hidden="1">
      <c r="A230" s="1821" t="s">
        <v>228</v>
      </c>
      <c r="B230" s="1821" t="s">
        <v>229</v>
      </c>
      <c r="C230" s="369"/>
      <c r="D230" s="2311"/>
      <c r="E230" s="2056"/>
      <c r="F230" s="2220" t="str">
        <f>INDEX(PT_DIFFERENTIATION_VTAR,MATCH(A230,PT_DIFFERENTIATION_VTAR_ID,0))</f>
        <v>Тариф на транспортировку воды</v>
      </c>
      <c r="G230" s="2266" t="str">
        <f>INDEX(PT_DIFFERENTIATION_NTAR,MATCH(B230,PT_DIFFERENTIATION_NTAR_ID,0))</f>
        <v/>
      </c>
      <c r="H230" s="1905"/>
      <c r="I230" s="1779"/>
      <c r="J230" s="1814"/>
      <c r="K230" s="1819"/>
      <c r="L230" s="1905" t="s">
        <v>299</v>
      </c>
      <c r="M230" s="337"/>
      <c r="N230" s="330"/>
      <c r="O230" s="1664"/>
      <c r="P230" s="1664"/>
    </row>
    <row s="2948" customFormat="1" customHeight="1" ht="18.75" hidden="1">
      <c r="A231" s="1821"/>
      <c r="B231" s="1821"/>
      <c r="C231" s="369" t="s">
        <v>1057</v>
      </c>
      <c r="D231" s="2311"/>
      <c r="E231" s="2056"/>
      <c r="F231" s="2220"/>
      <c r="G231" s="2266"/>
      <c r="H231" s="1530"/>
      <c r="I231" s="657" t="s">
        <v>1056</v>
      </c>
      <c r="J231" s="577"/>
      <c r="K231" s="1530"/>
      <c r="L231" s="200"/>
      <c r="M231" s="337"/>
      <c r="N231" s="330"/>
      <c r="O231" s="1664"/>
      <c r="P231" s="1664"/>
    </row>
    <row s="2948" customFormat="1" customHeight="1" ht="0.75" hidden="1">
      <c r="A232" s="1821"/>
      <c r="B232" s="1821"/>
      <c r="C232" s="369" t="s">
        <v>1064</v>
      </c>
      <c r="D232" s="2311"/>
      <c r="E232" s="2056"/>
      <c r="F232" s="2220"/>
      <c r="G232" s="406"/>
      <c r="H232" s="1530"/>
      <c r="I232" s="657"/>
      <c r="J232" s="577"/>
      <c r="K232" s="1530"/>
      <c r="L232" s="200"/>
      <c r="M232" s="337"/>
      <c r="N232" s="330"/>
      <c r="O232" s="1664"/>
      <c r="P232" s="1664"/>
    </row>
    <row s="2948" customFormat="1" customHeight="1" ht="18.75" hidden="1">
      <c r="A233" s="1821" t="s">
        <v>233</v>
      </c>
      <c r="B233" s="1821" t="s">
        <v>234</v>
      </c>
      <c r="C233" s="369"/>
      <c r="D233" s="2311"/>
      <c r="E233" s="2056"/>
      <c r="F233" s="2220" t="str">
        <f>INDEX(PT_DIFFERENTIATION_VTAR,MATCH(A233,PT_DIFFERENTIATION_VTAR_ID,0))</f>
        <v>Тариф на подвоз воды</v>
      </c>
      <c r="G233" s="2266" t="str">
        <f>INDEX(PT_DIFFERENTIATION_NTAR,MATCH(B233,PT_DIFFERENTIATION_NTAR_ID,0))</f>
        <v/>
      </c>
      <c r="H233" s="1905"/>
      <c r="I233" s="1779"/>
      <c r="J233" s="1814"/>
      <c r="K233" s="1819"/>
      <c r="L233" s="1905" t="s">
        <v>299</v>
      </c>
      <c r="M233" s="337"/>
      <c r="N233" s="330"/>
      <c r="O233" s="1664"/>
      <c r="P233" s="1664"/>
    </row>
    <row s="2948" customFormat="1" customHeight="1" ht="18.75" hidden="1">
      <c r="A234" s="1821"/>
      <c r="B234" s="1821"/>
      <c r="C234" s="369" t="s">
        <v>1057</v>
      </c>
      <c r="D234" s="2311"/>
      <c r="E234" s="2056"/>
      <c r="F234" s="2220"/>
      <c r="G234" s="2266"/>
      <c r="H234" s="1530"/>
      <c r="I234" s="657" t="s">
        <v>1056</v>
      </c>
      <c r="J234" s="577"/>
      <c r="K234" s="1530"/>
      <c r="L234" s="200"/>
      <c r="M234" s="337"/>
      <c r="N234" s="330"/>
      <c r="O234" s="1664"/>
      <c r="P234" s="1664"/>
    </row>
    <row s="2948" customFormat="1" customHeight="1" ht="0.75" hidden="1">
      <c r="A235" s="1821"/>
      <c r="B235" s="1821"/>
      <c r="C235" s="369" t="s">
        <v>1064</v>
      </c>
      <c r="D235" s="2311"/>
      <c r="E235" s="2056"/>
      <c r="F235" s="2220"/>
      <c r="G235" s="406"/>
      <c r="H235" s="1530"/>
      <c r="I235" s="657"/>
      <c r="J235" s="577"/>
      <c r="K235" s="1530"/>
      <c r="L235" s="200"/>
      <c r="M235" s="337"/>
      <c r="N235" s="330"/>
      <c r="O235" s="1664"/>
      <c r="P235" s="1664"/>
    </row>
    <row s="2948" customFormat="1" customHeight="1" ht="18.75" hidden="1">
      <c r="A236" s="1821" t="s">
        <v>238</v>
      </c>
      <c r="B236" s="1821" t="s">
        <v>239</v>
      </c>
      <c r="C236" s="369"/>
      <c r="D236" s="2311"/>
      <c r="E236" s="2056"/>
      <c r="F236" s="2220" t="str">
        <f>INDEX(PT_DIFFERENTIATION_VTAR,MATCH(A236,PT_DIFFERENTIATION_VTAR_ID,0))</f>
        <v>Тариф на подключение (технологическое присоединение) к централизованной системе холодного водоснабжения</v>
      </c>
      <c r="G236" s="2266" t="str">
        <f>INDEX(PT_DIFFERENTIATION_NTAR,MATCH(B236,PT_DIFFERENTIATION_NTAR_ID,0))</f>
        <v/>
      </c>
      <c r="H236" s="1905"/>
      <c r="I236" s="1779"/>
      <c r="J236" s="1814"/>
      <c r="K236" s="1819"/>
      <c r="L236" s="1905" t="s">
        <v>299</v>
      </c>
      <c r="M236" s="337"/>
      <c r="N236" s="330"/>
      <c r="O236" s="1664"/>
      <c r="P236" s="1664"/>
    </row>
    <row s="2948" customFormat="1" customHeight="1" ht="18.75" hidden="1">
      <c r="A237" s="1821"/>
      <c r="B237" s="1821"/>
      <c r="C237" s="369" t="s">
        <v>1057</v>
      </c>
      <c r="D237" s="2311"/>
      <c r="E237" s="2056"/>
      <c r="F237" s="2220"/>
      <c r="G237" s="2266"/>
      <c r="H237" s="1530"/>
      <c r="I237" s="657" t="s">
        <v>1056</v>
      </c>
      <c r="J237" s="577"/>
      <c r="K237" s="1530"/>
      <c r="L237" s="200"/>
      <c r="M237" s="337"/>
      <c r="N237" s="330"/>
      <c r="O237" s="1664"/>
      <c r="P237" s="1664"/>
    </row>
    <row s="2948" customFormat="1" customHeight="1" ht="0.75" hidden="1">
      <c r="A238" s="1821"/>
      <c r="B238" s="1821"/>
      <c r="C238" s="369" t="s">
        <v>1064</v>
      </c>
      <c r="D238" s="2311"/>
      <c r="E238" s="2056"/>
      <c r="F238" s="2220"/>
      <c r="G238" s="406"/>
      <c r="H238" s="1530"/>
      <c r="I238" s="657"/>
      <c r="J238" s="577"/>
      <c r="K238" s="1530"/>
      <c r="L238" s="200"/>
      <c r="M238" s="337"/>
      <c r="N238" s="330"/>
      <c r="O238" s="1664"/>
      <c r="P238" s="1664"/>
    </row>
    <row s="2948" customFormat="1" customHeight="1" ht="18.75" hidden="1">
      <c r="A239" s="1821" t="s">
        <v>243</v>
      </c>
      <c r="B239" s="1821" t="s">
        <v>244</v>
      </c>
      <c r="C239" s="369"/>
      <c r="D239" s="2311"/>
      <c r="E239" s="2056"/>
      <c r="F239" s="2220" t="str">
        <f>INDEX(PT_DIFFERENTIATION_VTAR,MATCH(A239,PT_DIFFERENTIATION_VTAR_ID,0))</f>
        <v>Тариф на горячую воду (горячее водоснабжение)</v>
      </c>
      <c r="G239" s="2266" t="str">
        <f>INDEX(PT_DIFFERENTIATION_NTAR,MATCH(B239,PT_DIFFERENTIATION_NTAR_ID,0))</f>
        <v/>
      </c>
      <c r="H239" s="1905"/>
      <c r="I239" s="1779"/>
      <c r="J239" s="1814"/>
      <c r="K239" s="1819"/>
      <c r="L239" s="1905" t="s">
        <v>299</v>
      </c>
      <c r="M239" s="337"/>
      <c r="N239" s="330"/>
      <c r="O239" s="1664"/>
      <c r="P239" s="1664"/>
    </row>
    <row s="2948" customFormat="1" customHeight="1" ht="18.75" hidden="1">
      <c r="A240" s="1821"/>
      <c r="B240" s="1821"/>
      <c r="C240" s="369" t="s">
        <v>1057</v>
      </c>
      <c r="D240" s="2311"/>
      <c r="E240" s="2056"/>
      <c r="F240" s="2220"/>
      <c r="G240" s="2266"/>
      <c r="H240" s="1530"/>
      <c r="I240" s="657" t="s">
        <v>1056</v>
      </c>
      <c r="J240" s="577"/>
      <c r="K240" s="1530"/>
      <c r="L240" s="200"/>
      <c r="M240" s="337"/>
      <c r="N240" s="330"/>
      <c r="O240" s="1664"/>
      <c r="P240" s="1664"/>
    </row>
    <row s="2948" customFormat="1" customHeight="1" ht="0.75" hidden="1">
      <c r="A241" s="1821"/>
      <c r="B241" s="1821"/>
      <c r="C241" s="369" t="s">
        <v>1064</v>
      </c>
      <c r="D241" s="2311"/>
      <c r="E241" s="2056"/>
      <c r="F241" s="2220"/>
      <c r="G241" s="406"/>
      <c r="H241" s="1530"/>
      <c r="I241" s="657"/>
      <c r="J241" s="577"/>
      <c r="K241" s="1530"/>
      <c r="L241" s="200"/>
      <c r="M241" s="337"/>
      <c r="N241" s="330"/>
      <c r="O241" s="1664"/>
      <c r="P241" s="1664"/>
    </row>
    <row s="2948" customFormat="1" customHeight="1" ht="18.75" hidden="1">
      <c r="A242" s="1821" t="s">
        <v>248</v>
      </c>
      <c r="B242" s="1821" t="s">
        <v>249</v>
      </c>
      <c r="C242" s="369"/>
      <c r="D242" s="2311"/>
      <c r="E242" s="2056"/>
      <c r="F242" s="2220" t="str">
        <f>INDEX(PT_DIFFERENTIATION_VTAR,MATCH(A242,PT_DIFFERENTIATION_VTAR_ID,0))</f>
        <v>Тариф на транспортировку горячей воды</v>
      </c>
      <c r="G242" s="2266" t="str">
        <f>INDEX(PT_DIFFERENTIATION_NTAR,MATCH(B242,PT_DIFFERENTIATION_NTAR_ID,0))</f>
        <v/>
      </c>
      <c r="H242" s="1905"/>
      <c r="I242" s="1779"/>
      <c r="J242" s="1814"/>
      <c r="K242" s="1819"/>
      <c r="L242" s="1905" t="s">
        <v>299</v>
      </c>
      <c r="M242" s="337"/>
      <c r="N242" s="330"/>
      <c r="O242" s="1664"/>
      <c r="P242" s="1664"/>
    </row>
    <row s="2948" customFormat="1" customHeight="1" ht="18.75" hidden="1">
      <c r="A243" s="1821"/>
      <c r="B243" s="1821"/>
      <c r="C243" s="369" t="s">
        <v>1057</v>
      </c>
      <c r="D243" s="2311"/>
      <c r="E243" s="2056"/>
      <c r="F243" s="2220"/>
      <c r="G243" s="2266"/>
      <c r="H243" s="1530"/>
      <c r="I243" s="657" t="s">
        <v>1056</v>
      </c>
      <c r="J243" s="577"/>
      <c r="K243" s="1530"/>
      <c r="L243" s="200"/>
      <c r="M243" s="337"/>
      <c r="N243" s="330"/>
      <c r="O243" s="1664"/>
      <c r="P243" s="1664"/>
    </row>
    <row s="2948" customFormat="1" customHeight="1" ht="0.75" hidden="1">
      <c r="A244" s="1821"/>
      <c r="B244" s="1821"/>
      <c r="C244" s="369" t="s">
        <v>1064</v>
      </c>
      <c r="D244" s="2311"/>
      <c r="E244" s="2056"/>
      <c r="F244" s="2220"/>
      <c r="G244" s="406"/>
      <c r="H244" s="1530"/>
      <c r="I244" s="657"/>
      <c r="J244" s="577"/>
      <c r="K244" s="1530"/>
      <c r="L244" s="200"/>
      <c r="M244" s="337"/>
      <c r="N244" s="330"/>
      <c r="O244" s="1664"/>
      <c r="P244" s="1664"/>
    </row>
    <row s="2948" customFormat="1" customHeight="1" ht="18.75" hidden="1">
      <c r="A245" s="1821" t="s">
        <v>253</v>
      </c>
      <c r="B245" s="1821" t="s">
        <v>254</v>
      </c>
      <c r="C245" s="369"/>
      <c r="D245" s="2311"/>
      <c r="E245" s="2056"/>
      <c r="F245" s="2220" t="str">
        <f>INDEX(PT_DIFFERENTIATION_VTAR,MATCH(A245,PT_DIFFERENTIATION_VTAR_ID,0))</f>
        <v>Тариф на подключение (технологическое присоединение) к централизованной системе горячего водоснабжения</v>
      </c>
      <c r="G245" s="2266" t="str">
        <f>INDEX(PT_DIFFERENTIATION_NTAR,MATCH(B245,PT_DIFFERENTIATION_NTAR_ID,0))</f>
        <v/>
      </c>
      <c r="H245" s="1905"/>
      <c r="I245" s="1779"/>
      <c r="J245" s="1814"/>
      <c r="K245" s="1819"/>
      <c r="L245" s="1905" t="s">
        <v>299</v>
      </c>
      <c r="M245" s="337"/>
      <c r="N245" s="330"/>
      <c r="O245" s="1664"/>
      <c r="P245" s="1664"/>
    </row>
    <row s="2948" customFormat="1" customHeight="1" ht="18.75" hidden="1">
      <c r="A246" s="1821"/>
      <c r="B246" s="1821"/>
      <c r="C246" s="369" t="s">
        <v>1057</v>
      </c>
      <c r="D246" s="2311"/>
      <c r="E246" s="2056"/>
      <c r="F246" s="2220"/>
      <c r="G246" s="2266"/>
      <c r="H246" s="1530"/>
      <c r="I246" s="657" t="s">
        <v>1056</v>
      </c>
      <c r="J246" s="577"/>
      <c r="K246" s="1530"/>
      <c r="L246" s="200"/>
      <c r="M246" s="337"/>
      <c r="N246" s="330"/>
      <c r="O246" s="1664"/>
      <c r="P246" s="1664"/>
    </row>
    <row s="2948" customFormat="1" customHeight="1" ht="0.75" hidden="1">
      <c r="A247" s="1821"/>
      <c r="B247" s="1821"/>
      <c r="C247" s="369" t="s">
        <v>1064</v>
      </c>
      <c r="D247" s="2311"/>
      <c r="E247" s="2056"/>
      <c r="F247" s="2220"/>
      <c r="G247" s="406"/>
      <c r="H247" s="1530"/>
      <c r="I247" s="657"/>
      <c r="J247" s="577"/>
      <c r="K247" s="1530"/>
      <c r="L247" s="200"/>
      <c r="M247" s="337"/>
      <c r="N247" s="330"/>
      <c r="O247" s="1664"/>
      <c r="P247" s="1664"/>
    </row>
    <row s="2948" customFormat="1" customHeight="1" ht="18.75" hidden="1">
      <c r="A248" s="1821" t="s">
        <v>258</v>
      </c>
      <c r="B248" s="1821" t="s">
        <v>259</v>
      </c>
      <c r="C248" s="369"/>
      <c r="D248" s="2311"/>
      <c r="E248" s="2056"/>
      <c r="F248" s="2220" t="str">
        <f>INDEX(PT_DIFFERENTIATION_VTAR,MATCH(A248,PT_DIFFERENTIATION_VTAR_ID,0))</f>
        <v>Тариф на водоотведение</v>
      </c>
      <c r="G248" s="2266" t="str">
        <f>INDEX(PT_DIFFERENTIATION_NTAR,MATCH(B248,PT_DIFFERENTIATION_NTAR_ID,0))</f>
        <v/>
      </c>
      <c r="H248" s="1905"/>
      <c r="I248" s="1779"/>
      <c r="J248" s="1814"/>
      <c r="K248" s="1819"/>
      <c r="L248" s="1905" t="s">
        <v>299</v>
      </c>
      <c r="M248" s="337"/>
      <c r="N248" s="330"/>
      <c r="O248" s="1664"/>
      <c r="P248" s="1664"/>
    </row>
    <row s="2948" customFormat="1" customHeight="1" ht="18.75" hidden="1">
      <c r="A249" s="1821"/>
      <c r="B249" s="1821"/>
      <c r="C249" s="369" t="s">
        <v>1057</v>
      </c>
      <c r="D249" s="2311"/>
      <c r="E249" s="2056"/>
      <c r="F249" s="2220"/>
      <c r="G249" s="2266"/>
      <c r="H249" s="1530"/>
      <c r="I249" s="657" t="s">
        <v>1056</v>
      </c>
      <c r="J249" s="577"/>
      <c r="K249" s="1530"/>
      <c r="L249" s="200"/>
      <c r="M249" s="337"/>
      <c r="N249" s="330"/>
      <c r="O249" s="1664"/>
      <c r="P249" s="1664"/>
    </row>
    <row s="2948" customFormat="1" customHeight="1" ht="0.75" hidden="1">
      <c r="A250" s="1821"/>
      <c r="B250" s="1821"/>
      <c r="C250" s="369" t="s">
        <v>1064</v>
      </c>
      <c r="D250" s="2311"/>
      <c r="E250" s="2056"/>
      <c r="F250" s="2220"/>
      <c r="G250" s="406"/>
      <c r="H250" s="1530"/>
      <c r="I250" s="657"/>
      <c r="J250" s="577"/>
      <c r="K250" s="1530"/>
      <c r="L250" s="200"/>
      <c r="M250" s="337"/>
      <c r="N250" s="330"/>
      <c r="O250" s="1664"/>
      <c r="P250" s="1664"/>
    </row>
    <row s="2948" customFormat="1" customHeight="1" ht="18.75" hidden="1">
      <c r="A251" s="1821" t="s">
        <v>263</v>
      </c>
      <c r="B251" s="1821" t="s">
        <v>264</v>
      </c>
      <c r="C251" s="369"/>
      <c r="D251" s="2311"/>
      <c r="E251" s="2056"/>
      <c r="F251" s="2220" t="str">
        <f>INDEX(PT_DIFFERENTIATION_VTAR,MATCH(A251,PT_DIFFERENTIATION_VTAR_ID,0))</f>
        <v>Тариф на транспортировку сточных вод</v>
      </c>
      <c r="G251" s="2266" t="str">
        <f>INDEX(PT_DIFFERENTIATION_NTAR,MATCH(B251,PT_DIFFERENTIATION_NTAR_ID,0))</f>
        <v/>
      </c>
      <c r="H251" s="1905"/>
      <c r="I251" s="1779"/>
      <c r="J251" s="1814"/>
      <c r="K251" s="1819"/>
      <c r="L251" s="1905" t="s">
        <v>299</v>
      </c>
      <c r="M251" s="337"/>
      <c r="N251" s="330"/>
      <c r="O251" s="1664"/>
      <c r="P251" s="1664"/>
    </row>
    <row s="2948" customFormat="1" customHeight="1" ht="18.75" hidden="1">
      <c r="A252" s="1821"/>
      <c r="B252" s="1821"/>
      <c r="C252" s="369" t="s">
        <v>1057</v>
      </c>
      <c r="D252" s="2311"/>
      <c r="E252" s="2056"/>
      <c r="F252" s="2220"/>
      <c r="G252" s="2266"/>
      <c r="H252" s="1530"/>
      <c r="I252" s="657" t="s">
        <v>1056</v>
      </c>
      <c r="J252" s="577"/>
      <c r="K252" s="1530"/>
      <c r="L252" s="200"/>
      <c r="M252" s="337"/>
      <c r="N252" s="330"/>
      <c r="O252" s="1664"/>
      <c r="P252" s="1664"/>
    </row>
    <row s="2948" customFormat="1" customHeight="1" ht="0.75" hidden="1">
      <c r="A253" s="1821"/>
      <c r="B253" s="1821"/>
      <c r="C253" s="369" t="s">
        <v>1064</v>
      </c>
      <c r="D253" s="2311"/>
      <c r="E253" s="2056"/>
      <c r="F253" s="2220"/>
      <c r="G253" s="406"/>
      <c r="H253" s="1530"/>
      <c r="I253" s="657"/>
      <c r="J253" s="577"/>
      <c r="K253" s="1530"/>
      <c r="L253" s="200"/>
      <c r="M253" s="337"/>
      <c r="N253" s="330"/>
      <c r="O253" s="1664"/>
      <c r="P253" s="1664"/>
    </row>
    <row s="2948" customFormat="1" customHeight="1" ht="18.75" hidden="1">
      <c r="A254" s="1821" t="s">
        <v>268</v>
      </c>
      <c r="B254" s="1821" t="s">
        <v>269</v>
      </c>
      <c r="C254" s="369"/>
      <c r="D254" s="2311"/>
      <c r="E254" s="2056"/>
      <c r="F254" s="2220" t="str">
        <f>INDEX(PT_DIFFERENTIATION_VTAR,MATCH(A254,PT_DIFFERENTIATION_VTAR_ID,0))</f>
        <v>Тариф на подключение (технологическое присоединение) к централизованной системе водоотведения</v>
      </c>
      <c r="G254" s="2266" t="str">
        <f>INDEX(PT_DIFFERENTIATION_NTAR,MATCH(B254,PT_DIFFERENTIATION_NTAR_ID,0))</f>
        <v/>
      </c>
      <c r="H254" s="1905"/>
      <c r="I254" s="1779"/>
      <c r="J254" s="1814"/>
      <c r="K254" s="1819"/>
      <c r="L254" s="1905" t="s">
        <v>299</v>
      </c>
      <c r="M254" s="337"/>
      <c r="N254" s="330"/>
      <c r="O254" s="1664"/>
      <c r="P254" s="1664"/>
    </row>
    <row s="2948" customFormat="1" customHeight="1" ht="18.75" hidden="1">
      <c r="A255" s="1821"/>
      <c r="B255" s="1821"/>
      <c r="C255" s="369" t="s">
        <v>1057</v>
      </c>
      <c r="D255" s="2311"/>
      <c r="E255" s="2056"/>
      <c r="F255" s="2220"/>
      <c r="G255" s="2266"/>
      <c r="H255" s="1530"/>
      <c r="I255" s="657" t="s">
        <v>1056</v>
      </c>
      <c r="J255" s="577"/>
      <c r="K255" s="1530"/>
      <c r="L255" s="200"/>
      <c r="M255" s="337"/>
      <c r="N255" s="330"/>
      <c r="O255" s="1664"/>
      <c r="P255" s="1664"/>
    </row>
    <row s="2948" customFormat="1" customHeight="1" ht="0.75">
      <c r="A256" s="1821"/>
      <c r="B256" s="1821"/>
      <c r="C256" s="369" t="s">
        <v>1064</v>
      </c>
      <c r="D256" s="2311"/>
      <c r="E256" s="2056"/>
      <c r="F256" s="2220"/>
      <c r="G256" s="406"/>
      <c r="H256" s="1530"/>
      <c r="I256" s="657"/>
      <c r="J256" s="577"/>
      <c r="K256" s="1530"/>
      <c r="L256" s="200"/>
      <c r="M256" s="337"/>
      <c r="N256" s="330"/>
      <c r="O256" s="1664"/>
      <c r="P256" s="1664"/>
    </row>
    <row customHeight="1" ht="25.5">
      <c r="A257" s="1821"/>
      <c r="B257" s="1821"/>
      <c r="D257" s="377"/>
      <c r="E257" s="133" t="s">
        <v>92</v>
      </c>
      <c r="F257" s="2303"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57" s="2303"/>
      <c r="H257" s="2303"/>
      <c r="I257" s="2303"/>
      <c r="J257" s="2303"/>
      <c r="K257" s="2303"/>
      <c r="L257" s="2303"/>
      <c r="M257" s="285"/>
      <c r="N257" s="330"/>
    </row>
    <row s="2948" customFormat="1" customHeight="1" ht="60.75" hidden="1">
      <c r="A258" s="1821" t="s">
        <v>156</v>
      </c>
      <c r="B258" s="1821" t="s">
        <v>157</v>
      </c>
      <c r="C258" s="369"/>
      <c r="D258" s="2311"/>
      <c r="E258" s="2056"/>
      <c r="F258" s="2220" t="str">
        <f>INDEX(PT_DIFFERENTIATION_VTAR,MATCH(A258,PT_DIFFERENTIATION_VTAR_ID,0))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58" s="2266" t="str">
        <f>INDEX(PT_DIFFERENTIATION_NTAR,MATCH(B258,PT_DIFFERENTIATION_NTAR_ID,0))</f>
        <v/>
      </c>
      <c r="H258" s="1905"/>
      <c r="I258" s="1779"/>
      <c r="J258" s="1814"/>
      <c r="K258" s="1819"/>
      <c r="L258" s="1905" t="s">
        <v>299</v>
      </c>
      <c r="M258" s="201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58" s="330"/>
      <c r="O258" s="1664"/>
      <c r="P258" s="1664"/>
    </row>
    <row s="2948" customFormat="1" customHeight="1" ht="18.75" hidden="1">
      <c r="A259" s="1821"/>
      <c r="B259" s="1821"/>
      <c r="C259" s="369" t="s">
        <v>1057</v>
      </c>
      <c r="D259" s="2311"/>
      <c r="E259" s="2056"/>
      <c r="F259" s="2220"/>
      <c r="G259" s="2266"/>
      <c r="H259" s="1530"/>
      <c r="I259" s="657" t="s">
        <v>1056</v>
      </c>
      <c r="J259" s="577"/>
      <c r="K259" s="1530"/>
      <c r="L259" s="200"/>
      <c r="M259" s="2016"/>
      <c r="N259" s="330"/>
      <c r="O259" s="1664"/>
      <c r="P259" s="1664"/>
    </row>
    <row s="2948" customFormat="1" customHeight="1" ht="0.75" hidden="1">
      <c r="A260" s="1821"/>
      <c r="B260" s="1821"/>
      <c r="C260" s="369" t="s">
        <v>1064</v>
      </c>
      <c r="D260" s="2311"/>
      <c r="E260" s="2056"/>
      <c r="F260" s="2220"/>
      <c r="G260" s="406"/>
      <c r="H260" s="1530"/>
      <c r="I260" s="657"/>
      <c r="J260" s="577"/>
      <c r="K260" s="1530"/>
      <c r="L260" s="200"/>
      <c r="M260" s="2016"/>
      <c r="N260" s="330"/>
      <c r="O260" s="1664"/>
      <c r="P260" s="1664"/>
    </row>
    <row s="2948" customFormat="1" customHeight="1" ht="45" hidden="1">
      <c r="A261" s="1821" t="s">
        <v>162</v>
      </c>
      <c r="B261" s="1821" t="s">
        <v>163</v>
      </c>
      <c r="C261" s="369"/>
      <c r="D261" s="2311"/>
      <c r="E261" s="2056"/>
      <c r="F261" s="2220" t="str">
        <f>INDEX(PT_DIFFERENTIATION_VTAR,MATCH(A261,PT_DIFFERENTIATION_VTAR_ID,0))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61" s="2266" t="str">
        <f>INDEX(PT_DIFFERENTIATION_NTAR,MATCH(B261,PT_DIFFERENTIATION_NTAR_ID,0))</f>
        <v/>
      </c>
      <c r="H261" s="1905"/>
      <c r="I261" s="1779"/>
      <c r="J261" s="1814"/>
      <c r="K261" s="1819"/>
      <c r="L261" s="1905" t="s">
        <v>299</v>
      </c>
      <c r="M261" s="2017"/>
      <c r="N261" s="330"/>
      <c r="O261" s="1664"/>
      <c r="P261" s="1664"/>
    </row>
    <row s="2948" customFormat="1" customHeight="1" ht="18.75" hidden="1">
      <c r="A262" s="1821"/>
      <c r="B262" s="1821"/>
      <c r="C262" s="369" t="s">
        <v>1057</v>
      </c>
      <c r="D262" s="2311"/>
      <c r="E262" s="2056"/>
      <c r="F262" s="2220"/>
      <c r="G262" s="2266"/>
      <c r="H262" s="1530"/>
      <c r="I262" s="657" t="s">
        <v>1056</v>
      </c>
      <c r="J262" s="577"/>
      <c r="K262" s="1530"/>
      <c r="L262" s="200"/>
      <c r="M262" s="1904"/>
      <c r="N262" s="330"/>
      <c r="O262" s="1664"/>
      <c r="P262" s="1664"/>
    </row>
    <row s="2948" customFormat="1" customHeight="1" ht="0.75" hidden="1">
      <c r="A263" s="1821"/>
      <c r="B263" s="1821"/>
      <c r="C263" s="369" t="s">
        <v>1064</v>
      </c>
      <c r="D263" s="2311"/>
      <c r="E263" s="2056"/>
      <c r="F263" s="2220"/>
      <c r="G263" s="406"/>
      <c r="H263" s="1530"/>
      <c r="I263" s="657"/>
      <c r="J263" s="577"/>
      <c r="K263" s="1530"/>
      <c r="L263" s="200"/>
      <c r="M263" s="337"/>
      <c r="N263" s="330"/>
      <c r="O263" s="1664"/>
      <c r="P263" s="1664"/>
    </row>
    <row s="2948" customFormat="1" customHeight="1" ht="45" hidden="1">
      <c r="A264" s="1821" t="s">
        <v>168</v>
      </c>
      <c r="B264" s="1821" t="s">
        <v>169</v>
      </c>
      <c r="C264" s="369"/>
      <c r="D264" s="2311"/>
      <c r="E264" s="2056"/>
      <c r="F264" s="2220" t="str">
        <f>INDEX(PT_DIFFERENTIATION_VTAR,MATCH(A264,PT_DIFFERENTIATION_VTAR_ID,0))</f>
        <v>Тарифы на теплоноситель, поставляемый теплоснабжающими организациями потребителям, другим теплоснабжающим организациям</v>
      </c>
      <c r="G264" s="2266" t="str">
        <f>INDEX(PT_DIFFERENTIATION_NTAR,MATCH(B264,PT_DIFFERENTIATION_NTAR_ID,0))</f>
        <v/>
      </c>
      <c r="H264" s="1905"/>
      <c r="I264" s="1779"/>
      <c r="J264" s="1814"/>
      <c r="K264" s="1819"/>
      <c r="L264" s="1905" t="s">
        <v>299</v>
      </c>
      <c r="M264" s="337"/>
      <c r="N264" s="330"/>
      <c r="O264" s="1664"/>
      <c r="P264" s="1664"/>
    </row>
    <row s="2948" customFormat="1" customHeight="1" ht="18.75" hidden="1">
      <c r="A265" s="1821"/>
      <c r="B265" s="1821"/>
      <c r="C265" s="369" t="s">
        <v>1057</v>
      </c>
      <c r="D265" s="2311"/>
      <c r="E265" s="2056"/>
      <c r="F265" s="2220"/>
      <c r="G265" s="2266"/>
      <c r="H265" s="1530"/>
      <c r="I265" s="657" t="s">
        <v>1056</v>
      </c>
      <c r="J265" s="577"/>
      <c r="K265" s="1530"/>
      <c r="L265" s="200"/>
      <c r="M265" s="337"/>
      <c r="N265" s="330"/>
      <c r="O265" s="1664"/>
      <c r="P265" s="1664"/>
    </row>
    <row s="2948" customFormat="1" customHeight="1" ht="0.75" hidden="1">
      <c r="A266" s="1821"/>
      <c r="B266" s="1821"/>
      <c r="C266" s="369" t="s">
        <v>1064</v>
      </c>
      <c r="D266" s="2311"/>
      <c r="E266" s="2056"/>
      <c r="F266" s="2220"/>
      <c r="G266" s="406"/>
      <c r="H266" s="1530"/>
      <c r="I266" s="657"/>
      <c r="J266" s="577"/>
      <c r="K266" s="1530"/>
      <c r="L266" s="200"/>
      <c r="M266" s="337"/>
      <c r="N266" s="330"/>
      <c r="O266" s="1664"/>
      <c r="P266" s="1664"/>
    </row>
    <row s="2948" customFormat="1" customHeight="1" ht="45" hidden="1">
      <c r="A267" s="1821" t="s">
        <v>176</v>
      </c>
      <c r="B267" s="1821" t="s">
        <v>177</v>
      </c>
      <c r="C267" s="369"/>
      <c r="D267" s="2311"/>
      <c r="E267" s="2056"/>
      <c r="F267" s="2220" t="str">
        <f>INDEX(PT_DIFFERENTIATION_VTAR,MATCH(A267,PT_DIFFERENTIATION_VTAR_ID,0))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67" s="2266" t="str">
        <f>INDEX(PT_DIFFERENTIATION_NTAR,MATCH(B267,PT_DIFFERENTIATION_NTAR_ID,0))</f>
        <v>Долгосрочный тариф на горячую воду, поставляемую потребителям с использованием открытой системы теплоснабжения</v>
      </c>
      <c r="H267" s="1905"/>
      <c r="I267" s="1779"/>
      <c r="J267" s="1814"/>
      <c r="K267" s="1819"/>
      <c r="L267" s="1905" t="s">
        <v>299</v>
      </c>
      <c r="M267" s="337"/>
      <c r="N267" s="330"/>
      <c r="O267" s="1664"/>
      <c r="P267" s="1664"/>
    </row>
    <row s="2948" customFormat="1" customHeight="1" ht="18.75" hidden="1">
      <c r="A268" s="1821"/>
      <c r="B268" s="1821"/>
      <c r="C268" s="369" t="s">
        <v>1057</v>
      </c>
      <c r="D268" s="2311"/>
      <c r="E268" s="2056"/>
      <c r="F268" s="2220"/>
      <c r="G268" s="2266"/>
      <c r="H268" s="1530"/>
      <c r="I268" s="657" t="s">
        <v>1056</v>
      </c>
      <c r="J268" s="577"/>
      <c r="K268" s="1530"/>
      <c r="L268" s="200"/>
      <c r="M268" s="337"/>
      <c r="N268" s="330"/>
      <c r="O268" s="1664"/>
      <c r="P268" s="1664"/>
    </row>
    <row s="2948" customFormat="1" customHeight="1" ht="0.75" hidden="1">
      <c r="A269" s="1821"/>
      <c r="B269" s="1821"/>
      <c r="C269" s="369" t="s">
        <v>1064</v>
      </c>
      <c r="D269" s="2311"/>
      <c r="E269" s="2056"/>
      <c r="F269" s="2220"/>
      <c r="G269" s="406"/>
      <c r="H269" s="1530"/>
      <c r="I269" s="657"/>
      <c r="J269" s="577"/>
      <c r="K269" s="1530"/>
      <c r="L269" s="200"/>
      <c r="M269" s="337"/>
      <c r="N269" s="330"/>
      <c r="O269" s="1664"/>
      <c r="P269" s="1664"/>
    </row>
    <row s="2948" customFormat="1" customHeight="1" ht="18.75" hidden="1">
      <c r="A270" s="1821" t="s">
        <v>186</v>
      </c>
      <c r="B270" s="1821" t="s">
        <v>187</v>
      </c>
      <c r="C270" s="369"/>
      <c r="D270" s="2311"/>
      <c r="E270" s="2056"/>
      <c r="F270" s="2220" t="str">
        <f>INDEX(PT_DIFFERENTIATION_VTAR,MATCH(A270,PT_DIFFERENTIATION_VTAR_ID,0))</f>
        <v>Тарифы на услуги по передаче тепловой энергии</v>
      </c>
      <c r="G270" s="2266" t="str">
        <f>INDEX(PT_DIFFERENTIATION_NTAR,MATCH(B270,PT_DIFFERENTIATION_NTAR_ID,0))</f>
        <v/>
      </c>
      <c r="H270" s="1905"/>
      <c r="I270" s="1779"/>
      <c r="J270" s="1814"/>
      <c r="K270" s="1819"/>
      <c r="L270" s="1905" t="s">
        <v>299</v>
      </c>
      <c r="M270" s="337"/>
      <c r="N270" s="330"/>
      <c r="O270" s="1664"/>
      <c r="P270" s="1664"/>
    </row>
    <row s="2948" customFormat="1" customHeight="1" ht="18.75" hidden="1">
      <c r="A271" s="1821"/>
      <c r="B271" s="1821"/>
      <c r="C271" s="369" t="s">
        <v>1057</v>
      </c>
      <c r="D271" s="2311"/>
      <c r="E271" s="2056"/>
      <c r="F271" s="2220"/>
      <c r="G271" s="2266"/>
      <c r="H271" s="1530"/>
      <c r="I271" s="657" t="s">
        <v>1056</v>
      </c>
      <c r="J271" s="577"/>
      <c r="K271" s="1530"/>
      <c r="L271" s="200"/>
      <c r="M271" s="337"/>
      <c r="N271" s="330"/>
      <c r="O271" s="1664"/>
      <c r="P271" s="1664"/>
    </row>
    <row s="2948" customFormat="1" customHeight="1" ht="0.75" hidden="1">
      <c r="A272" s="1821"/>
      <c r="B272" s="1821"/>
      <c r="C272" s="369" t="s">
        <v>1064</v>
      </c>
      <c r="D272" s="2311"/>
      <c r="E272" s="2056"/>
      <c r="F272" s="2220"/>
      <c r="G272" s="406"/>
      <c r="H272" s="1530"/>
      <c r="I272" s="657"/>
      <c r="J272" s="577"/>
      <c r="K272" s="1530"/>
      <c r="L272" s="200"/>
      <c r="M272" s="337"/>
      <c r="N272" s="330"/>
      <c r="O272" s="1664"/>
      <c r="P272" s="1664"/>
    </row>
    <row s="2948" customFormat="1" customHeight="1" ht="18.75" hidden="1">
      <c r="A273" s="1821" t="s">
        <v>192</v>
      </c>
      <c r="B273" s="1821" t="s">
        <v>193</v>
      </c>
      <c r="C273" s="369"/>
      <c r="D273" s="2311"/>
      <c r="E273" s="2056"/>
      <c r="F273" s="2220" t="str">
        <f>INDEX(PT_DIFFERENTIATION_VTAR,MATCH(A273,PT_DIFFERENTIATION_VTAR_ID,0))</f>
        <v>Тарифы на услуги по передаче теплоносителя</v>
      </c>
      <c r="G273" s="2266" t="str">
        <f>INDEX(PT_DIFFERENTIATION_NTAR,MATCH(B273,PT_DIFFERENTIATION_NTAR_ID,0))</f>
        <v/>
      </c>
      <c r="H273" s="1905"/>
      <c r="I273" s="1779"/>
      <c r="J273" s="1814"/>
      <c r="K273" s="1819"/>
      <c r="L273" s="1905" t="s">
        <v>299</v>
      </c>
      <c r="M273" s="337"/>
      <c r="N273" s="330"/>
      <c r="O273" s="1664"/>
      <c r="P273" s="1664"/>
    </row>
    <row s="2948" customFormat="1" customHeight="1" ht="18.75" hidden="1">
      <c r="A274" s="1821"/>
      <c r="B274" s="1821"/>
      <c r="C274" s="369" t="s">
        <v>1057</v>
      </c>
      <c r="D274" s="2311"/>
      <c r="E274" s="2056"/>
      <c r="F274" s="2220"/>
      <c r="G274" s="2266"/>
      <c r="H274" s="1530"/>
      <c r="I274" s="657" t="s">
        <v>1056</v>
      </c>
      <c r="J274" s="577"/>
      <c r="K274" s="1530"/>
      <c r="L274" s="200"/>
      <c r="M274" s="337"/>
      <c r="N274" s="330"/>
      <c r="O274" s="1664"/>
      <c r="P274" s="1664"/>
    </row>
    <row s="2948" customFormat="1" customHeight="1" ht="0.75" hidden="1">
      <c r="A275" s="1821"/>
      <c r="B275" s="1821"/>
      <c r="C275" s="369" t="s">
        <v>1064</v>
      </c>
      <c r="D275" s="2311"/>
      <c r="E275" s="2056"/>
      <c r="F275" s="2220"/>
      <c r="G275" s="406"/>
      <c r="H275" s="1530"/>
      <c r="I275" s="657"/>
      <c r="J275" s="577"/>
      <c r="K275" s="1530"/>
      <c r="L275" s="200"/>
      <c r="M275" s="337"/>
      <c r="N275" s="330"/>
      <c r="O275" s="1664"/>
      <c r="P275" s="1664"/>
    </row>
    <row s="2948" customFormat="1" customHeight="1" ht="18.75" hidden="1">
      <c r="A276" s="1821" t="s">
        <v>198</v>
      </c>
      <c r="B276" s="1821" t="s">
        <v>199</v>
      </c>
      <c r="C276" s="369"/>
      <c r="D276" s="2311"/>
      <c r="E276" s="2056"/>
      <c r="F276" s="2220" t="str">
        <f>INDEX(PT_DIFFERENTIATION_VTAR,MATCH(A276,PT_DIFFERENTIATION_VTAR_ID,0))</f>
        <v>Плата за услуги по поддержанию резервной тепловой мощности при отсутствии потребления тепловой энергии</v>
      </c>
      <c r="G276" s="2266" t="str">
        <f>INDEX(PT_DIFFERENTIATION_NTAR,MATCH(B276,PT_DIFFERENTIATION_NTAR_ID,0))</f>
        <v/>
      </c>
      <c r="H276" s="1905"/>
      <c r="I276" s="1779"/>
      <c r="J276" s="1814"/>
      <c r="K276" s="1819"/>
      <c r="L276" s="1905" t="s">
        <v>299</v>
      </c>
      <c r="M276" s="337"/>
      <c r="N276" s="330"/>
      <c r="O276" s="1664"/>
      <c r="P276" s="1664"/>
    </row>
    <row s="2948" customFormat="1" customHeight="1" ht="18.75" hidden="1">
      <c r="A277" s="1821"/>
      <c r="B277" s="1821"/>
      <c r="C277" s="369" t="s">
        <v>1057</v>
      </c>
      <c r="D277" s="2311"/>
      <c r="E277" s="2056"/>
      <c r="F277" s="2220"/>
      <c r="G277" s="2266"/>
      <c r="H277" s="1530"/>
      <c r="I277" s="657" t="s">
        <v>1056</v>
      </c>
      <c r="J277" s="577"/>
      <c r="K277" s="1530"/>
      <c r="L277" s="200"/>
      <c r="M277" s="337"/>
      <c r="N277" s="330"/>
      <c r="O277" s="1664"/>
      <c r="P277" s="1664"/>
    </row>
    <row s="2948" customFormat="1" customHeight="1" ht="0.75" hidden="1">
      <c r="A278" s="1821"/>
      <c r="B278" s="1821"/>
      <c r="C278" s="369" t="s">
        <v>1064</v>
      </c>
      <c r="D278" s="2311"/>
      <c r="E278" s="2056"/>
      <c r="F278" s="2220"/>
      <c r="G278" s="406"/>
      <c r="H278" s="1530"/>
      <c r="I278" s="657"/>
      <c r="J278" s="577"/>
      <c r="K278" s="1530"/>
      <c r="L278" s="200"/>
      <c r="M278" s="337"/>
      <c r="N278" s="330"/>
      <c r="O278" s="1664"/>
      <c r="P278" s="1664"/>
    </row>
    <row s="2948" customFormat="1" customHeight="1" ht="18.75" hidden="1">
      <c r="A279" s="1821" t="s">
        <v>204</v>
      </c>
      <c r="B279" s="1821" t="s">
        <v>205</v>
      </c>
      <c r="C279" s="369"/>
      <c r="D279" s="2311"/>
      <c r="E279" s="2056"/>
      <c r="F279" s="2220" t="str">
        <f>INDEX(PT_DIFFERENTIATION_VTAR,MATCH(A279,PT_DIFFERENTIATION_VTAR_ID,0))</f>
        <v>Плата за подключение (технологическое присоединение) к системе теплоснабжения</v>
      </c>
      <c r="G279" s="2266" t="str">
        <f>INDEX(PT_DIFFERENTIATION_NTAR,MATCH(B279,PT_DIFFERENTIATION_NTAR_ID,0))</f>
        <v/>
      </c>
      <c r="H279" s="1905"/>
      <c r="I279" s="1779"/>
      <c r="J279" s="1814"/>
      <c r="K279" s="1819"/>
      <c r="L279" s="1905" t="s">
        <v>299</v>
      </c>
      <c r="M279" s="337"/>
      <c r="N279" s="330"/>
      <c r="O279" s="1664"/>
      <c r="P279" s="1664"/>
    </row>
    <row s="2948" customFormat="1" customHeight="1" ht="18.75" hidden="1">
      <c r="A280" s="1821"/>
      <c r="B280" s="1821"/>
      <c r="C280" s="369" t="s">
        <v>1057</v>
      </c>
      <c r="D280" s="2311"/>
      <c r="E280" s="2056"/>
      <c r="F280" s="2220"/>
      <c r="G280" s="2266"/>
      <c r="H280" s="1530"/>
      <c r="I280" s="657" t="s">
        <v>1056</v>
      </c>
      <c r="J280" s="577"/>
      <c r="K280" s="1530"/>
      <c r="L280" s="200"/>
      <c r="M280" s="337"/>
      <c r="N280" s="330"/>
      <c r="O280" s="1664"/>
      <c r="P280" s="1664"/>
    </row>
    <row s="2948" customFormat="1" customHeight="1" ht="0.75" hidden="1">
      <c r="A281" s="1821"/>
      <c r="B281" s="1821"/>
      <c r="C281" s="369" t="s">
        <v>1064</v>
      </c>
      <c r="D281" s="2311"/>
      <c r="E281" s="2056"/>
      <c r="F281" s="2220"/>
      <c r="G281" s="406"/>
      <c r="H281" s="1530"/>
      <c r="I281" s="657"/>
      <c r="J281" s="577"/>
      <c r="K281" s="1530"/>
      <c r="L281" s="200"/>
      <c r="M281" s="337"/>
      <c r="N281" s="330"/>
      <c r="O281" s="1664"/>
      <c r="P281" s="1664"/>
    </row>
    <row s="2948" customFormat="1" customHeight="1" ht="18.75" hidden="1">
      <c r="A282" s="1821" t="s">
        <v>218</v>
      </c>
      <c r="B282" s="1821" t="s">
        <v>219</v>
      </c>
      <c r="C282" s="369"/>
      <c r="D282" s="2311"/>
      <c r="E282" s="2056"/>
      <c r="F282" s="2220" t="str">
        <f>INDEX(PT_DIFFERENTIATION_VTAR,MATCH(A282,PT_DIFFERENTIATION_VTAR_ID,0))</f>
        <v>Тариф на питьевую воду (питьевое водоснабжение)</v>
      </c>
      <c r="G282" s="2266" t="str">
        <f>INDEX(PT_DIFFERENTIATION_NTAR,MATCH(B282,PT_DIFFERENTIATION_NTAR_ID,0))</f>
        <v/>
      </c>
      <c r="H282" s="1905"/>
      <c r="I282" s="1779"/>
      <c r="J282" s="1814"/>
      <c r="K282" s="1819"/>
      <c r="L282" s="1905" t="s">
        <v>299</v>
      </c>
      <c r="M282" s="337"/>
      <c r="N282" s="330"/>
      <c r="O282" s="1664"/>
      <c r="P282" s="1664"/>
    </row>
    <row s="2948" customFormat="1" customHeight="1" ht="18.75" hidden="1">
      <c r="A283" s="1821"/>
      <c r="B283" s="1821"/>
      <c r="C283" s="369" t="s">
        <v>1057</v>
      </c>
      <c r="D283" s="2311"/>
      <c r="E283" s="2056"/>
      <c r="F283" s="2220"/>
      <c r="G283" s="2266"/>
      <c r="H283" s="1530"/>
      <c r="I283" s="657" t="s">
        <v>1056</v>
      </c>
      <c r="J283" s="577"/>
      <c r="K283" s="1530"/>
      <c r="L283" s="200"/>
      <c r="M283" s="337"/>
      <c r="N283" s="330"/>
      <c r="O283" s="1664"/>
      <c r="P283" s="1664"/>
    </row>
    <row s="2948" customFormat="1" customHeight="1" ht="0.75" hidden="1">
      <c r="A284" s="1821"/>
      <c r="B284" s="1821"/>
      <c r="C284" s="369" t="s">
        <v>1064</v>
      </c>
      <c r="D284" s="2311"/>
      <c r="E284" s="2056"/>
      <c r="F284" s="2220"/>
      <c r="G284" s="406"/>
      <c r="H284" s="1530"/>
      <c r="I284" s="657"/>
      <c r="J284" s="577"/>
      <c r="K284" s="1530"/>
      <c r="L284" s="200"/>
      <c r="M284" s="337"/>
      <c r="N284" s="330"/>
      <c r="O284" s="1664"/>
      <c r="P284" s="1664"/>
    </row>
    <row s="2948" customFormat="1" customHeight="1" ht="18.75" hidden="1">
      <c r="A285" s="1821" t="s">
        <v>223</v>
      </c>
      <c r="B285" s="1821" t="s">
        <v>224</v>
      </c>
      <c r="C285" s="369"/>
      <c r="D285" s="2311"/>
      <c r="E285" s="2056"/>
      <c r="F285" s="2220" t="str">
        <f>INDEX(PT_DIFFERENTIATION_VTAR,MATCH(A285,PT_DIFFERENTIATION_VTAR_ID,0))</f>
        <v>Тариф на техническую воду</v>
      </c>
      <c r="G285" s="2266" t="str">
        <f>INDEX(PT_DIFFERENTIATION_NTAR,MATCH(B285,PT_DIFFERENTIATION_NTAR_ID,0))</f>
        <v/>
      </c>
      <c r="H285" s="1905"/>
      <c r="I285" s="1779"/>
      <c r="J285" s="1814"/>
      <c r="K285" s="1819"/>
      <c r="L285" s="1905" t="s">
        <v>299</v>
      </c>
      <c r="M285" s="337"/>
      <c r="N285" s="330"/>
      <c r="O285" s="1664"/>
      <c r="P285" s="1664"/>
    </row>
    <row s="2948" customFormat="1" customHeight="1" ht="18.75" hidden="1">
      <c r="A286" s="1821"/>
      <c r="B286" s="1821"/>
      <c r="C286" s="369" t="s">
        <v>1057</v>
      </c>
      <c r="D286" s="2311"/>
      <c r="E286" s="2056"/>
      <c r="F286" s="2220"/>
      <c r="G286" s="2266"/>
      <c r="H286" s="1530"/>
      <c r="I286" s="657" t="s">
        <v>1056</v>
      </c>
      <c r="J286" s="577"/>
      <c r="K286" s="1530"/>
      <c r="L286" s="200"/>
      <c r="M286" s="337"/>
      <c r="N286" s="330"/>
      <c r="O286" s="1664"/>
      <c r="P286" s="1664"/>
    </row>
    <row s="2948" customFormat="1" customHeight="1" ht="0.75" hidden="1">
      <c r="A287" s="1821"/>
      <c r="B287" s="1821"/>
      <c r="C287" s="369" t="s">
        <v>1064</v>
      </c>
      <c r="D287" s="2311"/>
      <c r="E287" s="2056"/>
      <c r="F287" s="2220"/>
      <c r="G287" s="406"/>
      <c r="H287" s="1530"/>
      <c r="I287" s="657"/>
      <c r="J287" s="577"/>
      <c r="K287" s="1530"/>
      <c r="L287" s="200"/>
      <c r="M287" s="337"/>
      <c r="N287" s="330"/>
      <c r="O287" s="1664"/>
      <c r="P287" s="1664"/>
    </row>
    <row s="2948" customFormat="1" customHeight="1" ht="18.75" hidden="1">
      <c r="A288" s="1821" t="s">
        <v>228</v>
      </c>
      <c r="B288" s="1821" t="s">
        <v>229</v>
      </c>
      <c r="C288" s="369"/>
      <c r="D288" s="2311"/>
      <c r="E288" s="2056"/>
      <c r="F288" s="2220" t="str">
        <f>INDEX(PT_DIFFERENTIATION_VTAR,MATCH(A288,PT_DIFFERENTIATION_VTAR_ID,0))</f>
        <v>Тариф на транспортировку воды</v>
      </c>
      <c r="G288" s="2266" t="str">
        <f>INDEX(PT_DIFFERENTIATION_NTAR,MATCH(B288,PT_DIFFERENTIATION_NTAR_ID,0))</f>
        <v/>
      </c>
      <c r="H288" s="1905"/>
      <c r="I288" s="1779"/>
      <c r="J288" s="1814"/>
      <c r="K288" s="1819"/>
      <c r="L288" s="1905" t="s">
        <v>299</v>
      </c>
      <c r="M288" s="337"/>
      <c r="N288" s="330"/>
      <c r="O288" s="1664"/>
      <c r="P288" s="1664"/>
    </row>
    <row s="2948" customFormat="1" customHeight="1" ht="18.75" hidden="1">
      <c r="A289" s="1821"/>
      <c r="B289" s="1821"/>
      <c r="C289" s="369" t="s">
        <v>1057</v>
      </c>
      <c r="D289" s="2311"/>
      <c r="E289" s="2056"/>
      <c r="F289" s="2220"/>
      <c r="G289" s="2266"/>
      <c r="H289" s="1530"/>
      <c r="I289" s="657" t="s">
        <v>1056</v>
      </c>
      <c r="J289" s="577"/>
      <c r="K289" s="1530"/>
      <c r="L289" s="200"/>
      <c r="M289" s="337"/>
      <c r="N289" s="330"/>
      <c r="O289" s="1664"/>
      <c r="P289" s="1664"/>
    </row>
    <row s="2948" customFormat="1" customHeight="1" ht="0.75" hidden="1">
      <c r="A290" s="1821"/>
      <c r="B290" s="1821"/>
      <c r="C290" s="369" t="s">
        <v>1064</v>
      </c>
      <c r="D290" s="2311"/>
      <c r="E290" s="2056"/>
      <c r="F290" s="2220"/>
      <c r="G290" s="406"/>
      <c r="H290" s="1530"/>
      <c r="I290" s="657"/>
      <c r="J290" s="577"/>
      <c r="K290" s="1530"/>
      <c r="L290" s="200"/>
      <c r="M290" s="337"/>
      <c r="N290" s="330"/>
      <c r="O290" s="1664"/>
      <c r="P290" s="1664"/>
    </row>
    <row s="2948" customFormat="1" customHeight="1" ht="18.75" hidden="1">
      <c r="A291" s="1821" t="s">
        <v>233</v>
      </c>
      <c r="B291" s="1821" t="s">
        <v>234</v>
      </c>
      <c r="C291" s="369"/>
      <c r="D291" s="2311"/>
      <c r="E291" s="2056"/>
      <c r="F291" s="2220" t="str">
        <f>INDEX(PT_DIFFERENTIATION_VTAR,MATCH(A291,PT_DIFFERENTIATION_VTAR_ID,0))</f>
        <v>Тариф на подвоз воды</v>
      </c>
      <c r="G291" s="2266" t="str">
        <f>INDEX(PT_DIFFERENTIATION_NTAR,MATCH(B291,PT_DIFFERENTIATION_NTAR_ID,0))</f>
        <v/>
      </c>
      <c r="H291" s="1905"/>
      <c r="I291" s="1779"/>
      <c r="J291" s="1814"/>
      <c r="K291" s="1819"/>
      <c r="L291" s="1905" t="s">
        <v>299</v>
      </c>
      <c r="M291" s="337"/>
      <c r="N291" s="330"/>
      <c r="O291" s="1664"/>
      <c r="P291" s="1664"/>
    </row>
    <row s="2948" customFormat="1" customHeight="1" ht="18.75" hidden="1">
      <c r="A292" s="1821"/>
      <c r="B292" s="1821"/>
      <c r="C292" s="369" t="s">
        <v>1057</v>
      </c>
      <c r="D292" s="2311"/>
      <c r="E292" s="2056"/>
      <c r="F292" s="2220"/>
      <c r="G292" s="2266"/>
      <c r="H292" s="1530"/>
      <c r="I292" s="657" t="s">
        <v>1056</v>
      </c>
      <c r="J292" s="577"/>
      <c r="K292" s="1530"/>
      <c r="L292" s="200"/>
      <c r="M292" s="337"/>
      <c r="N292" s="330"/>
      <c r="O292" s="1664"/>
      <c r="P292" s="1664"/>
    </row>
    <row s="2948" customFormat="1" customHeight="1" ht="0.75" hidden="1">
      <c r="A293" s="1821"/>
      <c r="B293" s="1821"/>
      <c r="C293" s="369" t="s">
        <v>1064</v>
      </c>
      <c r="D293" s="2311"/>
      <c r="E293" s="2056"/>
      <c r="F293" s="2220"/>
      <c r="G293" s="406"/>
      <c r="H293" s="1530"/>
      <c r="I293" s="657"/>
      <c r="J293" s="577"/>
      <c r="K293" s="1530"/>
      <c r="L293" s="200"/>
      <c r="M293" s="337"/>
      <c r="N293" s="330"/>
      <c r="O293" s="1664"/>
      <c r="P293" s="1664"/>
    </row>
    <row s="2948" customFormat="1" customHeight="1" ht="18.75" hidden="1">
      <c r="A294" s="1821" t="s">
        <v>238</v>
      </c>
      <c r="B294" s="1821" t="s">
        <v>239</v>
      </c>
      <c r="C294" s="369"/>
      <c r="D294" s="2311"/>
      <c r="E294" s="2056"/>
      <c r="F294" s="2220" t="str">
        <f>INDEX(PT_DIFFERENTIATION_VTAR,MATCH(A294,PT_DIFFERENTIATION_VTAR_ID,0))</f>
        <v>Тариф на подключение (технологическое присоединение) к централизованной системе холодного водоснабжения</v>
      </c>
      <c r="G294" s="2266" t="str">
        <f>INDEX(PT_DIFFERENTIATION_NTAR,MATCH(B294,PT_DIFFERENTIATION_NTAR_ID,0))</f>
        <v/>
      </c>
      <c r="H294" s="1905"/>
      <c r="I294" s="1779"/>
      <c r="J294" s="1814"/>
      <c r="K294" s="1819"/>
      <c r="L294" s="1905" t="s">
        <v>299</v>
      </c>
      <c r="M294" s="337"/>
      <c r="N294" s="330"/>
      <c r="O294" s="1664"/>
      <c r="P294" s="1664"/>
    </row>
    <row s="2948" customFormat="1" customHeight="1" ht="18.75" hidden="1">
      <c r="A295" s="1821"/>
      <c r="B295" s="1821"/>
      <c r="C295" s="369" t="s">
        <v>1057</v>
      </c>
      <c r="D295" s="2311"/>
      <c r="E295" s="2056"/>
      <c r="F295" s="2220"/>
      <c r="G295" s="2266"/>
      <c r="H295" s="1530"/>
      <c r="I295" s="657" t="s">
        <v>1056</v>
      </c>
      <c r="J295" s="577"/>
      <c r="K295" s="1530"/>
      <c r="L295" s="200"/>
      <c r="M295" s="337"/>
      <c r="N295" s="330"/>
      <c r="O295" s="1664"/>
      <c r="P295" s="1664"/>
    </row>
    <row s="2948" customFormat="1" customHeight="1" ht="0.75" hidden="1">
      <c r="A296" s="1821"/>
      <c r="B296" s="1821"/>
      <c r="C296" s="369" t="s">
        <v>1064</v>
      </c>
      <c r="D296" s="2311"/>
      <c r="E296" s="2056"/>
      <c r="F296" s="2220"/>
      <c r="G296" s="406"/>
      <c r="H296" s="1530"/>
      <c r="I296" s="657"/>
      <c r="J296" s="577"/>
      <c r="K296" s="1530"/>
      <c r="L296" s="200"/>
      <c r="M296" s="337"/>
      <c r="N296" s="330"/>
      <c r="O296" s="1664"/>
      <c r="P296" s="1664"/>
    </row>
    <row s="2948" customFormat="1" customHeight="1" ht="18.75" hidden="1">
      <c r="A297" s="1821" t="s">
        <v>243</v>
      </c>
      <c r="B297" s="1821" t="s">
        <v>244</v>
      </c>
      <c r="C297" s="369"/>
      <c r="D297" s="2311"/>
      <c r="E297" s="2056"/>
      <c r="F297" s="2220" t="str">
        <f>INDEX(PT_DIFFERENTIATION_VTAR,MATCH(A297,PT_DIFFERENTIATION_VTAR_ID,0))</f>
        <v>Тариф на горячую воду (горячее водоснабжение)</v>
      </c>
      <c r="G297" s="2266" t="str">
        <f>INDEX(PT_DIFFERENTIATION_NTAR,MATCH(B297,PT_DIFFERENTIATION_NTAR_ID,0))</f>
        <v/>
      </c>
      <c r="H297" s="1905"/>
      <c r="I297" s="1779"/>
      <c r="J297" s="1814"/>
      <c r="K297" s="1819"/>
      <c r="L297" s="1905" t="s">
        <v>299</v>
      </c>
      <c r="M297" s="337"/>
      <c r="N297" s="330"/>
      <c r="O297" s="1664"/>
      <c r="P297" s="1664"/>
    </row>
    <row s="2948" customFormat="1" customHeight="1" ht="18.75" hidden="1">
      <c r="A298" s="1821"/>
      <c r="B298" s="1821"/>
      <c r="C298" s="369" t="s">
        <v>1057</v>
      </c>
      <c r="D298" s="2311"/>
      <c r="E298" s="2056"/>
      <c r="F298" s="2220"/>
      <c r="G298" s="2266"/>
      <c r="H298" s="1530"/>
      <c r="I298" s="657" t="s">
        <v>1056</v>
      </c>
      <c r="J298" s="577"/>
      <c r="K298" s="1530"/>
      <c r="L298" s="200"/>
      <c r="M298" s="337"/>
      <c r="N298" s="330"/>
      <c r="O298" s="1664"/>
      <c r="P298" s="1664"/>
    </row>
    <row s="2948" customFormat="1" customHeight="1" ht="0.75" hidden="1">
      <c r="A299" s="1821"/>
      <c r="B299" s="1821"/>
      <c r="C299" s="369" t="s">
        <v>1064</v>
      </c>
      <c r="D299" s="2311"/>
      <c r="E299" s="2056"/>
      <c r="F299" s="2220"/>
      <c r="G299" s="406"/>
      <c r="H299" s="1530"/>
      <c r="I299" s="657"/>
      <c r="J299" s="577"/>
      <c r="K299" s="1530"/>
      <c r="L299" s="200"/>
      <c r="M299" s="337"/>
      <c r="N299" s="330"/>
      <c r="O299" s="1664"/>
      <c r="P299" s="1664"/>
    </row>
    <row s="2948" customFormat="1" customHeight="1" ht="18.75" hidden="1">
      <c r="A300" s="1821" t="s">
        <v>248</v>
      </c>
      <c r="B300" s="1821" t="s">
        <v>249</v>
      </c>
      <c r="C300" s="369"/>
      <c r="D300" s="2311"/>
      <c r="E300" s="2056"/>
      <c r="F300" s="2220" t="str">
        <f>INDEX(PT_DIFFERENTIATION_VTAR,MATCH(A300,PT_DIFFERENTIATION_VTAR_ID,0))</f>
        <v>Тариф на транспортировку горячей воды</v>
      </c>
      <c r="G300" s="2266" t="str">
        <f>INDEX(PT_DIFFERENTIATION_NTAR,MATCH(B300,PT_DIFFERENTIATION_NTAR_ID,0))</f>
        <v/>
      </c>
      <c r="H300" s="1905"/>
      <c r="I300" s="1779"/>
      <c r="J300" s="1814"/>
      <c r="K300" s="1819"/>
      <c r="L300" s="1905" t="s">
        <v>299</v>
      </c>
      <c r="M300" s="337"/>
      <c r="N300" s="330"/>
      <c r="O300" s="1664"/>
      <c r="P300" s="1664"/>
    </row>
    <row s="2948" customFormat="1" customHeight="1" ht="18.75" hidden="1">
      <c r="A301" s="1821"/>
      <c r="B301" s="1821"/>
      <c r="C301" s="369" t="s">
        <v>1057</v>
      </c>
      <c r="D301" s="2311"/>
      <c r="E301" s="2056"/>
      <c r="F301" s="2220"/>
      <c r="G301" s="2266"/>
      <c r="H301" s="1530"/>
      <c r="I301" s="657" t="s">
        <v>1056</v>
      </c>
      <c r="J301" s="577"/>
      <c r="K301" s="1530"/>
      <c r="L301" s="200"/>
      <c r="M301" s="337"/>
      <c r="N301" s="330"/>
      <c r="O301" s="1664"/>
      <c r="P301" s="1664"/>
    </row>
    <row s="2948" customFormat="1" customHeight="1" ht="0.75" hidden="1">
      <c r="A302" s="1821"/>
      <c r="B302" s="1821"/>
      <c r="C302" s="369" t="s">
        <v>1064</v>
      </c>
      <c r="D302" s="2311"/>
      <c r="E302" s="2056"/>
      <c r="F302" s="2220"/>
      <c r="G302" s="406"/>
      <c r="H302" s="1530"/>
      <c r="I302" s="657"/>
      <c r="J302" s="577"/>
      <c r="K302" s="1530"/>
      <c r="L302" s="200"/>
      <c r="M302" s="337"/>
      <c r="N302" s="330"/>
      <c r="O302" s="1664"/>
      <c r="P302" s="1664"/>
    </row>
    <row s="2948" customFormat="1" customHeight="1" ht="18.75" hidden="1">
      <c r="A303" s="1821" t="s">
        <v>253</v>
      </c>
      <c r="B303" s="1821" t="s">
        <v>254</v>
      </c>
      <c r="C303" s="369"/>
      <c r="D303" s="2311"/>
      <c r="E303" s="2056"/>
      <c r="F303" s="2220" t="str">
        <f>INDEX(PT_DIFFERENTIATION_VTAR,MATCH(A303,PT_DIFFERENTIATION_VTAR_ID,0))</f>
        <v>Тариф на подключение (технологическое присоединение) к централизованной системе горячего водоснабжения</v>
      </c>
      <c r="G303" s="2266" t="str">
        <f>INDEX(PT_DIFFERENTIATION_NTAR,MATCH(B303,PT_DIFFERENTIATION_NTAR_ID,0))</f>
        <v/>
      </c>
      <c r="H303" s="1905"/>
      <c r="I303" s="1779"/>
      <c r="J303" s="1814"/>
      <c r="K303" s="1819"/>
      <c r="L303" s="1905" t="s">
        <v>299</v>
      </c>
      <c r="M303" s="337"/>
      <c r="N303" s="330"/>
      <c r="O303" s="1664"/>
      <c r="P303" s="1664"/>
    </row>
    <row s="2948" customFormat="1" customHeight="1" ht="18.75" hidden="1">
      <c r="A304" s="1821"/>
      <c r="B304" s="1821"/>
      <c r="C304" s="369" t="s">
        <v>1057</v>
      </c>
      <c r="D304" s="2311"/>
      <c r="E304" s="2056"/>
      <c r="F304" s="2220"/>
      <c r="G304" s="2266"/>
      <c r="H304" s="1530"/>
      <c r="I304" s="657" t="s">
        <v>1056</v>
      </c>
      <c r="J304" s="577"/>
      <c r="K304" s="1530"/>
      <c r="L304" s="200"/>
      <c r="M304" s="337"/>
      <c r="N304" s="330"/>
      <c r="O304" s="1664"/>
      <c r="P304" s="1664"/>
    </row>
    <row s="2948" customFormat="1" customHeight="1" ht="0.75" hidden="1">
      <c r="A305" s="1821"/>
      <c r="B305" s="1821"/>
      <c r="C305" s="369" t="s">
        <v>1064</v>
      </c>
      <c r="D305" s="2311"/>
      <c r="E305" s="2056"/>
      <c r="F305" s="2220"/>
      <c r="G305" s="406"/>
      <c r="H305" s="1530"/>
      <c r="I305" s="657"/>
      <c r="J305" s="577"/>
      <c r="K305" s="1530"/>
      <c r="L305" s="200"/>
      <c r="M305" s="337"/>
      <c r="N305" s="330"/>
      <c r="O305" s="1664"/>
      <c r="P305" s="1664"/>
    </row>
    <row s="2948" customFormat="1" customHeight="1" ht="18.75" hidden="1">
      <c r="A306" s="1821" t="s">
        <v>258</v>
      </c>
      <c r="B306" s="1821" t="s">
        <v>259</v>
      </c>
      <c r="C306" s="369"/>
      <c r="D306" s="2311"/>
      <c r="E306" s="2056"/>
      <c r="F306" s="2220" t="str">
        <f>INDEX(PT_DIFFERENTIATION_VTAR,MATCH(A306,PT_DIFFERENTIATION_VTAR_ID,0))</f>
        <v>Тариф на водоотведение</v>
      </c>
      <c r="G306" s="2266" t="str">
        <f>INDEX(PT_DIFFERENTIATION_NTAR,MATCH(B306,PT_DIFFERENTIATION_NTAR_ID,0))</f>
        <v/>
      </c>
      <c r="H306" s="1905"/>
      <c r="I306" s="1779"/>
      <c r="J306" s="1814"/>
      <c r="K306" s="1819"/>
      <c r="L306" s="1905" t="s">
        <v>299</v>
      </c>
      <c r="M306" s="337"/>
      <c r="N306" s="330"/>
      <c r="O306" s="1664"/>
      <c r="P306" s="1664"/>
    </row>
    <row s="2948" customFormat="1" customHeight="1" ht="18.75" hidden="1">
      <c r="A307" s="1821"/>
      <c r="B307" s="1821"/>
      <c r="C307" s="369" t="s">
        <v>1057</v>
      </c>
      <c r="D307" s="2311"/>
      <c r="E307" s="2056"/>
      <c r="F307" s="2220"/>
      <c r="G307" s="2266"/>
      <c r="H307" s="1530"/>
      <c r="I307" s="657" t="s">
        <v>1056</v>
      </c>
      <c r="J307" s="577"/>
      <c r="K307" s="1530"/>
      <c r="L307" s="200"/>
      <c r="M307" s="337"/>
      <c r="N307" s="330"/>
      <c r="O307" s="1664"/>
      <c r="P307" s="1664"/>
    </row>
    <row s="2948" customFormat="1" customHeight="1" ht="0.75" hidden="1">
      <c r="A308" s="1821"/>
      <c r="B308" s="1821"/>
      <c r="C308" s="369" t="s">
        <v>1064</v>
      </c>
      <c r="D308" s="2311"/>
      <c r="E308" s="2056"/>
      <c r="F308" s="2220"/>
      <c r="G308" s="406"/>
      <c r="H308" s="1530"/>
      <c r="I308" s="657"/>
      <c r="J308" s="577"/>
      <c r="K308" s="1530"/>
      <c r="L308" s="200"/>
      <c r="M308" s="337"/>
      <c r="N308" s="330"/>
      <c r="O308" s="1664"/>
      <c r="P308" s="1664"/>
    </row>
    <row s="2948" customFormat="1" customHeight="1" ht="18.75" hidden="1">
      <c r="A309" s="1821" t="s">
        <v>263</v>
      </c>
      <c r="B309" s="1821" t="s">
        <v>264</v>
      </c>
      <c r="C309" s="369"/>
      <c r="D309" s="2311"/>
      <c r="E309" s="2056"/>
      <c r="F309" s="2220" t="str">
        <f>INDEX(PT_DIFFERENTIATION_VTAR,MATCH(A309,PT_DIFFERENTIATION_VTAR_ID,0))</f>
        <v>Тариф на транспортировку сточных вод</v>
      </c>
      <c r="G309" s="2266" t="str">
        <f>INDEX(PT_DIFFERENTIATION_NTAR,MATCH(B309,PT_DIFFERENTIATION_NTAR_ID,0))</f>
        <v/>
      </c>
      <c r="H309" s="1905"/>
      <c r="I309" s="1779"/>
      <c r="J309" s="1814"/>
      <c r="K309" s="1819"/>
      <c r="L309" s="1905" t="s">
        <v>299</v>
      </c>
      <c r="M309" s="337"/>
      <c r="N309" s="330"/>
      <c r="O309" s="1664"/>
      <c r="P309" s="1664"/>
    </row>
    <row s="2948" customFormat="1" customHeight="1" ht="18.75" hidden="1">
      <c r="A310" s="1821"/>
      <c r="B310" s="1821"/>
      <c r="C310" s="369" t="s">
        <v>1057</v>
      </c>
      <c r="D310" s="2311"/>
      <c r="E310" s="2056"/>
      <c r="F310" s="2220"/>
      <c r="G310" s="2266"/>
      <c r="H310" s="1530"/>
      <c r="I310" s="657" t="s">
        <v>1056</v>
      </c>
      <c r="J310" s="577"/>
      <c r="K310" s="1530"/>
      <c r="L310" s="200"/>
      <c r="M310" s="337"/>
      <c r="N310" s="330"/>
      <c r="O310" s="1664"/>
      <c r="P310" s="1664"/>
    </row>
    <row s="2948" customFormat="1" customHeight="1" ht="0.75" hidden="1">
      <c r="A311" s="1821"/>
      <c r="B311" s="1821"/>
      <c r="C311" s="369" t="s">
        <v>1064</v>
      </c>
      <c r="D311" s="2311"/>
      <c r="E311" s="2056"/>
      <c r="F311" s="2220"/>
      <c r="G311" s="406"/>
      <c r="H311" s="1530"/>
      <c r="I311" s="657"/>
      <c r="J311" s="577"/>
      <c r="K311" s="1530"/>
      <c r="L311" s="200"/>
      <c r="M311" s="337"/>
      <c r="N311" s="330"/>
      <c r="O311" s="1664"/>
      <c r="P311" s="1664"/>
    </row>
    <row s="2948" customFormat="1" customHeight="1" ht="18.75" hidden="1">
      <c r="A312" s="1821" t="s">
        <v>268</v>
      </c>
      <c r="B312" s="1821" t="s">
        <v>269</v>
      </c>
      <c r="C312" s="369"/>
      <c r="D312" s="2311"/>
      <c r="E312" s="2056"/>
      <c r="F312" s="2220" t="str">
        <f>INDEX(PT_DIFFERENTIATION_VTAR,MATCH(A312,PT_DIFFERENTIATION_VTAR_ID,0))</f>
        <v>Тариф на подключение (технологическое присоединение) к централизованной системе водоотведения</v>
      </c>
      <c r="G312" s="2266" t="str">
        <f>INDEX(PT_DIFFERENTIATION_NTAR,MATCH(B312,PT_DIFFERENTIATION_NTAR_ID,0))</f>
        <v/>
      </c>
      <c r="H312" s="1905"/>
      <c r="I312" s="1779"/>
      <c r="J312" s="1814"/>
      <c r="K312" s="1819"/>
      <c r="L312" s="1905" t="s">
        <v>299</v>
      </c>
      <c r="M312" s="337"/>
      <c r="N312" s="330"/>
      <c r="O312" s="1664"/>
      <c r="P312" s="1664"/>
    </row>
    <row s="2948" customFormat="1" customHeight="1" ht="18.75" hidden="1">
      <c r="A313" s="1821"/>
      <c r="B313" s="1821"/>
      <c r="C313" s="369" t="s">
        <v>1057</v>
      </c>
      <c r="D313" s="2311"/>
      <c r="E313" s="2056"/>
      <c r="F313" s="2220"/>
      <c r="G313" s="2266"/>
      <c r="H313" s="1530"/>
      <c r="I313" s="657" t="s">
        <v>1056</v>
      </c>
      <c r="J313" s="577"/>
      <c r="K313" s="1530"/>
      <c r="L313" s="200"/>
      <c r="M313" s="337"/>
      <c r="N313" s="330"/>
      <c r="O313" s="1664"/>
      <c r="P313" s="1664"/>
    </row>
    <row s="2948" customFormat="1" customHeight="1" ht="0.75">
      <c r="A314" s="1821"/>
      <c r="B314" s="1821"/>
      <c r="C314" s="369" t="s">
        <v>1064</v>
      </c>
      <c r="D314" s="2311"/>
      <c r="E314" s="2056"/>
      <c r="F314" s="2220"/>
      <c r="G314" s="406"/>
      <c r="H314" s="1530"/>
      <c r="I314" s="657"/>
      <c r="J314" s="577"/>
      <c r="K314" s="1530"/>
      <c r="L314" s="200"/>
      <c r="M314" s="337"/>
      <c r="N314" s="330"/>
      <c r="O314" s="1664"/>
      <c r="P314" s="1664"/>
    </row>
    <row s="4414" customFormat="1" customHeight="1" ht="3">
      <c r="A315" s="1821"/>
      <c r="B315" s="1821"/>
      <c r="C315" s="1822"/>
      <c r="E315" s="408"/>
      <c r="F315" s="408"/>
      <c r="G315" s="408"/>
      <c r="H315" s="408"/>
      <c r="I315" s="408"/>
      <c r="J315" s="408"/>
      <c r="K315" s="408"/>
      <c r="L315" s="408"/>
      <c r="M315" s="408"/>
      <c r="O315" s="182"/>
      <c r="P315" s="182"/>
    </row>
    <row customHeight="1" ht="24.75">
      <c r="E316" s="188"/>
      <c r="F316" s="2106"/>
      <c r="G316" s="2106"/>
      <c r="H316" s="2106"/>
      <c r="I316" s="2106"/>
      <c r="J316" s="2106"/>
      <c r="K316" s="2106"/>
      <c r="L316" s="2106"/>
      <c r="M316" s="2106"/>
    </row>
  </sheetData>
  <sheetProtection formatColumns="0" formatRows="0" autoFilter="0" sort="0" insertRows="0" insertColumns="1" deleteRows="0" deleteColumns="0"/>
  <mergeCells count="408">
    <mergeCell ref="G300:G301"/>
    <mergeCell ref="G303:G304"/>
    <mergeCell ref="G306:G307"/>
    <mergeCell ref="G309:G310"/>
    <mergeCell ref="G312:G313"/>
    <mergeCell ref="G258:G259"/>
    <mergeCell ref="G261:G262"/>
    <mergeCell ref="G264:G265"/>
    <mergeCell ref="G267:G268"/>
    <mergeCell ref="G270:G271"/>
    <mergeCell ref="G273:G274"/>
    <mergeCell ref="G276:G277"/>
    <mergeCell ref="G279:G280"/>
    <mergeCell ref="G282:G283"/>
    <mergeCell ref="G87:G88"/>
    <mergeCell ref="G90:G91"/>
    <mergeCell ref="G93:G94"/>
    <mergeCell ref="G96:G97"/>
    <mergeCell ref="G99:G100"/>
    <mergeCell ref="G102:G103"/>
    <mergeCell ref="G105:G106"/>
    <mergeCell ref="G108:G109"/>
    <mergeCell ref="G111:G112"/>
    <mergeCell ref="G57:G58"/>
    <mergeCell ref="G60:G61"/>
    <mergeCell ref="G63:G64"/>
    <mergeCell ref="G66:G67"/>
    <mergeCell ref="G69:G70"/>
    <mergeCell ref="G72:G73"/>
    <mergeCell ref="G75:G76"/>
    <mergeCell ref="G78:G79"/>
    <mergeCell ref="G84:G85"/>
    <mergeCell ref="D312:D314"/>
    <mergeCell ref="E312:E314"/>
    <mergeCell ref="F312:F314"/>
    <mergeCell ref="M258:M261"/>
    <mergeCell ref="D306:D308"/>
    <mergeCell ref="E306:E308"/>
    <mergeCell ref="F306:F308"/>
    <mergeCell ref="D309:D311"/>
    <mergeCell ref="E309:E311"/>
    <mergeCell ref="F309:F311"/>
    <mergeCell ref="D300:D302"/>
    <mergeCell ref="E300:E302"/>
    <mergeCell ref="F300:F302"/>
    <mergeCell ref="D303:D305"/>
    <mergeCell ref="E303:E305"/>
    <mergeCell ref="F303:F305"/>
    <mergeCell ref="D294:D296"/>
    <mergeCell ref="E294:E296"/>
    <mergeCell ref="F294:F296"/>
    <mergeCell ref="D297:D299"/>
    <mergeCell ref="E297:E299"/>
    <mergeCell ref="F297:F299"/>
    <mergeCell ref="D288:D290"/>
    <mergeCell ref="E288:E290"/>
    <mergeCell ref="F288:F290"/>
    <mergeCell ref="D291:D293"/>
    <mergeCell ref="E291:E293"/>
    <mergeCell ref="F291:F293"/>
    <mergeCell ref="G288:G289"/>
    <mergeCell ref="G291:G292"/>
    <mergeCell ref="G294:G295"/>
    <mergeCell ref="G297:G298"/>
    <mergeCell ref="F267:F269"/>
    <mergeCell ref="D282:D284"/>
    <mergeCell ref="E282:E284"/>
    <mergeCell ref="F282:F284"/>
    <mergeCell ref="D285:D287"/>
    <mergeCell ref="E285:E287"/>
    <mergeCell ref="F285:F287"/>
    <mergeCell ref="D276:D278"/>
    <mergeCell ref="E276:E278"/>
    <mergeCell ref="F276:F278"/>
    <mergeCell ref="D279:D281"/>
    <mergeCell ref="E279:E281"/>
    <mergeCell ref="F279:F281"/>
    <mergeCell ref="G285:G286"/>
    <mergeCell ref="G245:G246"/>
    <mergeCell ref="G248:G249"/>
    <mergeCell ref="G251:G252"/>
    <mergeCell ref="G254:G255"/>
    <mergeCell ref="D239:D241"/>
    <mergeCell ref="E239:E241"/>
    <mergeCell ref="F239:F241"/>
    <mergeCell ref="D242:D244"/>
    <mergeCell ref="E242:E244"/>
    <mergeCell ref="F242:F244"/>
    <mergeCell ref="G242:G243"/>
    <mergeCell ref="D251:D253"/>
    <mergeCell ref="E251:E253"/>
    <mergeCell ref="F251:F253"/>
    <mergeCell ref="D254:D256"/>
    <mergeCell ref="E254:E256"/>
    <mergeCell ref="F254:F256"/>
    <mergeCell ref="D245:D247"/>
    <mergeCell ref="E245:E247"/>
    <mergeCell ref="F245:F247"/>
    <mergeCell ref="D248:D250"/>
    <mergeCell ref="E248:E250"/>
    <mergeCell ref="F248:F250"/>
    <mergeCell ref="D233:D235"/>
    <mergeCell ref="E233:E235"/>
    <mergeCell ref="F233:F235"/>
    <mergeCell ref="D236:D238"/>
    <mergeCell ref="E236:E238"/>
    <mergeCell ref="F236:F238"/>
    <mergeCell ref="G233:G234"/>
    <mergeCell ref="G236:G237"/>
    <mergeCell ref="G239:G240"/>
    <mergeCell ref="G221:G222"/>
    <mergeCell ref="G224:G225"/>
    <mergeCell ref="G227:G228"/>
    <mergeCell ref="G230:G231"/>
    <mergeCell ref="D215:D217"/>
    <mergeCell ref="E215:E217"/>
    <mergeCell ref="F215:F217"/>
    <mergeCell ref="D218:D220"/>
    <mergeCell ref="E218:E220"/>
    <mergeCell ref="F218:F220"/>
    <mergeCell ref="G218:G219"/>
    <mergeCell ref="D227:D229"/>
    <mergeCell ref="E227:E229"/>
    <mergeCell ref="F227:F229"/>
    <mergeCell ref="D230:D232"/>
    <mergeCell ref="E230:E232"/>
    <mergeCell ref="F230:F232"/>
    <mergeCell ref="D221:D223"/>
    <mergeCell ref="E221:E223"/>
    <mergeCell ref="F221:F223"/>
    <mergeCell ref="D224:D226"/>
    <mergeCell ref="E224:E226"/>
    <mergeCell ref="F224:F226"/>
    <mergeCell ref="D209:D211"/>
    <mergeCell ref="E209:E211"/>
    <mergeCell ref="F209:F211"/>
    <mergeCell ref="D212:D214"/>
    <mergeCell ref="E212:E214"/>
    <mergeCell ref="F212:F214"/>
    <mergeCell ref="G209:G210"/>
    <mergeCell ref="G212:G213"/>
    <mergeCell ref="G215:G216"/>
    <mergeCell ref="G190:G191"/>
    <mergeCell ref="G196:G197"/>
    <mergeCell ref="G200:G201"/>
    <mergeCell ref="G203:G204"/>
    <mergeCell ref="G206:G207"/>
    <mergeCell ref="D190:D192"/>
    <mergeCell ref="E190:E192"/>
    <mergeCell ref="F190:F192"/>
    <mergeCell ref="D193:D195"/>
    <mergeCell ref="E193:E195"/>
    <mergeCell ref="F193:F195"/>
    <mergeCell ref="G193:G194"/>
    <mergeCell ref="D203:D205"/>
    <mergeCell ref="E203:E205"/>
    <mergeCell ref="F203:F205"/>
    <mergeCell ref="D206:D208"/>
    <mergeCell ref="E206:E208"/>
    <mergeCell ref="F206:F208"/>
    <mergeCell ref="D196:D198"/>
    <mergeCell ref="E196:E198"/>
    <mergeCell ref="F196:F198"/>
    <mergeCell ref="D200:D202"/>
    <mergeCell ref="E200:E202"/>
    <mergeCell ref="F200:F202"/>
    <mergeCell ref="E175:E177"/>
    <mergeCell ref="F175:F177"/>
    <mergeCell ref="D184:D186"/>
    <mergeCell ref="E184:E186"/>
    <mergeCell ref="F184:F186"/>
    <mergeCell ref="D187:D189"/>
    <mergeCell ref="E187:E189"/>
    <mergeCell ref="F187:F189"/>
    <mergeCell ref="G184:G185"/>
    <mergeCell ref="G187:G188"/>
    <mergeCell ref="G160:G161"/>
    <mergeCell ref="G163:G164"/>
    <mergeCell ref="G166:G167"/>
    <mergeCell ref="G172:G173"/>
    <mergeCell ref="G175:G176"/>
    <mergeCell ref="G178:G179"/>
    <mergeCell ref="G181:G182"/>
    <mergeCell ref="D166:D168"/>
    <mergeCell ref="E166:E168"/>
    <mergeCell ref="F166:F168"/>
    <mergeCell ref="D169:D171"/>
    <mergeCell ref="E169:E171"/>
    <mergeCell ref="F169:F171"/>
    <mergeCell ref="G169:G170"/>
    <mergeCell ref="D178:D180"/>
    <mergeCell ref="E178:E180"/>
    <mergeCell ref="F178:F180"/>
    <mergeCell ref="D181:D183"/>
    <mergeCell ref="E181:E183"/>
    <mergeCell ref="F181:F183"/>
    <mergeCell ref="D172:D174"/>
    <mergeCell ref="E172:E174"/>
    <mergeCell ref="F172:F174"/>
    <mergeCell ref="D175:D177"/>
    <mergeCell ref="E148:E150"/>
    <mergeCell ref="F148:F150"/>
    <mergeCell ref="D151:D153"/>
    <mergeCell ref="E151:E153"/>
    <mergeCell ref="F151:F153"/>
    <mergeCell ref="D160:D162"/>
    <mergeCell ref="E160:E162"/>
    <mergeCell ref="F160:F162"/>
    <mergeCell ref="D163:D165"/>
    <mergeCell ref="E163:E165"/>
    <mergeCell ref="F163:F165"/>
    <mergeCell ref="G157:G158"/>
    <mergeCell ref="D145:D147"/>
    <mergeCell ref="E145:E147"/>
    <mergeCell ref="F145:F147"/>
    <mergeCell ref="D135:D137"/>
    <mergeCell ref="E135:E137"/>
    <mergeCell ref="F135:F137"/>
    <mergeCell ref="D138:D140"/>
    <mergeCell ref="E138:E140"/>
    <mergeCell ref="F138:F140"/>
    <mergeCell ref="D142:D144"/>
    <mergeCell ref="E142:E144"/>
    <mergeCell ref="F142:F144"/>
    <mergeCell ref="G135:G136"/>
    <mergeCell ref="G138:G139"/>
    <mergeCell ref="G142:G143"/>
    <mergeCell ref="G145:G146"/>
    <mergeCell ref="D154:D156"/>
    <mergeCell ref="E154:E156"/>
    <mergeCell ref="F154:F156"/>
    <mergeCell ref="D157:D159"/>
    <mergeCell ref="E157:E159"/>
    <mergeCell ref="F157:F159"/>
    <mergeCell ref="D148:D150"/>
    <mergeCell ref="D129:D131"/>
    <mergeCell ref="E129:E131"/>
    <mergeCell ref="F129:F131"/>
    <mergeCell ref="D132:D134"/>
    <mergeCell ref="E132:E134"/>
    <mergeCell ref="F132:F134"/>
    <mergeCell ref="D123:D125"/>
    <mergeCell ref="E123:E125"/>
    <mergeCell ref="F123:F125"/>
    <mergeCell ref="D126:D128"/>
    <mergeCell ref="E126:E128"/>
    <mergeCell ref="F126:F128"/>
    <mergeCell ref="D111:D113"/>
    <mergeCell ref="E111:E113"/>
    <mergeCell ref="F111:F113"/>
    <mergeCell ref="D114:D116"/>
    <mergeCell ref="E114:E116"/>
    <mergeCell ref="F114:F116"/>
    <mergeCell ref="G114:G115"/>
    <mergeCell ref="G117:G118"/>
    <mergeCell ref="G120:G121"/>
    <mergeCell ref="D117:D119"/>
    <mergeCell ref="E117:E119"/>
    <mergeCell ref="F117:F119"/>
    <mergeCell ref="D120:D122"/>
    <mergeCell ref="E120:E122"/>
    <mergeCell ref="F120:F122"/>
    <mergeCell ref="D105:D107"/>
    <mergeCell ref="E105:E107"/>
    <mergeCell ref="F105:F107"/>
    <mergeCell ref="D108:D110"/>
    <mergeCell ref="E108:E110"/>
    <mergeCell ref="F108:F110"/>
    <mergeCell ref="D99:D101"/>
    <mergeCell ref="E99:E101"/>
    <mergeCell ref="F99:F101"/>
    <mergeCell ref="D102:D104"/>
    <mergeCell ref="E102:E104"/>
    <mergeCell ref="F102:F104"/>
    <mergeCell ref="D69:D71"/>
    <mergeCell ref="E69:E71"/>
    <mergeCell ref="F69:F71"/>
    <mergeCell ref="F93:F95"/>
    <mergeCell ref="D96:D98"/>
    <mergeCell ref="E96:E98"/>
    <mergeCell ref="F96:F98"/>
    <mergeCell ref="D78:D80"/>
    <mergeCell ref="E78:E80"/>
    <mergeCell ref="F78:F80"/>
    <mergeCell ref="D84:D86"/>
    <mergeCell ref="E84:E86"/>
    <mergeCell ref="F84:F86"/>
    <mergeCell ref="D93:D95"/>
    <mergeCell ref="E93:E95"/>
    <mergeCell ref="F81:L81"/>
    <mergeCell ref="H82:I82"/>
    <mergeCell ref="F83:L83"/>
    <mergeCell ref="D72:D74"/>
    <mergeCell ref="E72:E74"/>
    <mergeCell ref="D75:D77"/>
    <mergeCell ref="E75:E77"/>
    <mergeCell ref="D90:D92"/>
    <mergeCell ref="E90:E92"/>
    <mergeCell ref="D45:D47"/>
    <mergeCell ref="E45:E47"/>
    <mergeCell ref="F45:F47"/>
    <mergeCell ref="D60:D62"/>
    <mergeCell ref="E60:E62"/>
    <mergeCell ref="F60:F62"/>
    <mergeCell ref="D63:D65"/>
    <mergeCell ref="E63:E65"/>
    <mergeCell ref="F63:F65"/>
    <mergeCell ref="D54:D56"/>
    <mergeCell ref="E54:E56"/>
    <mergeCell ref="F54:F56"/>
    <mergeCell ref="D57:D59"/>
    <mergeCell ref="E57:E59"/>
    <mergeCell ref="F57:F59"/>
    <mergeCell ref="D48:D50"/>
    <mergeCell ref="E48:E50"/>
    <mergeCell ref="D51:D53"/>
    <mergeCell ref="E51:E53"/>
    <mergeCell ref="G45:G46"/>
    <mergeCell ref="G48:G49"/>
    <mergeCell ref="G51:G52"/>
    <mergeCell ref="G54:G55"/>
    <mergeCell ref="M200:M203"/>
    <mergeCell ref="M84:M87"/>
    <mergeCell ref="F141:L141"/>
    <mergeCell ref="M142:M145"/>
    <mergeCell ref="F199:L199"/>
    <mergeCell ref="F48:F50"/>
    <mergeCell ref="F51:F53"/>
    <mergeCell ref="F72:F74"/>
    <mergeCell ref="F75:F77"/>
    <mergeCell ref="F87:F89"/>
    <mergeCell ref="F90:F92"/>
    <mergeCell ref="M24:M80"/>
    <mergeCell ref="G42:G43"/>
    <mergeCell ref="G123:G124"/>
    <mergeCell ref="G126:G127"/>
    <mergeCell ref="G129:G130"/>
    <mergeCell ref="G132:G133"/>
    <mergeCell ref="G148:G149"/>
    <mergeCell ref="G151:G152"/>
    <mergeCell ref="G154:G155"/>
    <mergeCell ref="D66:D68"/>
    <mergeCell ref="E66:E68"/>
    <mergeCell ref="F66:F68"/>
    <mergeCell ref="F316:M316"/>
    <mergeCell ref="F257:L257"/>
    <mergeCell ref="D258:D260"/>
    <mergeCell ref="E258:E260"/>
    <mergeCell ref="F258:F260"/>
    <mergeCell ref="D261:D263"/>
    <mergeCell ref="E261:E263"/>
    <mergeCell ref="F261:F263"/>
    <mergeCell ref="D264:D266"/>
    <mergeCell ref="D270:D272"/>
    <mergeCell ref="E270:E272"/>
    <mergeCell ref="F270:F272"/>
    <mergeCell ref="D273:D275"/>
    <mergeCell ref="E273:E275"/>
    <mergeCell ref="F273:F275"/>
    <mergeCell ref="E264:E266"/>
    <mergeCell ref="F264:F266"/>
    <mergeCell ref="D267:D269"/>
    <mergeCell ref="E267:E269"/>
    <mergeCell ref="D87:D89"/>
    <mergeCell ref="E87:E89"/>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s>
  <dataValidations count="4">
    <dataValidation type="decimal" allowBlank="1" showErrorMessage="1" errorTitle="Ошибка" error="Допускается ввод только действительных чисел!" sqref="K200 K203 K206 K209 K212 K215 K218 K221 K224 K227 K230 K233 K236 K239 K242 K245 K248 K251 K10 K84 K135 K132 K129 K126 K123 K120 K117 K114 K111 K108 K105 K102 K99 K96 K93 K90 K87 K142 K138 K145 K148 K151 K154 K157 K160 K163 K166 K169 K172 K175 K178 K184 K187 K190 K193 K196 K181 K254 K258 K261 K264 K267 K270 K273 K276 K279 K282 K285 K288 K291 K294 K297 K300 K303 K306 K309 K312 K5">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2:M143 M200:M201 M23 M84:M85 M258:M25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8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48:J48 I51:J51 I54:J54 I57:J57 I60:J60 I63:J63 I66:J66 I69:J69 I72:J72 I75:J75 I200:J200 I203:J203 I206:J206 I209:J209 I212:J212 I215:J215 I218:J218 I221:J221 I224:J224 I227:J227 I230:J230 I233:J233 I236:J236 I239:J239 I242:J242 I245:J245 I248:J248 I8:J8 I78:J78 I138:J138 I87:J87 I90:J90 I93:J93 I96:J96 I99:J99 I102:J102 I105:J105 I108:J108 I111:J111 I114:J114 I117:J117 I120:J120 I123:J123 I126:J126 I129:J129 I132:J132 I135:J135 I142:J142 I84:J84 I145:J145 I148:J148 I151:J151 I154:J154 I157:J157 I160:J160 I163:J163 I166:J166 I169:J169 I172:J172 I175:J175 I178:J178 I184:J184 I187:J187 I190:J190 I193:J193 I196:J196 I181:J181 I251:J251 I254:J254 I258:J258 I261:J261 I264:J264 I267:J267 I270:J270 I273:J273 I276:J276 I279:J279 I282:J282 I285:J285 I288:J288 I291:J291 I294:J294 I297:J297 I300:J300 I303:J303 I306:J306 I309:J309 I312:J312 I2:J2 I5:J5"/>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3A65EE9-EAFB-6BBE-DF4F-92C0F5DDC54E}" mc:Ignorable="x14ac xr xr2 xr3">
  <sheetPr>
    <tabColor theme="6" tint="0.4"/>
  </sheetPr>
  <dimension ref="A1:Q16"/>
  <sheetViews>
    <sheetView topLeftCell="A1" showGridLines="0" zoomScale="90" workbookViewId="0">
      <selection activeCell="A1" sqref="A1"/>
    </sheetView>
  </sheetViews>
  <sheetFormatPr defaultColWidth="10.57421875" customHeight="1" defaultRowHeight="14.25"/>
  <cols>
    <col min="1" max="1" style="4466" width="9.140625" hidden="1" customWidth="1"/>
    <col min="2" max="2" style="4374" width="9.140625" hidden="1" customWidth="1"/>
    <col min="3" max="3" style="3371" width="3.7109375" customWidth="1"/>
    <col min="4" max="4" style="4453" width="6.28125" customWidth="1"/>
    <col min="5" max="5" style="4453" width="53.8515625" customWidth="1"/>
    <col min="6" max="7" style="4453" width="35.7109375" customWidth="1"/>
    <col min="8" max="8" style="4453" width="89.57421875" customWidth="1"/>
    <col min="9" max="9" style="4453" width="10.57421875"/>
    <col min="10" max="11" style="4377" width="10.57421875"/>
    <col min="12" max="17" style="4453" width="10.57421875"/>
  </cols>
  <sheetData>
    <row customHeight="1" ht="14.25" hidden="1">
      <c r="N1" s="241"/>
      <c r="O1" s="241"/>
      <c r="Q1" s="241"/>
    </row>
    <row s="2948" customFormat="1" customHeight="1" ht="18.75" hidden="1">
      <c r="A2" s="88"/>
      <c r="B2" s="1168"/>
      <c r="C2" s="1770" t="s">
        <v>445</v>
      </c>
      <c r="D2" s="1713"/>
      <c r="E2" s="1722"/>
      <c r="F2" s="243"/>
      <c r="G2" s="1169"/>
      <c r="H2" s="374"/>
      <c r="I2" s="1664"/>
      <c r="J2" s="1664"/>
    </row>
    <row customHeight="1" ht="14.25" hidden="1"/>
    <row customHeight="1" ht="6">
      <c r="C4" s="377"/>
      <c r="D4" s="361"/>
      <c r="E4" s="361"/>
      <c r="F4" s="361"/>
      <c r="G4" s="70"/>
      <c r="H4" s="70"/>
    </row>
    <row customHeight="1" ht="33">
      <c r="C5" s="377"/>
      <c r="D5" s="2296"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297"/>
      <c r="F5" s="2297"/>
      <c r="G5" s="2298"/>
      <c r="H5" s="252"/>
    </row>
    <row s="2948" customFormat="1" customHeight="1" ht="17.25">
      <c r="A6" s="1709"/>
      <c r="B6" s="1168"/>
      <c r="C6" s="377"/>
      <c r="D6" s="2299" t="str">
        <f>IF(org=0,"Не определено",org)</f>
        <v>ЗАО "Байкалэнерго"</v>
      </c>
      <c r="E6" s="2300"/>
      <c r="F6" s="2300"/>
      <c r="G6" s="2301"/>
      <c r="H6" s="252"/>
      <c r="J6" s="1664"/>
      <c r="K6" s="1664"/>
    </row>
    <row customHeight="1" ht="14.25">
      <c r="C7" s="377"/>
      <c r="D7" s="361"/>
      <c r="E7" s="395"/>
      <c r="F7" s="395"/>
      <c r="G7" s="758"/>
      <c r="H7" s="179"/>
    </row>
    <row customHeight="1" ht="14.25">
      <c r="C8" s="377"/>
      <c r="D8" s="2062" t="s">
        <v>293</v>
      </c>
      <c r="E8" s="2062"/>
      <c r="F8" s="2062"/>
      <c r="G8" s="2062"/>
      <c r="H8" s="2302" t="s">
        <v>294</v>
      </c>
    </row>
    <row customHeight="1" ht="14.25">
      <c r="C9" s="377"/>
      <c r="D9" s="392" t="s">
        <v>88</v>
      </c>
      <c r="E9" s="94" t="s">
        <v>295</v>
      </c>
      <c r="F9" s="94" t="s">
        <v>296</v>
      </c>
      <c r="G9" s="94" t="s">
        <v>385</v>
      </c>
      <c r="H9" s="2302"/>
    </row>
    <row customHeight="1" ht="14.25">
      <c r="A10" s="339"/>
      <c r="C10" s="377"/>
      <c r="D10" s="133" t="s">
        <v>110</v>
      </c>
      <c r="E10" s="1929"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243"/>
      <c r="G10" s="199"/>
      <c r="H10" s="2015" t="s">
        <v>1065</v>
      </c>
    </row>
    <row customHeight="1" ht="14.25">
      <c r="A11" s="339"/>
      <c r="C11" s="377"/>
      <c r="D11" s="133" t="s">
        <v>111</v>
      </c>
      <c r="E11" s="1929"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243"/>
      <c r="G11" s="199"/>
      <c r="H11" s="2016"/>
    </row>
    <row customHeight="1" ht="14.25">
      <c r="A12" s="88"/>
      <c r="C12" s="393"/>
      <c r="D12" s="133" t="s">
        <v>90</v>
      </c>
      <c r="E12" s="394" t="str">
        <f>"Сведения о планировании закупочных процедур"&amp;IF(TEMPLATE_SPHERE="TKO"," &lt;1&gt;","")</f>
        <v>Сведения о планировании закупочных процедур</v>
      </c>
      <c r="F12" s="243"/>
      <c r="G12" s="199"/>
      <c r="H12" s="2016"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346"/>
      <c r="K12" s="374"/>
    </row>
    <row customHeight="1" ht="14.25">
      <c r="A13" s="88"/>
      <c r="C13" s="393"/>
      <c r="D13" s="133" t="s">
        <v>91</v>
      </c>
      <c r="E13" s="394" t="str">
        <f>"Сведения о результатах проведения закупочных процедур"&amp;IF(TEMPLATE_SPHERE="TKO"," &lt;1&gt;","")</f>
        <v>Сведения о результатах проведения закупочных процедур</v>
      </c>
      <c r="F13" s="243"/>
      <c r="G13" s="199"/>
      <c r="H13" s="2016"/>
      <c r="I13" s="346"/>
      <c r="K13" s="374"/>
    </row>
    <row customHeight="1" ht="14.25">
      <c r="A14" s="339"/>
      <c r="C14" s="377"/>
      <c r="D14" s="343"/>
      <c r="E14" s="401" t="s">
        <v>1025</v>
      </c>
      <c r="F14" s="345"/>
      <c r="G14" s="187"/>
      <c r="H14" s="2017"/>
    </row>
    <row s="2948" customFormat="1" customHeight="1" ht="14.25">
      <c r="A15" s="339"/>
      <c r="B15" s="1168"/>
      <c r="C15" s="377"/>
      <c r="D15" s="402"/>
      <c r="E15" s="1717"/>
      <c r="F15" s="1718"/>
      <c r="G15" s="1719"/>
      <c r="H15" s="1720"/>
      <c r="J15" s="1664"/>
      <c r="K15" s="1664"/>
    </row>
    <row customHeight="1" ht="14.25">
      <c r="D16" s="1721"/>
      <c r="E16" s="2233"/>
      <c r="F16" s="2233"/>
      <c r="G16" s="2233"/>
      <c r="H16" s="2233"/>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6B99121-10F7-27D1-FB85-7FE14325B7AD}" mc:Ignorable="x14ac xr xr2 xr3">
  <sheetPr>
    <tabColor theme="2" tint="-0.1"/>
  </sheetPr>
  <dimension ref="A1:U29"/>
  <sheetViews>
    <sheetView topLeftCell="A1" showGridLines="0" zoomScale="90" workbookViewId="0">
      <selection activeCell="A1" sqref="A1"/>
    </sheetView>
  </sheetViews>
  <sheetFormatPr defaultColWidth="10.57421875" customHeight="1" defaultRowHeight="15"/>
  <cols>
    <col min="1" max="1" style="3151" width="9.140625" hidden="1" customWidth="1"/>
    <col min="2" max="2" style="3153" width="9.140625" hidden="1" customWidth="1"/>
    <col min="3" max="3" style="4152" width="4.7109375" customWidth="1"/>
    <col min="4" max="4" style="3153" width="6.28125" customWidth="1"/>
    <col min="5" max="5" style="3153" width="47.8515625" customWidth="1"/>
    <col min="6" max="6" style="3153" width="9.57421875" customWidth="1"/>
    <col min="7" max="7" style="2623" width="25.7109375" hidden="1" customWidth="1"/>
    <col min="8" max="8" style="2623" width="34.00390625" hidden="1" customWidth="1"/>
    <col min="9" max="9" style="3153" width="25.7109375" customWidth="1"/>
    <col min="10" max="10" style="3153" width="34.00390625" customWidth="1"/>
    <col min="11" max="11" style="2624" width="50.8515625" customWidth="1"/>
    <col min="12" max="20" style="3153" width="10.57421875"/>
    <col min="21" max="21" style="4086" width="10.57421875"/>
  </cols>
  <sheetData>
    <row s="2624" customFormat="1" customHeight="1" ht="15" hidden="1">
      <c r="C1" s="678"/>
      <c r="G1" s="423">
        <v>4</v>
      </c>
      <c r="I1" s="423">
        <v>4</v>
      </c>
      <c r="U1" s="426"/>
    </row>
    <row s="2627" customFormat="1" customHeight="1" ht="15" hidden="1">
      <c r="A2" s="360"/>
      <c r="C2" s="162"/>
      <c r="D2" s="342"/>
      <c r="E2" s="679"/>
      <c r="F2" s="528"/>
      <c r="G2" s="622"/>
      <c r="H2" s="622"/>
      <c r="I2" s="622"/>
      <c r="J2" s="622"/>
      <c r="U2" s="680"/>
    </row>
    <row s="2624" customFormat="1" customHeight="1" ht="15" hidden="1">
      <c r="C3" s="678"/>
      <c r="U3" s="426"/>
    </row>
    <row customHeight="1" ht="15">
      <c r="C4" s="162"/>
      <c r="D4" s="515"/>
      <c r="E4" s="515"/>
      <c r="F4" s="515"/>
      <c r="G4" s="515"/>
      <c r="H4" s="515"/>
      <c r="I4" s="515"/>
      <c r="J4" s="515"/>
    </row>
    <row customHeight="1" ht="63">
      <c r="C5" s="162"/>
      <c r="D5" s="2085" t="s">
        <v>1066</v>
      </c>
      <c r="E5" s="2085"/>
      <c r="F5" s="2085"/>
      <c r="G5" s="2085"/>
      <c r="H5" s="2085"/>
      <c r="I5" s="2085"/>
      <c r="J5" s="2085"/>
    </row>
    <row customHeight="1" ht="15">
      <c r="C6" s="162"/>
      <c r="D6" s="2053" t="str">
        <f>IF(org=0,"Не определено",org)</f>
        <v>ЗАО "Байкалэнерго"</v>
      </c>
      <c r="E6" s="2053"/>
      <c r="F6" s="2053"/>
      <c r="G6" s="2053"/>
      <c r="H6" s="2053"/>
      <c r="I6" s="2053"/>
      <c r="J6" s="2053"/>
      <c r="K6" s="543"/>
    </row>
    <row customHeight="1" ht="15">
      <c r="C7" s="162"/>
      <c r="D7" s="758"/>
      <c r="E7" s="515"/>
      <c r="F7" s="515"/>
      <c r="G7" s="543">
        <v>22</v>
      </c>
      <c r="I7" s="543">
        <v>1</v>
      </c>
      <c r="J7" s="758"/>
    </row>
    <row s="2623" customFormat="1" customHeight="1" ht="0.75">
      <c r="A8" s="765"/>
      <c r="C8" s="162"/>
      <c r="D8" s="515"/>
      <c r="E8" s="515"/>
      <c r="F8" s="515"/>
      <c r="G8" s="543"/>
      <c r="H8" s="758"/>
      <c r="I8" s="543" t="s">
        <v>118</v>
      </c>
      <c r="J8" s="758"/>
      <c r="K8" s="423"/>
      <c r="U8" s="681"/>
    </row>
    <row customHeight="1" ht="15">
      <c r="C9" s="162"/>
      <c r="D9" s="717"/>
      <c r="E9" s="2213" t="s">
        <v>106</v>
      </c>
      <c r="F9" s="2214"/>
      <c r="G9" s="2236" t="str">
        <f>IF(G8="","",INDEX(DIFFERENTIATION_UNMERGE_VD,MATCH(G8,DIFFERENTIATION_ID_DIFF,0)))</f>
        <v/>
      </c>
      <c r="H9" s="2237"/>
      <c r="I9" s="2236">
        <f>IF(I8="","",INDEX(DIFFERENTIATION_UNMERGE_VD,MATCH(I8,DIFFERENTIATION_ID_DIFF,0)))</f>
        <v>0</v>
      </c>
      <c r="J9" s="2237"/>
      <c r="K9" s="2028" t="s">
        <v>294</v>
      </c>
    </row>
    <row s="2623" customFormat="1" customHeight="1" ht="15">
      <c r="A10" s="765"/>
      <c r="C10" s="162"/>
      <c r="D10" s="717"/>
      <c r="E10" s="2213" t="s">
        <v>552</v>
      </c>
      <c r="F10" s="2214"/>
      <c r="G10" s="2236" t="str">
        <f>IF(G8="","",INDEX(DIFFERENTIATION_UNMERGE_AREA,MATCH(G8,DIFFERENTIATION_ID_DIFF,0)))</f>
        <v/>
      </c>
      <c r="H10" s="2237"/>
      <c r="I10" s="2236" t="str">
        <f>IF(I8="","",INDEX(DIFFERENTIATION_UNMERGE_AREA,MATCH(I8,DIFFERENTIATION_ID_DIFF,0)))</f>
        <v/>
      </c>
      <c r="J10" s="2237"/>
      <c r="K10" s="2036"/>
      <c r="U10" s="681"/>
    </row>
    <row s="2623" customFormat="1" customHeight="1" ht="15">
      <c r="A11" s="765"/>
      <c r="C11" s="162"/>
      <c r="D11" s="717"/>
      <c r="E11" s="2213" t="s">
        <v>553</v>
      </c>
      <c r="F11" s="2214"/>
      <c r="G11" s="2236" t="str">
        <f>IF(G8="","",INDEX(DIFFERENTIATION_UNMERGE_SYSTEM,MATCH(G8,DIFFERENTIATION_ID_DIFF,0)))</f>
        <v/>
      </c>
      <c r="H11" s="2237"/>
      <c r="I11" s="2236" t="str">
        <f>IF(I8="","",INDEX(DIFFERENTIATION_UNMERGE_SYSTEM,MATCH(I8,DIFFERENTIATION_ID_DIFF,0)))</f>
        <v>без дифференциации</v>
      </c>
      <c r="J11" s="2237"/>
      <c r="K11" s="2036"/>
      <c r="U11" s="681"/>
    </row>
    <row s="2623" customFormat="1" customHeight="1" ht="15">
      <c r="A12" s="765"/>
      <c r="C12" s="162"/>
      <c r="D12" s="2215" t="s">
        <v>293</v>
      </c>
      <c r="E12" s="2216"/>
      <c r="F12" s="2216"/>
      <c r="G12" s="893"/>
      <c r="H12" s="893"/>
      <c r="I12" s="893"/>
      <c r="J12" s="893"/>
      <c r="K12" s="2036"/>
      <c r="U12" s="681"/>
    </row>
    <row customHeight="1" ht="33.75">
      <c r="C13" s="162"/>
      <c r="D13" s="811" t="s">
        <v>88</v>
      </c>
      <c r="E13" s="813" t="s">
        <v>295</v>
      </c>
      <c r="F13" s="813" t="s">
        <v>554</v>
      </c>
      <c r="G13" s="814" t="s">
        <v>296</v>
      </c>
      <c r="H13" s="813" t="s">
        <v>385</v>
      </c>
      <c r="I13" s="814" t="s">
        <v>296</v>
      </c>
      <c r="J13" s="813" t="s">
        <v>385</v>
      </c>
      <c r="K13" s="2090"/>
    </row>
    <row customHeight="1" ht="15" hidden="1">
      <c r="C14" s="162"/>
      <c r="D14" s="599" t="s">
        <v>110</v>
      </c>
      <c r="E14" s="599" t="s">
        <v>111</v>
      </c>
      <c r="F14" s="599" t="s">
        <v>90</v>
      </c>
      <c r="G14" s="665" t="str">
        <f>G1&amp;".1"</f>
        <v>4.1</v>
      </c>
      <c r="H14" s="665"/>
      <c r="I14" s="665" t="str">
        <f>I1&amp;".1"</f>
        <v>4.1</v>
      </c>
      <c r="J14" s="665"/>
      <c r="K14" s="277"/>
    </row>
    <row customHeight="1" ht="22.5" hidden="1">
      <c r="A15" s="511"/>
      <c r="C15" s="532"/>
      <c r="D15" s="527">
        <v>1</v>
      </c>
      <c r="E15" s="683" t="s">
        <v>711</v>
      </c>
      <c r="F15" s="527" t="s">
        <v>712</v>
      </c>
      <c r="G15" s="684"/>
      <c r="H15" s="684"/>
      <c r="I15" s="684"/>
      <c r="J15" s="684"/>
      <c r="K15" s="277" t="s">
        <v>713</v>
      </c>
    </row>
    <row customHeight="1" ht="22.5" hidden="1">
      <c r="A16" s="511"/>
      <c r="C16" s="532"/>
      <c r="D16" s="527">
        <v>2</v>
      </c>
      <c r="E16" s="267" t="s">
        <v>714</v>
      </c>
      <c r="F16" s="527" t="s">
        <v>715</v>
      </c>
      <c r="G16" s="684"/>
      <c r="H16" s="684"/>
      <c r="I16" s="684"/>
      <c r="J16" s="684"/>
      <c r="K16" s="277" t="s">
        <v>716</v>
      </c>
    </row>
    <row customHeight="1" ht="123.75" hidden="1">
      <c r="A17" s="511"/>
      <c r="C17" s="532"/>
      <c r="D17" s="527">
        <v>3</v>
      </c>
      <c r="E17" s="267" t="s">
        <v>1067</v>
      </c>
      <c r="F17" s="527" t="s">
        <v>299</v>
      </c>
      <c r="G17" s="684"/>
      <c r="H17" s="684"/>
      <c r="I17" s="684"/>
      <c r="J17" s="684"/>
      <c r="K17" s="277" t="s">
        <v>1068</v>
      </c>
    </row>
    <row customHeight="1" ht="45">
      <c r="A18" s="511"/>
      <c r="C18" s="532"/>
      <c r="D18" s="527">
        <v>4</v>
      </c>
      <c r="E18" s="267" t="s">
        <v>717</v>
      </c>
      <c r="F18" s="527" t="s">
        <v>299</v>
      </c>
      <c r="G18" s="815" t="s">
        <v>299</v>
      </c>
      <c r="H18" s="816" t="s">
        <v>299</v>
      </c>
      <c r="I18" s="527" t="s">
        <v>299</v>
      </c>
      <c r="J18" s="584" t="s">
        <v>299</v>
      </c>
      <c r="K18" s="277" t="s">
        <v>1069</v>
      </c>
    </row>
    <row customHeight="1" ht="33.75">
      <c r="A19" s="511"/>
      <c r="C19" s="532"/>
      <c r="D19" s="545" t="s">
        <v>655</v>
      </c>
      <c r="E19" s="565" t="s">
        <v>719</v>
      </c>
      <c r="F19" s="527" t="s">
        <v>720</v>
      </c>
      <c r="G19" s="823"/>
      <c r="H19" s="92"/>
      <c r="I19" s="823"/>
      <c r="J19" s="824"/>
      <c r="K19" s="685"/>
    </row>
    <row customHeight="1" ht="33.75">
      <c r="A20" s="511"/>
      <c r="C20" s="532"/>
      <c r="D20" s="545" t="s">
        <v>698</v>
      </c>
      <c r="E20" s="565" t="s">
        <v>721</v>
      </c>
      <c r="F20" s="527" t="s">
        <v>722</v>
      </c>
      <c r="G20" s="823"/>
      <c r="H20" s="92"/>
      <c r="I20" s="823"/>
      <c r="J20" s="92"/>
      <c r="K20" s="685"/>
    </row>
    <row customHeight="1" ht="45">
      <c r="A21" s="511"/>
      <c r="C21" s="532"/>
      <c r="D21" s="545" t="s">
        <v>701</v>
      </c>
      <c r="E21" s="565" t="s">
        <v>723</v>
      </c>
      <c r="F21" s="527" t="s">
        <v>559</v>
      </c>
      <c r="G21" s="686"/>
      <c r="H21" s="92"/>
      <c r="I21" s="686"/>
      <c r="J21" s="92"/>
      <c r="K21" s="685"/>
    </row>
    <row customHeight="1" ht="67.5" hidden="1">
      <c r="A22" s="511"/>
      <c r="C22" s="532"/>
      <c r="D22" s="527">
        <v>5</v>
      </c>
      <c r="E22" s="267" t="s">
        <v>1070</v>
      </c>
      <c r="F22" s="527" t="s">
        <v>546</v>
      </c>
      <c r="G22" s="687"/>
      <c r="H22" s="688"/>
      <c r="I22" s="687"/>
      <c r="J22" s="688"/>
      <c r="K22" s="277" t="s">
        <v>1071</v>
      </c>
    </row>
    <row customHeight="1" ht="33.75" hidden="1">
      <c r="C23" s="457"/>
      <c r="D23" s="527">
        <v>6</v>
      </c>
      <c r="E23" s="267" t="s">
        <v>1072</v>
      </c>
      <c r="F23" s="527" t="s">
        <v>1073</v>
      </c>
      <c r="G23" s="687"/>
      <c r="H23" s="687"/>
      <c r="I23" s="687"/>
      <c r="J23" s="687"/>
      <c r="K23" s="277" t="s">
        <v>1074</v>
      </c>
    </row>
    <row r="29" customHeight="1" ht="15">
      <c r="J29" s="825"/>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CEBCC79-4C7A-4B56-96C1-B3700CD2369F}" mc:Ignorable="x14ac xr xr2 xr3">
  <sheetPr>
    <tabColor rgb="FFEAEBEE"/>
    <pageSetUpPr fitToPage="1"/>
  </sheetPr>
  <dimension ref="A1:L15"/>
  <sheetViews>
    <sheetView topLeftCell="A1" showGridLines="0" zoomScale="90" workbookViewId="0">
      <selection activeCell="A1" sqref="A1"/>
    </sheetView>
  </sheetViews>
  <sheetFormatPr defaultColWidth="9.140625" customHeight="1" defaultRowHeight="14.25"/>
  <cols>
    <col min="1" max="1" style="4480" width="9.140625" hidden="1"/>
    <col min="2" max="2" style="4481" width="9.140625" hidden="1"/>
    <col min="3" max="3" style="4482" width="3.7109375" customWidth="1"/>
    <col min="4" max="4" style="4494" width="7.00390625" customWidth="1"/>
    <col min="5" max="5" style="4494" width="23.140625" customWidth="1"/>
    <col min="6" max="6" style="4494" width="16.00390625" customWidth="1"/>
    <col min="7" max="7" style="4494" width="14.8515625" customWidth="1"/>
    <col min="8" max="8" style="4494" width="47.8515625" customWidth="1"/>
    <col min="9" max="9" style="4494" width="115.7109375" customWidth="1"/>
    <col min="10" max="10" style="4494" width="3.7109375" customWidth="1"/>
    <col min="11" max="12" style="4494" width="9.140625"/>
  </cols>
  <sheetData>
    <row customHeight="1" ht="14.25" hidden="1"/>
    <row customHeight="1" ht="14.25" hidden="1"/>
    <row customHeight="1" ht="14.25" hidden="1"/>
    <row customHeight="1" ht="3"/>
    <row s="2687" customFormat="1" customHeight="1" ht="30">
      <c r="A5" s="101"/>
      <c r="C5" s="75"/>
      <c r="D5" s="1954" t="s">
        <v>1075</v>
      </c>
      <c r="E5" s="1954"/>
      <c r="F5" s="1954"/>
      <c r="G5" s="1954"/>
      <c r="H5" s="1954"/>
      <c r="I5" s="251"/>
    </row>
    <row customHeight="1" ht="3" hidden="1">
      <c r="D6" s="108"/>
      <c r="E6" s="108"/>
      <c r="F6" s="108"/>
      <c r="G6" s="108"/>
      <c r="H6" s="108"/>
      <c r="I6" s="108"/>
    </row>
    <row s="4480" customFormat="1" customHeight="1" ht="14.25">
      <c r="B7" s="105"/>
      <c r="C7" s="106"/>
      <c r="D7" s="109"/>
      <c r="E7" s="109"/>
      <c r="F7" s="109"/>
      <c r="G7" s="109"/>
      <c r="H7" s="758"/>
      <c r="I7" s="109"/>
      <c r="J7" s="110"/>
    </row>
    <row customHeight="1" ht="14.25">
      <c r="D8" s="2062" t="s">
        <v>293</v>
      </c>
      <c r="E8" s="2062"/>
      <c r="F8" s="2062"/>
      <c r="G8" s="2062"/>
      <c r="H8" s="2062"/>
      <c r="I8" s="2062" t="s">
        <v>294</v>
      </c>
    </row>
    <row customHeight="1" ht="27.75">
      <c r="D9" s="2062" t="s">
        <v>88</v>
      </c>
      <c r="E9" s="2062" t="s">
        <v>1076</v>
      </c>
      <c r="F9" s="2062"/>
      <c r="G9" s="2062"/>
      <c r="H9" s="2062"/>
      <c r="I9" s="2062"/>
    </row>
    <row customHeight="1" ht="22.5">
      <c r="D10" s="2062"/>
      <c r="E10" s="113" t="s">
        <v>1077</v>
      </c>
      <c r="F10" s="113" t="s">
        <v>1078</v>
      </c>
      <c r="G10" s="113" t="s">
        <v>1079</v>
      </c>
      <c r="H10" s="113" t="s">
        <v>385</v>
      </c>
      <c r="I10" s="2062"/>
    </row>
    <row customHeight="1" ht="12" hidden="1">
      <c r="D11" s="72" t="s">
        <v>110</v>
      </c>
      <c r="E11" s="72" t="s">
        <v>91</v>
      </c>
      <c r="F11" s="72" t="s">
        <v>112</v>
      </c>
      <c r="G11" s="72" t="s">
        <v>92</v>
      </c>
      <c r="H11" s="72" t="s">
        <v>93</v>
      </c>
      <c r="I11" s="72" t="s">
        <v>113</v>
      </c>
    </row>
    <row s="4486" customFormat="1" customHeight="1" ht="24.75">
      <c r="A12" s="131" t="s">
        <v>90</v>
      </c>
      <c r="B12" s="111" t="s">
        <v>24</v>
      </c>
      <c r="C12" s="112"/>
      <c r="D12" s="114" t="s">
        <v>110</v>
      </c>
      <c r="E12" s="387"/>
      <c r="F12" s="387"/>
      <c r="G12" s="1774" t="s">
        <v>24</v>
      </c>
      <c r="H12" s="388"/>
      <c r="I12" s="2015" t="s">
        <v>1080</v>
      </c>
      <c r="K12" s="258"/>
      <c r="L12" s="259"/>
    </row>
    <row customHeight="1" ht="15">
      <c r="A13" s="107"/>
      <c r="B13" s="107"/>
      <c r="C13" s="107"/>
      <c r="D13" s="95"/>
      <c r="E13" s="116" t="s">
        <v>463</v>
      </c>
      <c r="F13" s="115"/>
      <c r="G13" s="115"/>
      <c r="H13" s="200"/>
      <c r="I13" s="2017"/>
    </row>
    <row customHeight="1" ht="3">
      <c r="A14" s="107"/>
      <c r="B14" s="107"/>
      <c r="C14" s="107"/>
    </row>
    <row customHeight="1" ht="27.75">
      <c r="E15" s="2314" t="s">
        <v>1081</v>
      </c>
      <c r="F15" s="2314"/>
      <c r="G15" s="2314"/>
      <c r="H15" s="2314"/>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67" fitToHeight="0" pageOrder="downThenOver" orientation="landscape"/>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6232DAB-D30F-6A6D-83BE-B9B15FCA0495}" mc:Ignorable="x14ac xr xr2 xr3">
  <sheetPr>
    <tabColor rgb="FFCCCCFF"/>
    <pageSetUpPr fitToPage="1"/>
  </sheetPr>
  <dimension ref="A1:I15"/>
  <sheetViews>
    <sheetView topLeftCell="A1" showGridLines="0" zoomScale="90" workbookViewId="0">
      <selection activeCell="E12" sqref="E12"/>
    </sheetView>
  </sheetViews>
  <sheetFormatPr defaultColWidth="9.140625" customHeight="1" defaultRowHeight="14.25"/>
  <cols>
    <col min="1" max="2" style="4514" width="9.140625" hidden="1"/>
    <col min="3" max="3" style="4515" width="3.7109375" customWidth="1"/>
    <col min="4" max="4" style="4514" width="6.28125" customWidth="1"/>
    <col min="5" max="5" style="4514" width="94.8515625" customWidth="1"/>
    <col min="6" max="9" style="4514" width="9.140625"/>
  </cols>
  <sheetData>
    <row customHeight="1" ht="14.25" hidden="1"/>
    <row customHeight="1" ht="14.25" hidden="1"/>
    <row customHeight="1" ht="14.25" hidden="1"/>
    <row customHeight="1" ht="14.25" hidden="1"/>
    <row customHeight="1" ht="14.25" hidden="1"/>
    <row customHeight="1" ht="3">
      <c r="C6" s="77"/>
      <c r="D6" s="55"/>
      <c r="E6" s="55"/>
    </row>
    <row customHeight="1" ht="22.5">
      <c r="C7" s="77"/>
      <c r="D7" s="2315" t="s">
        <v>1082</v>
      </c>
      <c r="E7" s="2316"/>
      <c r="F7" s="253"/>
    </row>
    <row customHeight="1" ht="3">
      <c r="C8" s="77"/>
      <c r="D8" s="55"/>
      <c r="E8" s="55"/>
    </row>
    <row customHeight="1" ht="15.75">
      <c r="C9" s="77"/>
      <c r="D9" s="91" t="s">
        <v>88</v>
      </c>
      <c r="E9" s="246" t="s">
        <v>1083</v>
      </c>
    </row>
    <row customHeight="1" ht="0.75">
      <c r="C10" s="77"/>
      <c r="D10" s="72"/>
      <c r="E10" s="72"/>
    </row>
    <row customHeight="1" ht="11.25" hidden="1">
      <c r="C11" s="77"/>
      <c r="D11" s="136">
        <v>0</v>
      </c>
      <c r="E11" s="247"/>
    </row>
    <row customHeight="1" ht="15">
      <c r="C12" s="122"/>
      <c r="D12" s="99">
        <v>1</v>
      </c>
      <c r="E12" s="380" t="s">
        <v>1084</v>
      </c>
    </row>
    <row customHeight="1" ht="12">
      <c r="C13" s="77"/>
      <c r="D13" s="248"/>
      <c r="E13" s="249" t="s">
        <v>1085</v>
      </c>
    </row>
    <row customHeight="1" ht="3"/>
    <row customHeight="1" ht="22.5">
      <c r="C15" s="123"/>
      <c r="D15" s="2317" t="s">
        <v>1086</v>
      </c>
      <c r="E15" s="2317"/>
      <c r="F15" s="124"/>
      <c r="G15" s="124"/>
      <c r="H15" s="124"/>
      <c r="I15" s="124"/>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BF8085B-BFD1-2303-9A32-ED76E186F76F}" mc:Ignorable="x14ac xr xr2 xr3">
  <dimension ref="A1:I24"/>
  <sheetViews>
    <sheetView topLeftCell="A1" showGridLines="0" zoomScale="90" workbookViewId="0">
      <selection activeCell="A1" sqref="A1"/>
    </sheetView>
  </sheetViews>
  <sheetFormatPr defaultColWidth="9.140625" customHeight="1" defaultRowHeight="11.25"/>
  <cols>
    <col min="1" max="2" style="3008" width="15.00390625" hidden="1" customWidth="1"/>
    <col min="3" max="3" style="3087" width="3.7109375" customWidth="1"/>
    <col min="4" max="4" style="3088" width="6.8515625" customWidth="1"/>
    <col min="5" max="5" style="3087" width="52.28125" customWidth="1"/>
    <col min="6" max="6" style="3087" width="48.8515625" customWidth="1"/>
    <col min="7" max="7" style="3087" width="93.421875" customWidth="1"/>
    <col min="8" max="8" style="3087" width="9.140625"/>
    <col min="9" max="9" style="3087" width="65.00390625" customWidth="1"/>
  </cols>
  <sheetData>
    <row customHeight="1" ht="11.25" hidden="1">
      <c r="A1" s="507" t="s">
        <v>292</v>
      </c>
    </row>
    <row customHeight="1" ht="22.5" hidden="1">
      <c r="A2" s="508"/>
      <c r="B2" s="508"/>
      <c r="C2" s="463"/>
      <c r="D2" s="1550"/>
      <c r="E2" s="1556"/>
      <c r="F2" s="1586"/>
      <c r="H2" s="481"/>
    </row>
    <row customHeight="1" ht="11.25" hidden="1"/>
    <row customHeight="1" ht="11.25">
      <c r="A4" s="1587"/>
      <c r="B4" s="1587"/>
    </row>
    <row customHeight="1" ht="24">
      <c r="D5" s="2091" t="str">
        <f>"Форма 1. Информация об органе регулирования тарифов в сфере "&amp;TEMPLATE_SPHERE_RUS&amp;" (далее – орган регулирования тарифов)"</f>
        <v>Форма 1. Информация об органе регулирования тарифов в сфере теплоснабжения (далее – орган регулирования тарифов)</v>
      </c>
      <c r="E5" s="2092"/>
      <c r="F5" s="2093"/>
      <c r="I5" s="721"/>
    </row>
    <row customHeight="1" ht="17.25">
      <c r="D6" s="2053" t="str">
        <f>IF(region_name=0,"Не определено",region_name)</f>
        <v>Иркутская область</v>
      </c>
      <c r="E6" s="2053"/>
      <c r="F6" s="2053"/>
      <c r="I6" s="721"/>
    </row>
    <row s="3007" customFormat="1" customHeight="1" ht="11.25">
      <c r="A7" s="507"/>
      <c r="B7" s="507"/>
      <c r="D7" s="720"/>
      <c r="E7" s="720"/>
      <c r="F7" s="758"/>
      <c r="G7" s="720"/>
    </row>
    <row customHeight="1" ht="11.25" hidden="1">
      <c r="A8" s="508"/>
      <c r="B8" s="508"/>
      <c r="C8" s="463"/>
      <c r="D8" s="469"/>
      <c r="E8" s="2060"/>
      <c r="F8" s="2060"/>
    </row>
    <row customHeight="1" ht="11.25">
      <c r="A9" s="508"/>
      <c r="B9" s="508"/>
      <c r="C9" s="463"/>
      <c r="D9" s="2056" t="s">
        <v>293</v>
      </c>
      <c r="E9" s="2057"/>
      <c r="F9" s="2057"/>
      <c r="G9" s="2061" t="s">
        <v>294</v>
      </c>
    </row>
    <row customHeight="1" ht="11.25">
      <c r="A10" s="508"/>
      <c r="B10" s="508"/>
      <c r="C10" s="463"/>
      <c r="D10" s="1504" t="s">
        <v>88</v>
      </c>
      <c r="E10" s="1506" t="s">
        <v>295</v>
      </c>
      <c r="F10" s="1506" t="s">
        <v>296</v>
      </c>
      <c r="G10" s="2062"/>
    </row>
    <row customHeight="1" ht="0.75">
      <c r="A11" s="508"/>
      <c r="B11" s="508"/>
      <c r="C11" s="463"/>
      <c r="D11" s="470"/>
      <c r="E11" s="470"/>
      <c r="F11" s="470"/>
      <c r="G11" s="470"/>
    </row>
    <row customHeight="1" ht="22.5">
      <c r="A12" s="508"/>
      <c r="B12" s="508"/>
      <c r="C12" s="463"/>
      <c r="D12" s="1550">
        <v>1</v>
      </c>
      <c r="E12" s="480" t="s">
        <v>1087</v>
      </c>
      <c r="F12" s="1902" t="str">
        <f>IF(org="","",org)</f>
        <v>ЗАО "Байкалэнерго"</v>
      </c>
      <c r="G12" s="480" t="s">
        <v>1088</v>
      </c>
      <c r="H12" s="1563"/>
    </row>
    <row customHeight="1" ht="18.75">
      <c r="A13" s="508"/>
      <c r="B13" s="508"/>
      <c r="C13" s="463"/>
      <c r="D13" s="1550">
        <v>2</v>
      </c>
      <c r="E13" s="1557" t="s">
        <v>1089</v>
      </c>
      <c r="F13" s="1551" t="s">
        <v>299</v>
      </c>
      <c r="G13" s="480"/>
      <c r="H13" s="1563"/>
    </row>
    <row customHeight="1" ht="18.75">
      <c r="A14" s="508"/>
      <c r="B14" s="508"/>
      <c r="C14" s="463"/>
      <c r="D14" s="1553" t="s">
        <v>610</v>
      </c>
      <c r="E14" s="1554" t="s">
        <v>1090</v>
      </c>
      <c r="F14" s="1556"/>
      <c r="G14" s="1555" t="s">
        <v>1091</v>
      </c>
      <c r="H14" s="1563"/>
    </row>
    <row customHeight="1" ht="18.75">
      <c r="A15" s="508"/>
      <c r="B15" s="508"/>
      <c r="C15" s="463"/>
      <c r="D15" s="1553" t="s">
        <v>300</v>
      </c>
      <c r="E15" s="1554" t="s">
        <v>1092</v>
      </c>
      <c r="F15" s="1556"/>
      <c r="G15" s="1555" t="s">
        <v>1093</v>
      </c>
      <c r="H15" s="1563"/>
    </row>
    <row customHeight="1" ht="36.75">
      <c r="A16" s="508"/>
      <c r="B16" s="508"/>
      <c r="C16" s="463"/>
      <c r="D16" s="1553" t="s">
        <v>303</v>
      </c>
      <c r="E16" s="1552" t="s">
        <v>1094</v>
      </c>
      <c r="F16" s="1561"/>
      <c r="G16" s="480" t="s">
        <v>1095</v>
      </c>
      <c r="H16" s="1563"/>
    </row>
    <row customHeight="1" ht="45">
      <c r="A17" s="508"/>
      <c r="B17" s="508"/>
      <c r="C17" s="463"/>
      <c r="D17" s="1550">
        <v>3</v>
      </c>
      <c r="E17" s="1557" t="s">
        <v>1096</v>
      </c>
      <c r="F17" s="1556"/>
      <c r="G17" s="480" t="s">
        <v>1097</v>
      </c>
      <c r="H17" s="1563"/>
    </row>
    <row customHeight="1" ht="45">
      <c r="A18" s="1505">
        <v>1</v>
      </c>
      <c r="B18" s="508"/>
      <c r="C18" s="1507"/>
      <c r="D18" s="1550" t="s">
        <v>91</v>
      </c>
      <c r="E18" s="1557" t="s">
        <v>1098</v>
      </c>
      <c r="F18" s="1556"/>
      <c r="G18" s="480" t="s">
        <v>1097</v>
      </c>
      <c r="H18" s="1563"/>
      <c r="I18" s="858"/>
    </row>
    <row customHeight="1" ht="22.5">
      <c r="A19" s="508"/>
      <c r="B19" s="508"/>
      <c r="C19" s="463"/>
      <c r="D19" s="1550" t="s">
        <v>112</v>
      </c>
      <c r="E19" s="1557" t="s">
        <v>1099</v>
      </c>
      <c r="F19" s="1551" t="s">
        <v>299</v>
      </c>
      <c r="G19" s="2318" t="s">
        <v>1100</v>
      </c>
      <c r="H19" s="481"/>
    </row>
    <row s="4533" customFormat="1" customHeight="1" ht="5.25" hidden="1">
      <c r="A20" s="508"/>
      <c r="B20" s="508"/>
      <c r="C20" s="1559"/>
      <c r="D20" s="1558" t="s">
        <v>1018</v>
      </c>
      <c r="E20" s="1021"/>
      <c r="F20" s="1020"/>
      <c r="G20" s="2319"/>
    </row>
    <row customHeight="1" ht="15">
      <c r="A21" s="508"/>
      <c r="B21" s="508"/>
      <c r="C21" s="463"/>
      <c r="D21" s="473"/>
      <c r="E21" s="421" t="s">
        <v>334</v>
      </c>
      <c r="F21" s="475"/>
      <c r="G21" s="2320"/>
      <c r="H21" s="1563"/>
    </row>
    <row s="3008" customFormat="1" customHeight="1" ht="24.75">
      <c r="A22" s="508"/>
      <c r="B22" s="508"/>
      <c r="C22" s="508"/>
      <c r="D22" s="1550" t="s">
        <v>92</v>
      </c>
      <c r="E22" s="480" t="s">
        <v>1101</v>
      </c>
      <c r="F22" s="1556"/>
      <c r="G22" s="480" t="s">
        <v>1102</v>
      </c>
      <c r="H22" s="1562"/>
    </row>
    <row s="3008" customFormat="1" customHeight="1" ht="18.75">
      <c r="A23" s="508"/>
      <c r="B23" s="508"/>
      <c r="C23" s="508"/>
      <c r="D23" s="1550" t="s">
        <v>93</v>
      </c>
      <c r="E23" s="1557" t="s">
        <v>1103</v>
      </c>
      <c r="F23" s="1561"/>
      <c r="G23" s="480" t="s">
        <v>1104</v>
      </c>
      <c r="H23" s="1562"/>
    </row>
    <row customHeight="1" ht="11.25">
      <c r="A24" s="508"/>
      <c r="B24" s="508"/>
      <c r="C24" s="463"/>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1">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0CB9CD1-73CB-63DC-E46E-D62D091BB0C2}" mc:Ignorable="x14ac xr xr2 xr3">
  <dimension ref="A1:IT23"/>
  <sheetViews>
    <sheetView topLeftCell="A1" showGridLines="0" zoomScale="90" workbookViewId="0">
      <selection activeCell="A1" sqref="A1"/>
    </sheetView>
  </sheetViews>
  <sheetFormatPr defaultColWidth="9.140625" customHeight="1" defaultRowHeight="14.25"/>
  <cols>
    <col min="1" max="1" style="2939" width="9.140625" hidden="1"/>
    <col min="2" max="2" style="3292" width="9.140625" hidden="1"/>
    <col min="3" max="3" style="2939" width="3.7109375" hidden="1" customWidth="1"/>
    <col min="4" max="4" style="3152" width="3.8515625" customWidth="1"/>
    <col min="5" max="5" style="2939" width="6.28125" customWidth="1"/>
    <col min="6" max="6" style="2939" width="46.7109375" customWidth="1"/>
    <col min="7" max="8" style="2939" width="16.7109375" customWidth="1"/>
    <col min="9" max="9" style="2939" width="35.28125" customWidth="1"/>
    <col min="10" max="10" style="2939" width="89.57421875" customWidth="1"/>
    <col min="11" max="11" style="2664" width="3.7109375" customWidth="1"/>
    <col min="12" max="14" style="2664" width="9.140625"/>
    <col min="15" max="15" style="2630" width="25.7109375" customWidth="1"/>
    <col min="16" max="16" style="2664" width="14.421875" customWidth="1"/>
    <col min="17" max="20" style="2631" width="9.140625"/>
    <col min="21" max="254" style="2939" width="9.140625"/>
  </cols>
  <sheetData>
    <row customHeight="1" ht="14.25" hidden="1"/>
    <row s="2665" customFormat="1" customHeight="1" ht="22.5" hidden="1">
      <c r="A2" s="837"/>
      <c r="B2" s="1168">
        <v>1</v>
      </c>
      <c r="C2" s="1168"/>
      <c r="D2" s="807"/>
      <c r="E2" s="1514"/>
      <c r="F2" s="1521"/>
      <c r="G2" s="1521"/>
      <c r="H2" s="1521"/>
      <c r="I2" s="1568"/>
      <c r="J2" s="214"/>
      <c r="K2" s="1565">
        <f>MERGEVALUE(F2)</f>
      </c>
      <c r="L2" s="517"/>
      <c r="M2" s="517"/>
      <c r="N2" s="506" t="str">
        <f t="array" ref="N2:N2">IF(ISERROR(MATCH(MID(O2,1,250),MID(note_ter,1,250),0)),"n","y")</f>
        <v>n</v>
      </c>
      <c r="O2" s="517"/>
      <c r="P2" s="506" t="str">
        <f>G2&amp;"("&amp;J2&amp;")"</f>
        <v>()</v>
      </c>
      <c r="Q2" s="1168"/>
      <c r="R2" s="1168"/>
      <c r="S2" s="426"/>
      <c r="T2" s="1168"/>
      <c r="U2" s="1168"/>
      <c r="V2" s="1168"/>
      <c r="W2" s="428"/>
      <c r="X2" s="428"/>
      <c r="Y2" s="425"/>
      <c r="Z2" s="425"/>
      <c r="AA2" s="425"/>
      <c r="AB2" s="425"/>
      <c r="AC2" s="425"/>
      <c r="AD2" s="425"/>
      <c r="AE2" s="425"/>
      <c r="AF2" s="425"/>
      <c r="AG2" s="425"/>
      <c r="AH2" s="425"/>
      <c r="AI2" s="425"/>
      <c r="AJ2" s="425"/>
      <c r="AK2" s="425"/>
      <c r="AL2" s="425"/>
      <c r="AM2" s="425"/>
      <c r="AN2" s="425"/>
      <c r="AO2" s="425"/>
      <c r="AP2" s="425"/>
      <c r="AQ2" s="425"/>
      <c r="AR2" s="425"/>
      <c r="AS2" s="425"/>
      <c r="AT2" s="425"/>
      <c r="AU2" s="425"/>
      <c r="AV2" s="425"/>
      <c r="AW2" s="425"/>
      <c r="AX2" s="425"/>
      <c r="AY2" s="425"/>
      <c r="AZ2" s="425"/>
      <c r="BA2" s="425"/>
      <c r="BB2" s="425"/>
      <c r="BC2" s="425"/>
      <c r="BD2" s="425"/>
      <c r="BE2" s="425"/>
      <c r="BF2" s="425"/>
      <c r="BG2" s="425"/>
      <c r="BH2" s="425"/>
      <c r="BI2" s="425"/>
      <c r="BJ2" s="425"/>
      <c r="BK2" s="425"/>
      <c r="BL2" s="425"/>
      <c r="BM2" s="425"/>
      <c r="BN2" s="425"/>
      <c r="BO2" s="425"/>
      <c r="BP2" s="425"/>
      <c r="BQ2" s="425"/>
      <c r="BR2" s="425"/>
      <c r="BS2" s="425"/>
      <c r="BT2" s="428"/>
      <c r="BU2" s="428"/>
      <c r="BV2" s="428"/>
      <c r="BW2" s="428"/>
      <c r="BX2" s="428"/>
      <c r="BY2" s="428"/>
      <c r="BZ2" s="428"/>
      <c r="CA2" s="428"/>
      <c r="CB2" s="428"/>
      <c r="CC2" s="428"/>
    </row>
    <row s="2611" customFormat="1" customHeight="1" ht="5.25" hidden="1">
      <c r="A3" s="502"/>
      <c r="D3" s="500"/>
      <c r="F3" s="233" t="s">
        <v>83</v>
      </c>
      <c r="G3" s="500" t="s">
        <v>84</v>
      </c>
      <c r="H3" s="500"/>
      <c r="I3" s="500"/>
      <c r="J3" s="213" t="s">
        <v>85</v>
      </c>
      <c r="K3" s="233" t="s">
        <v>83</v>
      </c>
      <c r="L3" s="233"/>
      <c r="M3" s="233"/>
      <c r="N3" s="233"/>
      <c r="O3" s="234"/>
      <c r="P3" s="233"/>
      <c r="Q3" s="233"/>
      <c r="R3" s="233"/>
      <c r="S3" s="233"/>
      <c r="T3" s="233"/>
      <c r="U3" s="213"/>
      <c r="V3" s="213"/>
      <c r="W3" s="213"/>
      <c r="X3" s="213"/>
      <c r="Y3" s="213"/>
      <c r="Z3" s="213"/>
      <c r="AA3" s="213"/>
      <c r="AB3" s="213"/>
      <c r="AC3" s="213"/>
      <c r="AD3" s="213"/>
      <c r="AE3" s="213"/>
      <c r="AF3" s="213"/>
      <c r="AG3" s="213"/>
      <c r="AH3" s="213"/>
      <c r="AI3" s="213"/>
      <c r="AJ3" s="213"/>
      <c r="AK3" s="213"/>
      <c r="AL3" s="213"/>
      <c r="AM3" s="213"/>
      <c r="AN3" s="213"/>
      <c r="AO3" s="213"/>
      <c r="AP3" s="213"/>
      <c r="AQ3" s="213"/>
      <c r="AR3" s="213"/>
      <c r="AS3" s="213"/>
      <c r="AT3" s="213"/>
      <c r="AU3" s="213"/>
      <c r="AV3" s="213"/>
      <c r="AW3" s="213"/>
      <c r="AX3" s="213"/>
      <c r="AY3" s="213"/>
      <c r="AZ3" s="213"/>
      <c r="BA3" s="213"/>
      <c r="BB3" s="213"/>
      <c r="BC3" s="213"/>
      <c r="BD3" s="213"/>
      <c r="BE3" s="213"/>
      <c r="BF3" s="213"/>
      <c r="BG3" s="213"/>
      <c r="BH3" s="213"/>
      <c r="BI3" s="213"/>
      <c r="BJ3" s="213"/>
      <c r="BK3" s="213"/>
      <c r="BL3" s="213"/>
      <c r="BM3" s="213"/>
      <c r="BN3" s="213"/>
      <c r="BO3" s="213"/>
      <c r="BP3" s="213"/>
      <c r="BQ3" s="213"/>
      <c r="BR3" s="213"/>
      <c r="BS3" s="213"/>
      <c r="BT3" s="213"/>
      <c r="BU3" s="213"/>
      <c r="BV3" s="213"/>
      <c r="BW3" s="213"/>
      <c r="BX3" s="213"/>
      <c r="BY3" s="213"/>
      <c r="BZ3" s="213"/>
      <c r="CA3" s="213"/>
      <c r="CB3" s="213"/>
      <c r="CC3" s="213"/>
      <c r="CD3" s="213"/>
      <c r="CE3" s="213"/>
      <c r="CF3" s="213"/>
      <c r="CG3" s="213"/>
      <c r="CH3" s="213"/>
      <c r="CI3" s="213"/>
      <c r="CJ3" s="213"/>
      <c r="CK3" s="213"/>
      <c r="CL3" s="213"/>
      <c r="CM3" s="213"/>
      <c r="CN3" s="213"/>
      <c r="CO3" s="213"/>
      <c r="CP3" s="213"/>
      <c r="CQ3" s="213"/>
      <c r="CR3" s="213"/>
      <c r="CS3" s="213"/>
      <c r="CT3" s="213"/>
      <c r="CU3" s="213"/>
      <c r="CV3" s="213"/>
      <c r="CW3" s="213"/>
      <c r="CX3" s="213"/>
      <c r="CY3" s="213"/>
      <c r="CZ3" s="213"/>
      <c r="DA3" s="213"/>
      <c r="DB3" s="213"/>
      <c r="DC3" s="213"/>
      <c r="DD3" s="213"/>
      <c r="DE3" s="213"/>
      <c r="DF3" s="213"/>
      <c r="DG3" s="213"/>
      <c r="DH3" s="213"/>
      <c r="DI3" s="213"/>
      <c r="DJ3" s="213"/>
      <c r="DK3" s="213"/>
      <c r="DL3" s="213"/>
      <c r="DM3" s="213"/>
      <c r="DN3" s="213"/>
      <c r="DO3" s="213"/>
      <c r="DP3" s="213"/>
      <c r="DQ3" s="213"/>
      <c r="DR3" s="213"/>
      <c r="DS3" s="213"/>
      <c r="DT3" s="213"/>
      <c r="DU3" s="213"/>
      <c r="DV3" s="213"/>
      <c r="DW3" s="213"/>
      <c r="DX3" s="213"/>
      <c r="DY3" s="213"/>
      <c r="DZ3" s="213"/>
      <c r="EA3" s="213"/>
      <c r="EB3" s="213"/>
      <c r="EC3" s="213"/>
      <c r="ED3" s="213"/>
      <c r="EE3" s="213"/>
      <c r="EF3" s="213"/>
      <c r="EG3" s="213"/>
      <c r="EH3" s="213"/>
      <c r="EI3" s="213"/>
      <c r="EJ3" s="213"/>
      <c r="EK3" s="213"/>
      <c r="EL3" s="213"/>
      <c r="EM3" s="213"/>
      <c r="EN3" s="213"/>
      <c r="EO3" s="213"/>
      <c r="EP3" s="213"/>
      <c r="EQ3" s="213"/>
      <c r="ER3" s="213"/>
      <c r="ES3" s="213"/>
      <c r="ET3" s="213"/>
      <c r="EU3" s="213"/>
      <c r="EV3" s="213"/>
      <c r="EW3" s="213"/>
      <c r="EX3" s="213"/>
      <c r="EY3" s="213"/>
      <c r="EZ3" s="213"/>
      <c r="FA3" s="213"/>
      <c r="FB3" s="213"/>
      <c r="FC3" s="213"/>
      <c r="FD3" s="213"/>
      <c r="FE3" s="213"/>
      <c r="FF3" s="213"/>
      <c r="FG3" s="213"/>
      <c r="FH3" s="213"/>
      <c r="FI3" s="213"/>
      <c r="FJ3" s="213"/>
      <c r="FK3" s="213"/>
      <c r="FL3" s="213"/>
      <c r="FM3" s="213"/>
      <c r="FN3" s="213"/>
      <c r="FO3" s="213"/>
      <c r="FP3" s="213"/>
      <c r="FQ3" s="213"/>
      <c r="FR3" s="213"/>
      <c r="FS3" s="213"/>
      <c r="FT3" s="213"/>
      <c r="FU3" s="213"/>
      <c r="FV3" s="213"/>
      <c r="FW3" s="213"/>
      <c r="FX3" s="213"/>
      <c r="FY3" s="213"/>
      <c r="FZ3" s="213"/>
      <c r="GA3" s="213"/>
      <c r="GB3" s="213"/>
      <c r="GC3" s="213"/>
      <c r="GD3" s="213"/>
      <c r="GE3" s="213"/>
      <c r="GF3" s="213"/>
      <c r="GG3" s="213"/>
      <c r="GH3" s="213"/>
      <c r="GI3" s="213"/>
      <c r="GJ3" s="213"/>
      <c r="GK3" s="213"/>
      <c r="GL3" s="213"/>
      <c r="GM3" s="213"/>
      <c r="GN3" s="213"/>
      <c r="GO3" s="213"/>
      <c r="GP3" s="213"/>
      <c r="GQ3" s="213"/>
      <c r="GR3" s="213"/>
      <c r="GS3" s="213"/>
      <c r="GT3" s="213"/>
      <c r="GU3" s="213"/>
      <c r="GV3" s="213"/>
      <c r="GW3" s="213"/>
      <c r="GX3" s="213"/>
      <c r="GY3" s="213"/>
      <c r="GZ3" s="213"/>
      <c r="HA3" s="213"/>
      <c r="HB3" s="213"/>
      <c r="HC3" s="213"/>
      <c r="HD3" s="213"/>
      <c r="HE3" s="213"/>
      <c r="HF3" s="213"/>
      <c r="HG3" s="213"/>
      <c r="HH3" s="213"/>
      <c r="HI3" s="213"/>
      <c r="HJ3" s="213"/>
      <c r="HK3" s="213"/>
      <c r="HL3" s="213"/>
      <c r="HM3" s="213"/>
      <c r="HN3" s="213"/>
      <c r="HO3" s="213"/>
      <c r="HP3" s="213"/>
      <c r="HQ3" s="213"/>
      <c r="HR3" s="213"/>
      <c r="HS3" s="213"/>
      <c r="HT3" s="213"/>
      <c r="HU3" s="213"/>
      <c r="HV3" s="213"/>
      <c r="HW3" s="213"/>
      <c r="HX3" s="213"/>
      <c r="HY3" s="213"/>
      <c r="HZ3" s="213"/>
      <c r="IA3" s="213"/>
      <c r="IB3" s="213"/>
      <c r="IC3" s="213"/>
      <c r="ID3" s="213"/>
      <c r="IE3" s="213"/>
      <c r="IF3" s="213"/>
      <c r="IG3" s="213"/>
      <c r="IH3" s="213"/>
      <c r="II3" s="213"/>
      <c r="IJ3" s="213"/>
      <c r="IK3" s="213"/>
      <c r="IL3" s="213"/>
      <c r="IM3" s="213"/>
      <c r="IN3" s="213"/>
      <c r="IO3" s="213"/>
      <c r="IP3" s="213"/>
      <c r="IQ3" s="213"/>
      <c r="IR3" s="213"/>
      <c r="IS3" s="213"/>
      <c r="IT3" s="213"/>
    </row>
    <row s="2656" customFormat="1" customHeight="1" ht="14.25">
      <c r="A4" s="1163"/>
      <c r="B4" s="1168"/>
      <c r="C4" s="1163"/>
      <c r="D4" s="1525"/>
      <c r="E4" s="515"/>
      <c r="F4" s="515"/>
      <c r="G4" s="515"/>
      <c r="H4" s="515"/>
      <c r="I4" s="515"/>
      <c r="J4" s="152"/>
      <c r="K4" s="233"/>
      <c r="L4" s="506"/>
      <c r="M4" s="506"/>
      <c r="N4" s="506"/>
      <c r="O4" s="212"/>
      <c r="P4" s="506"/>
      <c r="Q4" s="211"/>
      <c r="R4" s="211"/>
      <c r="S4" s="211"/>
      <c r="T4" s="211"/>
    </row>
    <row s="2656" customFormat="1" customHeight="1" ht="25.5">
      <c r="A5" s="1163"/>
      <c r="B5" s="1168"/>
      <c r="C5" s="1163"/>
      <c r="D5" s="1525"/>
      <c r="E5" s="1954" t="str">
        <f>"Форма 2.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орган регулирования тарифов осуществляет регулирование тарифов в сфере "&amp;TEMPLATE_SPHERE_RUS)</f>
        <v>Форма 2.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1954"/>
      <c r="G5" s="1954"/>
      <c r="H5" s="1954"/>
      <c r="I5" s="1954"/>
      <c r="J5" s="1954"/>
      <c r="K5" s="233"/>
      <c r="L5" s="506"/>
      <c r="M5" s="506"/>
      <c r="N5" s="506"/>
      <c r="O5" s="212"/>
      <c r="P5" s="506"/>
      <c r="Q5" s="211"/>
      <c r="R5" s="211"/>
      <c r="S5" s="211"/>
      <c r="T5" s="211"/>
    </row>
    <row s="2656" customFormat="1" customHeight="1" ht="14.25">
      <c r="A6" s="1163"/>
      <c r="B6" s="1168"/>
      <c r="C6" s="1163"/>
      <c r="D6" s="1525"/>
      <c r="E6" s="515"/>
      <c r="F6" s="153"/>
      <c r="G6" s="153"/>
      <c r="H6" s="153"/>
      <c r="I6" s="153"/>
      <c r="J6" s="154"/>
      <c r="K6" s="506"/>
      <c r="L6" s="506"/>
      <c r="M6" s="506"/>
      <c r="N6" s="506"/>
      <c r="O6" s="212"/>
      <c r="P6" s="506"/>
      <c r="Q6" s="211"/>
      <c r="R6" s="211"/>
      <c r="S6" s="211"/>
      <c r="T6" s="211"/>
    </row>
    <row s="2656" customFormat="1" customHeight="1" ht="14.25">
      <c r="A7" s="1163"/>
      <c r="B7" s="1168"/>
      <c r="C7" s="1163"/>
      <c r="D7" s="1525"/>
      <c r="E7" s="1955" t="s">
        <v>293</v>
      </c>
      <c r="F7" s="1956"/>
      <c r="G7" s="1956"/>
      <c r="H7" s="1956"/>
      <c r="I7" s="1956"/>
      <c r="J7" s="2321" t="s">
        <v>294</v>
      </c>
      <c r="K7" s="506"/>
      <c r="L7" s="506"/>
      <c r="M7" s="506"/>
      <c r="N7" s="506"/>
      <c r="O7" s="212"/>
      <c r="P7" s="506"/>
      <c r="Q7" s="211"/>
      <c r="R7" s="211"/>
      <c r="S7" s="211"/>
      <c r="T7" s="211"/>
    </row>
    <row s="2656" customFormat="1" customHeight="1" ht="20.25">
      <c r="A8" s="1163"/>
      <c r="B8" s="1168"/>
      <c r="C8" s="1163"/>
      <c r="D8" s="1525"/>
      <c r="E8" s="1585" t="s">
        <v>88</v>
      </c>
      <c r="F8" s="1570" t="s">
        <v>1105</v>
      </c>
      <c r="G8" s="1570" t="s">
        <v>48</v>
      </c>
      <c r="H8" s="1570" t="s">
        <v>50</v>
      </c>
      <c r="I8" s="1570" t="s">
        <v>1106</v>
      </c>
      <c r="J8" s="2322"/>
      <c r="K8" s="506"/>
      <c r="L8" s="506"/>
      <c r="M8" s="506"/>
      <c r="N8" s="506"/>
      <c r="O8" s="212"/>
      <c r="P8" s="506"/>
      <c r="Q8" s="211"/>
      <c r="R8" s="211"/>
      <c r="S8" s="211"/>
      <c r="T8" s="211"/>
    </row>
    <row s="2665" customFormat="1" customHeight="1" ht="22.5">
      <c r="A9" s="1953"/>
      <c r="B9" s="1168">
        <v>1</v>
      </c>
      <c r="C9" s="1168"/>
      <c r="D9" s="807"/>
      <c r="E9" s="1514">
        <v>1</v>
      </c>
      <c r="F9" s="1584"/>
      <c r="G9" s="1521"/>
      <c r="H9" s="1521"/>
      <c r="I9" s="1568"/>
      <c r="J9" s="2323" t="s">
        <v>1107</v>
      </c>
      <c r="K9" s="1565">
        <f>MERGEVALUE(F9)</f>
      </c>
      <c r="L9" s="517"/>
      <c r="M9" s="517"/>
      <c r="N9" s="506" t="str">
        <f t="array" ref="N9:N9">IF(ISERROR(MATCH(MID(O9,1,250),MID(note_ter,1,250),0)),"n","y")</f>
        <v>n</v>
      </c>
      <c r="O9" s="517"/>
      <c r="P9" s="506" t="str">
        <f>G9&amp;"("&amp;J9&amp;")"</f>
        <v>(Значение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8"/>
      <c r="R9" s="1168"/>
      <c r="S9" s="426"/>
      <c r="T9" s="1168"/>
      <c r="U9" s="1168"/>
      <c r="V9" s="1168"/>
      <c r="W9" s="428"/>
      <c r="X9" s="428"/>
      <c r="Y9" s="425"/>
      <c r="Z9" s="425"/>
      <c r="AA9" s="425"/>
      <c r="AB9" s="425"/>
      <c r="AC9" s="425"/>
      <c r="AD9" s="425"/>
      <c r="AE9" s="425"/>
      <c r="AF9" s="425"/>
      <c r="AG9" s="425"/>
      <c r="AH9" s="425"/>
      <c r="AI9" s="425"/>
      <c r="AJ9" s="425"/>
      <c r="AK9" s="425"/>
      <c r="AL9" s="425"/>
      <c r="AM9" s="425"/>
      <c r="AN9" s="425"/>
      <c r="AO9" s="425"/>
      <c r="AP9" s="425"/>
      <c r="AQ9" s="425"/>
      <c r="AR9" s="425"/>
      <c r="AS9" s="425"/>
      <c r="AT9" s="425"/>
      <c r="AU9" s="425"/>
      <c r="AV9" s="425"/>
      <c r="AW9" s="425"/>
      <c r="AX9" s="425"/>
      <c r="AY9" s="425"/>
      <c r="AZ9" s="425"/>
      <c r="BA9" s="425"/>
      <c r="BB9" s="425"/>
      <c r="BC9" s="425"/>
      <c r="BD9" s="425"/>
      <c r="BE9" s="425"/>
      <c r="BF9" s="425"/>
      <c r="BG9" s="425"/>
      <c r="BH9" s="425"/>
      <c r="BI9" s="425"/>
      <c r="BJ9" s="425"/>
      <c r="BK9" s="425"/>
      <c r="BL9" s="425"/>
      <c r="BM9" s="425"/>
      <c r="BN9" s="425"/>
      <c r="BO9" s="425"/>
      <c r="BP9" s="425"/>
      <c r="BQ9" s="425"/>
      <c r="BR9" s="425"/>
      <c r="BS9" s="425"/>
      <c r="BT9" s="428"/>
      <c r="BU9" s="428"/>
      <c r="BV9" s="428"/>
      <c r="BW9" s="428"/>
      <c r="BX9" s="428"/>
      <c r="BY9" s="428"/>
      <c r="BZ9" s="428"/>
      <c r="CA9" s="428"/>
      <c r="CB9" s="428"/>
      <c r="CC9" s="428"/>
    </row>
    <row s="2665" customFormat="1" customHeight="1" ht="15">
      <c r="A10" s="1953"/>
      <c r="B10" s="1168"/>
      <c r="C10" s="418"/>
      <c r="D10" s="807"/>
      <c r="E10" s="1571"/>
      <c r="F10" s="1530" t="s">
        <v>1108</v>
      </c>
      <c r="G10" s="1572"/>
      <c r="H10" s="1572"/>
      <c r="I10" s="1572"/>
      <c r="J10" s="2324"/>
      <c r="K10" s="1566"/>
      <c r="L10" s="517"/>
      <c r="M10" s="517"/>
      <c r="N10" s="517"/>
      <c r="O10" s="506"/>
      <c r="P10" s="517"/>
      <c r="Q10" s="1168"/>
      <c r="R10" s="1168"/>
      <c r="S10" s="426"/>
      <c r="T10" s="1168"/>
      <c r="U10" s="1168"/>
      <c r="V10" s="1168"/>
      <c r="W10" s="428"/>
      <c r="X10" s="428"/>
      <c r="Y10" s="425"/>
      <c r="Z10" s="425"/>
      <c r="AA10" s="425"/>
      <c r="AB10" s="425"/>
      <c r="AC10" s="425"/>
      <c r="AD10" s="425"/>
      <c r="AE10" s="425"/>
      <c r="AF10" s="425"/>
      <c r="AG10" s="425"/>
      <c r="AH10" s="425"/>
      <c r="AI10" s="425"/>
      <c r="AJ10" s="425"/>
      <c r="AK10" s="425"/>
      <c r="AL10" s="425"/>
      <c r="AM10" s="425"/>
      <c r="AN10" s="425"/>
      <c r="AO10" s="425"/>
      <c r="AP10" s="425"/>
      <c r="AQ10" s="425"/>
      <c r="AR10" s="425"/>
      <c r="AS10" s="425"/>
      <c r="AT10" s="425"/>
      <c r="AU10" s="425"/>
      <c r="AV10" s="425"/>
      <c r="AW10" s="425"/>
      <c r="AX10" s="425"/>
      <c r="AY10" s="425"/>
      <c r="AZ10" s="425"/>
      <c r="BA10" s="425"/>
      <c r="BB10" s="425"/>
      <c r="BC10" s="425"/>
      <c r="BD10" s="425"/>
      <c r="BE10" s="425"/>
      <c r="BF10" s="425"/>
      <c r="BG10" s="425"/>
      <c r="BH10" s="425"/>
      <c r="BI10" s="425"/>
      <c r="BJ10" s="425"/>
      <c r="BK10" s="425"/>
      <c r="BL10" s="425"/>
      <c r="BM10" s="425"/>
      <c r="BN10" s="425"/>
      <c r="BO10" s="425"/>
      <c r="BP10" s="425"/>
      <c r="BQ10" s="425"/>
      <c r="BR10" s="425"/>
      <c r="BS10" s="425"/>
      <c r="BT10" s="428"/>
      <c r="BU10" s="428"/>
      <c r="BV10" s="428"/>
      <c r="BW10" s="428"/>
      <c r="BX10" s="428"/>
      <c r="BY10" s="428"/>
      <c r="BZ10" s="428"/>
      <c r="CA10" s="428"/>
      <c r="CB10" s="428"/>
      <c r="CC10" s="428"/>
    </row>
    <row s="2656" customFormat="1" customHeight="1" ht="21">
      <c r="A11" s="1163"/>
      <c r="B11" s="1168"/>
      <c r="C11" s="1163"/>
      <c r="D11" s="457"/>
      <c r="E11" s="166"/>
      <c r="F11" s="166"/>
      <c r="G11" s="166"/>
      <c r="H11" s="166"/>
      <c r="I11" s="166"/>
      <c r="J11" s="166"/>
      <c r="K11" s="506"/>
      <c r="L11" s="506"/>
      <c r="M11" s="506"/>
      <c r="N11" s="506"/>
      <c r="O11" s="212"/>
      <c r="P11" s="506"/>
      <c r="Q11" s="211"/>
      <c r="R11" s="211"/>
      <c r="S11" s="211"/>
      <c r="T11" s="211"/>
    </row>
    <row s="2656" customFormat="1" customHeight="1" ht="14.25">
      <c r="A12" s="1163"/>
      <c r="B12" s="1168"/>
      <c r="C12" s="1163"/>
      <c r="D12" s="457"/>
      <c r="E12" s="1163"/>
      <c r="F12" s="1163"/>
      <c r="G12" s="1163"/>
      <c r="H12" s="1163"/>
      <c r="I12" s="1163"/>
      <c r="J12" s="1163"/>
      <c r="K12" s="506"/>
      <c r="L12" s="506"/>
      <c r="M12" s="506"/>
      <c r="N12" s="506"/>
      <c r="O12" s="212"/>
      <c r="P12" s="506"/>
      <c r="Q12" s="211"/>
      <c r="R12" s="211"/>
      <c r="S12" s="211"/>
      <c r="T12" s="211"/>
    </row>
    <row s="2656" customFormat="1" customHeight="1" ht="0.75">
      <c r="A13" s="1163"/>
      <c r="B13" s="1168"/>
      <c r="C13" s="1163"/>
      <c r="D13" s="457"/>
      <c r="E13" s="1163"/>
      <c r="F13" s="1163"/>
      <c r="G13" s="1163"/>
      <c r="H13" s="1163"/>
      <c r="I13" s="1163"/>
      <c r="J13" s="1163"/>
      <c r="K13" s="506"/>
      <c r="L13" s="506"/>
      <c r="M13" s="506"/>
      <c r="N13" s="506"/>
      <c r="O13" s="212"/>
      <c r="P13" s="506"/>
      <c r="Q13" s="211"/>
      <c r="R13" s="211"/>
      <c r="S13" s="211"/>
      <c r="T13" s="211"/>
    </row>
    <row s="2688" customFormat="1" customHeight="1" ht="10.5">
      <c r="B14" s="840"/>
      <c r="D14" s="168"/>
      <c r="K14" s="506"/>
      <c r="L14" s="506"/>
      <c r="M14" s="506"/>
      <c r="N14" s="506"/>
      <c r="O14" s="212"/>
      <c r="P14" s="506"/>
      <c r="Q14" s="211"/>
      <c r="R14" s="211"/>
      <c r="S14" s="211"/>
      <c r="T14" s="211"/>
    </row>
    <row s="2688" customFormat="1" customHeight="1" ht="10.5">
      <c r="B15" s="840"/>
      <c r="D15" s="168"/>
      <c r="K15" s="506"/>
      <c r="L15" s="506"/>
      <c r="M15" s="506"/>
      <c r="N15" s="506"/>
      <c r="O15" s="212"/>
      <c r="P15" s="506"/>
      <c r="Q15" s="211"/>
      <c r="R15" s="211"/>
      <c r="S15" s="211"/>
      <c r="T15" s="211"/>
    </row>
    <row r="19" customHeight="1" ht="14.25">
      <c r="G19" s="373"/>
      <c r="H19" s="373"/>
      <c r="I19" s="373"/>
    </row>
    <row r="23" customHeight="1" ht="14.25">
      <c r="K23" s="1163"/>
      <c r="L23" s="1163"/>
      <c r="M23" s="1163"/>
    </row>
  </sheetData>
  <sheetProtection formatColumns="0" formatRows="0" autoFilter="0" sort="0" insertRows="0" insertColumns="1" deleteRows="0" deleteColumns="0"/>
  <mergeCells count="5">
    <mergeCell ref="E5:J5"/>
    <mergeCell ref="A9:A10"/>
    <mergeCell ref="E7:I7"/>
    <mergeCell ref="J7:J8"/>
    <mergeCell ref="J9:J10"/>
  </mergeCells>
  <dataValidations count="1">
    <dataValidation type="textLength" allowBlank="1" showInputMessage="1" showErrorMessage="1" sqref="I2:I3 I9">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8BF2D7B-CC77-AAB2-F31B-70871EC707B8}" mc:Ignorable="x14ac xr xr2 xr3">
  <dimension ref="A1:IV14"/>
  <sheetViews>
    <sheetView topLeftCell="A1" showGridLines="0" zoomScale="90" workbookViewId="0">
      <selection activeCell="A1" sqref="A1"/>
    </sheetView>
  </sheetViews>
  <sheetFormatPr defaultColWidth="9.140625" customHeight="1" defaultRowHeight="14.25"/>
  <cols>
    <col min="1" max="1" style="2939" width="9.140625" hidden="1"/>
    <col min="2" max="2" style="3292" width="9.140625" hidden="1"/>
    <col min="3" max="3" style="2939" width="3.7109375" hidden="1" customWidth="1"/>
    <col min="4" max="4" style="3152" width="3.8515625" customWidth="1"/>
    <col min="5" max="5" style="2939" width="6.28125" customWidth="1"/>
    <col min="6" max="6" style="2939" width="27.28125" customWidth="1"/>
    <col min="7" max="7" style="2939" width="16.7109375" customWidth="1"/>
    <col min="8" max="8" style="2939" width="12.7109375" customWidth="1"/>
    <col min="9" max="9" style="2939" width="32.140625" customWidth="1"/>
    <col min="10" max="11" style="2939" width="41.8515625" customWidth="1"/>
    <col min="12" max="12" style="2939" width="89.57421875" customWidth="1"/>
    <col min="13" max="13" style="2664" width="3.7109375" customWidth="1"/>
    <col min="14" max="16" style="2664" width="9.140625"/>
    <col min="17" max="17" style="2630" width="25.7109375" customWidth="1"/>
    <col min="18" max="18" style="2664" width="14.421875" customWidth="1"/>
    <col min="19" max="22" style="2631" width="9.140625"/>
    <col min="23" max="256" style="2939" width="9.140625"/>
  </cols>
  <sheetData>
    <row customHeight="1" ht="14.25" hidden="1"/>
    <row s="2665" customFormat="1" customHeight="1" ht="22.5" hidden="1">
      <c r="A2" s="837"/>
      <c r="B2" s="1168">
        <v>1</v>
      </c>
      <c r="C2" s="1168"/>
      <c r="D2" s="807"/>
      <c r="E2" s="1514"/>
      <c r="F2" s="1569" t="str">
        <f>IF(ROIV_INFO_NAME="","",ROIV_INFO_NAME)</f>
        <v>ЗАО "Байкалэнерго"</v>
      </c>
      <c r="G2" s="1772" t="s">
        <v>24</v>
      </c>
      <c r="H2" s="1568"/>
      <c r="I2" s="1568"/>
      <c r="J2" s="1172"/>
      <c r="K2" s="1172"/>
      <c r="L2" s="214"/>
      <c r="M2" s="1565">
        <f>MERGEVALUE(F2)</f>
      </c>
      <c r="N2" s="517"/>
      <c r="O2" s="517"/>
      <c r="P2" s="506" t="str">
        <f t="array" ref="P2:P2">IF(ISERROR(MATCH(MID(Q2,1,250),MID(note_ter,1,250),0)),"n","y")</f>
        <v>n</v>
      </c>
      <c r="Q2" s="517"/>
      <c r="R2" s="506" t="str">
        <f>G2&amp;"("&amp;L2&amp;")"</f>
        <v>()</v>
      </c>
      <c r="S2" s="1168"/>
      <c r="T2" s="1168"/>
      <c r="U2" s="426"/>
      <c r="V2" s="1168"/>
      <c r="W2" s="1168"/>
      <c r="X2" s="1168"/>
      <c r="Y2" s="428"/>
      <c r="Z2" s="428"/>
      <c r="AA2" s="425"/>
      <c r="AB2" s="425"/>
      <c r="AC2" s="425"/>
      <c r="AD2" s="425"/>
      <c r="AE2" s="425"/>
      <c r="AF2" s="425"/>
      <c r="AG2" s="425"/>
      <c r="AH2" s="425"/>
      <c r="AI2" s="425"/>
      <c r="AJ2" s="425"/>
      <c r="AK2" s="425"/>
      <c r="AL2" s="425"/>
      <c r="AM2" s="425"/>
      <c r="AN2" s="425"/>
      <c r="AO2" s="425"/>
      <c r="AP2" s="425"/>
      <c r="AQ2" s="425"/>
      <c r="AR2" s="425"/>
      <c r="AS2" s="425"/>
      <c r="AT2" s="425"/>
      <c r="AU2" s="425"/>
      <c r="AV2" s="425"/>
      <c r="AW2" s="425"/>
      <c r="AX2" s="425"/>
      <c r="AY2" s="425"/>
      <c r="AZ2" s="425"/>
      <c r="BA2" s="425"/>
      <c r="BB2" s="425"/>
      <c r="BC2" s="425"/>
      <c r="BD2" s="425"/>
      <c r="BE2" s="425"/>
      <c r="BF2" s="425"/>
      <c r="BG2" s="425"/>
      <c r="BH2" s="425"/>
      <c r="BI2" s="425"/>
      <c r="BJ2" s="425"/>
      <c r="BK2" s="425"/>
      <c r="BL2" s="425"/>
      <c r="BM2" s="425"/>
      <c r="BN2" s="425"/>
      <c r="BO2" s="425"/>
      <c r="BP2" s="425"/>
      <c r="BQ2" s="425"/>
      <c r="BR2" s="425"/>
      <c r="BS2" s="425"/>
      <c r="BT2" s="425"/>
      <c r="BU2" s="425"/>
      <c r="BV2" s="428"/>
      <c r="BW2" s="428"/>
      <c r="BX2" s="428"/>
      <c r="BY2" s="428"/>
      <c r="BZ2" s="428"/>
      <c r="CA2" s="428"/>
      <c r="CB2" s="428"/>
      <c r="CC2" s="428"/>
      <c r="CD2" s="428"/>
      <c r="CE2" s="428"/>
    </row>
    <row s="2611" customFormat="1" customHeight="1" ht="5.25" hidden="1">
      <c r="A3" s="502"/>
      <c r="D3" s="500"/>
      <c r="F3" s="233" t="s">
        <v>83</v>
      </c>
      <c r="G3" s="1775" t="s">
        <v>84</v>
      </c>
      <c r="H3" s="500"/>
      <c r="I3" s="500"/>
      <c r="J3" s="500"/>
      <c r="K3" s="500"/>
      <c r="L3" s="213" t="s">
        <v>85</v>
      </c>
      <c r="M3" s="233" t="s">
        <v>83</v>
      </c>
      <c r="N3" s="233"/>
      <c r="O3" s="233"/>
      <c r="P3" s="233"/>
      <c r="Q3" s="234"/>
      <c r="R3" s="233"/>
      <c r="S3" s="233"/>
      <c r="T3" s="233"/>
      <c r="U3" s="233"/>
      <c r="V3" s="233"/>
      <c r="W3" s="213"/>
      <c r="X3" s="213"/>
      <c r="Y3" s="213"/>
      <c r="Z3" s="213"/>
      <c r="AA3" s="213"/>
      <c r="AB3" s="213"/>
      <c r="AC3" s="213"/>
      <c r="AD3" s="213"/>
      <c r="AE3" s="213"/>
      <c r="AF3" s="213"/>
      <c r="AG3" s="213"/>
      <c r="AH3" s="213"/>
      <c r="AI3" s="213"/>
      <c r="AJ3" s="213"/>
      <c r="AK3" s="213"/>
      <c r="AL3" s="213"/>
      <c r="AM3" s="213"/>
      <c r="AN3" s="213"/>
      <c r="AO3" s="213"/>
      <c r="AP3" s="213"/>
      <c r="AQ3" s="213"/>
      <c r="AR3" s="213"/>
      <c r="AS3" s="213"/>
      <c r="AT3" s="213"/>
      <c r="AU3" s="213"/>
      <c r="AV3" s="213"/>
      <c r="AW3" s="213"/>
      <c r="AX3" s="213"/>
      <c r="AY3" s="213"/>
      <c r="AZ3" s="213"/>
      <c r="BA3" s="213"/>
      <c r="BB3" s="213"/>
      <c r="BC3" s="213"/>
      <c r="BD3" s="213"/>
      <c r="BE3" s="213"/>
      <c r="BF3" s="213"/>
      <c r="BG3" s="213"/>
      <c r="BH3" s="213"/>
      <c r="BI3" s="213"/>
      <c r="BJ3" s="213"/>
      <c r="BK3" s="213"/>
      <c r="BL3" s="213"/>
      <c r="BM3" s="213"/>
      <c r="BN3" s="213"/>
      <c r="BO3" s="213"/>
      <c r="BP3" s="213"/>
      <c r="BQ3" s="213"/>
      <c r="BR3" s="213"/>
      <c r="BS3" s="213"/>
      <c r="BT3" s="213"/>
      <c r="BU3" s="213"/>
      <c r="BV3" s="213"/>
      <c r="BW3" s="213"/>
      <c r="BX3" s="213"/>
      <c r="BY3" s="213"/>
      <c r="BZ3" s="213"/>
      <c r="CA3" s="213"/>
      <c r="CB3" s="213"/>
      <c r="CC3" s="213"/>
      <c r="CD3" s="213"/>
      <c r="CE3" s="213"/>
      <c r="CF3" s="213"/>
      <c r="CG3" s="213"/>
      <c r="CH3" s="213"/>
      <c r="CI3" s="213"/>
      <c r="CJ3" s="213"/>
      <c r="CK3" s="213"/>
      <c r="CL3" s="213"/>
      <c r="CM3" s="213"/>
      <c r="CN3" s="213"/>
      <c r="CO3" s="213"/>
      <c r="CP3" s="213"/>
      <c r="CQ3" s="213"/>
      <c r="CR3" s="213"/>
      <c r="CS3" s="213"/>
      <c r="CT3" s="213"/>
      <c r="CU3" s="213"/>
      <c r="CV3" s="213"/>
      <c r="CW3" s="213"/>
      <c r="CX3" s="213"/>
      <c r="CY3" s="213"/>
      <c r="CZ3" s="213"/>
      <c r="DA3" s="213"/>
      <c r="DB3" s="213"/>
      <c r="DC3" s="213"/>
      <c r="DD3" s="213"/>
      <c r="DE3" s="213"/>
      <c r="DF3" s="213"/>
      <c r="DG3" s="213"/>
      <c r="DH3" s="213"/>
      <c r="DI3" s="213"/>
      <c r="DJ3" s="213"/>
      <c r="DK3" s="213"/>
      <c r="DL3" s="213"/>
      <c r="DM3" s="213"/>
      <c r="DN3" s="213"/>
      <c r="DO3" s="213"/>
      <c r="DP3" s="213"/>
      <c r="DQ3" s="213"/>
      <c r="DR3" s="213"/>
      <c r="DS3" s="213"/>
      <c r="DT3" s="213"/>
      <c r="DU3" s="213"/>
      <c r="DV3" s="213"/>
      <c r="DW3" s="213"/>
      <c r="DX3" s="213"/>
      <c r="DY3" s="213"/>
      <c r="DZ3" s="213"/>
      <c r="EA3" s="213"/>
      <c r="EB3" s="213"/>
      <c r="EC3" s="213"/>
      <c r="ED3" s="213"/>
      <c r="EE3" s="213"/>
      <c r="EF3" s="213"/>
      <c r="EG3" s="213"/>
      <c r="EH3" s="213"/>
      <c r="EI3" s="213"/>
      <c r="EJ3" s="213"/>
      <c r="EK3" s="213"/>
      <c r="EL3" s="213"/>
      <c r="EM3" s="213"/>
      <c r="EN3" s="213"/>
      <c r="EO3" s="213"/>
      <c r="EP3" s="213"/>
      <c r="EQ3" s="213"/>
      <c r="ER3" s="213"/>
      <c r="ES3" s="213"/>
      <c r="ET3" s="213"/>
      <c r="EU3" s="213"/>
      <c r="EV3" s="213"/>
      <c r="EW3" s="213"/>
      <c r="EX3" s="213"/>
      <c r="EY3" s="213"/>
      <c r="EZ3" s="213"/>
      <c r="FA3" s="213"/>
      <c r="FB3" s="213"/>
      <c r="FC3" s="213"/>
      <c r="FD3" s="213"/>
      <c r="FE3" s="213"/>
      <c r="FF3" s="213"/>
      <c r="FG3" s="213"/>
      <c r="FH3" s="213"/>
      <c r="FI3" s="213"/>
      <c r="FJ3" s="213"/>
      <c r="FK3" s="213"/>
      <c r="FL3" s="213"/>
      <c r="FM3" s="213"/>
      <c r="FN3" s="213"/>
      <c r="FO3" s="213"/>
      <c r="FP3" s="213"/>
      <c r="FQ3" s="213"/>
      <c r="FR3" s="213"/>
      <c r="FS3" s="213"/>
      <c r="FT3" s="213"/>
      <c r="FU3" s="213"/>
      <c r="FV3" s="213"/>
      <c r="FW3" s="213"/>
      <c r="FX3" s="213"/>
      <c r="FY3" s="213"/>
      <c r="FZ3" s="213"/>
      <c r="GA3" s="213"/>
      <c r="GB3" s="213"/>
      <c r="GC3" s="213"/>
      <c r="GD3" s="213"/>
      <c r="GE3" s="213"/>
      <c r="GF3" s="213"/>
      <c r="GG3" s="213"/>
      <c r="GH3" s="213"/>
      <c r="GI3" s="213"/>
      <c r="GJ3" s="213"/>
      <c r="GK3" s="213"/>
      <c r="GL3" s="213"/>
      <c r="GM3" s="213"/>
      <c r="GN3" s="213"/>
      <c r="GO3" s="213"/>
      <c r="GP3" s="213"/>
      <c r="GQ3" s="213"/>
      <c r="GR3" s="213"/>
      <c r="GS3" s="213"/>
      <c r="GT3" s="213"/>
      <c r="GU3" s="213"/>
      <c r="GV3" s="213"/>
      <c r="GW3" s="213"/>
      <c r="GX3" s="213"/>
      <c r="GY3" s="213"/>
      <c r="GZ3" s="213"/>
      <c r="HA3" s="213"/>
      <c r="HB3" s="213"/>
      <c r="HC3" s="213"/>
      <c r="HD3" s="213"/>
      <c r="HE3" s="213"/>
      <c r="HF3" s="213"/>
      <c r="HG3" s="213"/>
      <c r="HH3" s="213"/>
      <c r="HI3" s="213"/>
      <c r="HJ3" s="213"/>
      <c r="HK3" s="213"/>
      <c r="HL3" s="213"/>
      <c r="HM3" s="213"/>
      <c r="HN3" s="213"/>
      <c r="HO3" s="213"/>
      <c r="HP3" s="213"/>
      <c r="HQ3" s="213"/>
      <c r="HR3" s="213"/>
      <c r="HS3" s="213"/>
      <c r="HT3" s="213"/>
      <c r="HU3" s="213"/>
      <c r="HV3" s="213"/>
      <c r="HW3" s="213"/>
      <c r="HX3" s="213"/>
      <c r="HY3" s="213"/>
      <c r="HZ3" s="213"/>
      <c r="IA3" s="213"/>
      <c r="IB3" s="213"/>
      <c r="IC3" s="213"/>
      <c r="ID3" s="213"/>
      <c r="IE3" s="213"/>
      <c r="IF3" s="213"/>
      <c r="IG3" s="213"/>
      <c r="IH3" s="213"/>
      <c r="II3" s="213"/>
      <c r="IJ3" s="213"/>
      <c r="IK3" s="213"/>
      <c r="IL3" s="213"/>
      <c r="IM3" s="213"/>
      <c r="IN3" s="213"/>
      <c r="IO3" s="213"/>
      <c r="IP3" s="213"/>
      <c r="IQ3" s="213"/>
      <c r="IR3" s="213"/>
      <c r="IS3" s="213"/>
      <c r="IT3" s="213"/>
      <c r="IU3" s="213"/>
      <c r="IV3" s="213"/>
    </row>
    <row s="2656" customFormat="1" customHeight="1" ht="14.25">
      <c r="A4" s="1163"/>
      <c r="B4" s="1168"/>
      <c r="C4" s="1163"/>
      <c r="D4" s="1525"/>
      <c r="E4" s="515"/>
      <c r="F4" s="515"/>
      <c r="G4" s="515"/>
      <c r="H4" s="515"/>
      <c r="I4" s="515"/>
      <c r="J4" s="515"/>
      <c r="K4" s="515"/>
      <c r="L4" s="152"/>
      <c r="M4" s="233"/>
      <c r="N4" s="506"/>
      <c r="O4" s="506"/>
      <c r="P4" s="506"/>
      <c r="Q4" s="212"/>
      <c r="R4" s="506"/>
      <c r="S4" s="211"/>
      <c r="T4" s="211"/>
      <c r="U4" s="211"/>
      <c r="V4" s="211"/>
    </row>
    <row s="2656" customFormat="1" customHeight="1" ht="25.5">
      <c r="A5" s="1163"/>
      <c r="B5" s="1168"/>
      <c r="C5" s="1163"/>
      <c r="D5" s="1525"/>
      <c r="E5" s="1954" t="str">
        <f>"Форма 3. Информация о рассмотрении дел об установлении тарифов в сфере "&amp;TEMPLATE_SPHERE_RUS</f>
        <v>Форма 3. Информация о рассмотрении дел об установлении тарифов в сфере теплоснабжения</v>
      </c>
      <c r="F5" s="1954"/>
      <c r="G5" s="1954"/>
      <c r="H5" s="1954"/>
      <c r="I5" s="1954"/>
      <c r="J5" s="1954"/>
      <c r="K5" s="1954"/>
      <c r="L5" s="594"/>
      <c r="M5" s="233"/>
      <c r="N5" s="506"/>
      <c r="O5" s="506"/>
      <c r="P5" s="506"/>
      <c r="Q5" s="212"/>
      <c r="R5" s="506"/>
      <c r="S5" s="211"/>
      <c r="T5" s="211"/>
      <c r="U5" s="211"/>
      <c r="V5" s="211"/>
    </row>
    <row s="2656" customFormat="1" customHeight="1" ht="14.25">
      <c r="A6" s="1163"/>
      <c r="B6" s="1168"/>
      <c r="C6" s="1163"/>
      <c r="D6" s="1525"/>
      <c r="E6" s="515"/>
      <c r="F6" s="153"/>
      <c r="G6" s="153"/>
      <c r="H6" s="153"/>
      <c r="I6" s="153"/>
      <c r="J6" s="153"/>
      <c r="K6" s="153"/>
      <c r="L6" s="154"/>
      <c r="M6" s="506"/>
      <c r="N6" s="506"/>
      <c r="O6" s="506"/>
      <c r="P6" s="506"/>
      <c r="Q6" s="212"/>
      <c r="R6" s="506"/>
      <c r="S6" s="211"/>
      <c r="T6" s="211"/>
      <c r="U6" s="211"/>
      <c r="V6" s="211"/>
    </row>
    <row s="2656" customFormat="1" customHeight="1" ht="14.25">
      <c r="A7" s="1163"/>
      <c r="B7" s="1168"/>
      <c r="C7" s="1163"/>
      <c r="D7" s="1525"/>
      <c r="E7" s="1955" t="s">
        <v>293</v>
      </c>
      <c r="F7" s="1956"/>
      <c r="G7" s="1956"/>
      <c r="H7" s="1956"/>
      <c r="I7" s="1956"/>
      <c r="J7" s="1956"/>
      <c r="K7" s="1956"/>
      <c r="L7" s="2321" t="s">
        <v>294</v>
      </c>
      <c r="M7" s="506"/>
      <c r="N7" s="506"/>
      <c r="O7" s="506"/>
      <c r="P7" s="506"/>
      <c r="Q7" s="212"/>
      <c r="R7" s="506"/>
      <c r="S7" s="211"/>
      <c r="T7" s="211"/>
      <c r="U7" s="211"/>
      <c r="V7" s="211"/>
    </row>
    <row s="2656" customFormat="1" customHeight="1" ht="47.25">
      <c r="A8" s="1163"/>
      <c r="B8" s="1168"/>
      <c r="C8" s="1163"/>
      <c r="D8" s="1525"/>
      <c r="E8" s="2326" t="s">
        <v>88</v>
      </c>
      <c r="F8" s="2326" t="s">
        <v>1087</v>
      </c>
      <c r="G8" s="2328" t="str">
        <f>"Заседание правления (коллегии органа регулирования тарифов, на котором планируется рассмотрение дела об установлении тарифов в сфере "&amp;TEMPLATE_SPHERE_RUS</f>
        <v>Заседание правления (коллегии органа регулирования тарифов, на котором планируется рассмотрение дела об установлении тарифов в сфере теплоснабжения</v>
      </c>
      <c r="H8" s="2329"/>
      <c r="I8" s="2330"/>
      <c r="J8" s="2326" t="str">
        <f>"Принятые органом регулирования тарифов решения об установлении тарифов в сфере "&amp;TEMPLATE_SPHERE_RUS</f>
        <v>Принятые органом регулирования тарифов решения об установлении тарифов в сфере теплоснабжения</v>
      </c>
      <c r="K8" s="2326" t="str">
        <f>"Протокол заседания правления (коллегии) органа регулирования тарифов, оформленный в соответствии с требованиями"&amp;IF(TEMPLATE_SPHERE="HEAT"," законодательства Российской Федерации",IF(TEMPLATE_SPHERE="TKO",", установленными правилами регулирования тарифов в сфере обращения с твердыми коммунальными отходами, утвержденными Правительством Российской Федерации",",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f>
        <v>Протокол заседания правления (коллегии) органа регулирования тарифов, оформленный в соответствии с требованиями законодательства Российской Федерации</v>
      </c>
      <c r="L8" s="2325"/>
      <c r="M8" s="506"/>
      <c r="N8" s="506"/>
      <c r="O8" s="506"/>
      <c r="P8" s="506"/>
      <c r="Q8" s="212"/>
      <c r="R8" s="506"/>
      <c r="S8" s="211"/>
      <c r="T8" s="211"/>
      <c r="U8" s="211"/>
      <c r="V8" s="211"/>
    </row>
    <row s="2656" customFormat="1" customHeight="1" ht="56.25">
      <c r="A9" s="1163"/>
      <c r="B9" s="1168"/>
      <c r="C9" s="1163"/>
      <c r="D9" s="1525"/>
      <c r="E9" s="2327"/>
      <c r="F9" s="2327"/>
      <c r="G9" s="1567" t="s">
        <v>1109</v>
      </c>
      <c r="H9" s="1567" t="s">
        <v>1110</v>
      </c>
      <c r="I9" s="1567" t="s">
        <v>1111</v>
      </c>
      <c r="J9" s="2327"/>
      <c r="K9" s="2327"/>
      <c r="L9" s="2322"/>
      <c r="M9" s="506"/>
      <c r="N9" s="506"/>
      <c r="O9" s="506"/>
      <c r="P9" s="506"/>
      <c r="Q9" s="212"/>
      <c r="R9" s="506"/>
      <c r="S9" s="211"/>
      <c r="T9" s="211"/>
      <c r="U9" s="211"/>
      <c r="V9" s="211"/>
    </row>
    <row s="2665" customFormat="1" customHeight="1" ht="22.5">
      <c r="A10" s="1953"/>
      <c r="B10" s="1168">
        <v>1</v>
      </c>
      <c r="C10" s="1168"/>
      <c r="D10" s="806"/>
      <c r="E10" s="804">
        <v>1</v>
      </c>
      <c r="F10" s="1569" t="str">
        <f>IF(ROIV_INFO_NAME="","",ROIV_INFO_NAME)</f>
        <v>ЗАО "Байкалэнерго"</v>
      </c>
      <c r="G10" s="1772" t="s">
        <v>24</v>
      </c>
      <c r="H10" s="1564"/>
      <c r="I10" s="1564"/>
      <c r="J10" s="1172"/>
      <c r="K10" s="1172"/>
      <c r="L10" s="2323" t="s">
        <v>1112</v>
      </c>
      <c r="M10" s="1565">
        <f>MERGEVALUE(F10)</f>
      </c>
      <c r="N10" s="517"/>
      <c r="O10" s="517"/>
      <c r="P10" s="506" t="str">
        <f t="array" ref="P10:P10">IF(ISERROR(MATCH(MID(Q10,1,250),MID(note_ter,1,250),0)),"n","y")</f>
        <v>n</v>
      </c>
      <c r="Q10" s="517"/>
      <c r="R10" s="506"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 и «Протокол заседания…» указываются ссылка на документ, предварительно загруженный в хранилище файлов ФГИС ЕИАС.)</v>
      </c>
      <c r="S10" s="1168"/>
      <c r="T10" s="1168"/>
      <c r="U10" s="426"/>
      <c r="V10" s="1168"/>
      <c r="W10" s="1168"/>
      <c r="X10" s="1168"/>
      <c r="Y10" s="428"/>
      <c r="Z10" s="428"/>
      <c r="AA10" s="425"/>
      <c r="AB10" s="425"/>
      <c r="AC10" s="425"/>
      <c r="AD10" s="425"/>
      <c r="AE10" s="425"/>
      <c r="AF10" s="425"/>
      <c r="AG10" s="425"/>
      <c r="AH10" s="425"/>
      <c r="AI10" s="425"/>
      <c r="AJ10" s="425"/>
      <c r="AK10" s="425"/>
      <c r="AL10" s="425"/>
      <c r="AM10" s="425"/>
      <c r="AN10" s="425"/>
      <c r="AO10" s="425"/>
      <c r="AP10" s="425"/>
      <c r="AQ10" s="425"/>
      <c r="AR10" s="425"/>
      <c r="AS10" s="425"/>
      <c r="AT10" s="425"/>
      <c r="AU10" s="425"/>
      <c r="AV10" s="425"/>
      <c r="AW10" s="425"/>
      <c r="AX10" s="425"/>
      <c r="AY10" s="425"/>
      <c r="AZ10" s="425"/>
      <c r="BA10" s="425"/>
      <c r="BB10" s="425"/>
      <c r="BC10" s="425"/>
      <c r="BD10" s="425"/>
      <c r="BE10" s="425"/>
      <c r="BF10" s="425"/>
      <c r="BG10" s="425"/>
      <c r="BH10" s="425"/>
      <c r="BI10" s="425"/>
      <c r="BJ10" s="425"/>
      <c r="BK10" s="425"/>
      <c r="BL10" s="425"/>
      <c r="BM10" s="425"/>
      <c r="BN10" s="425"/>
      <c r="BO10" s="425"/>
      <c r="BP10" s="425"/>
      <c r="BQ10" s="425"/>
      <c r="BR10" s="425"/>
      <c r="BS10" s="425"/>
      <c r="BT10" s="425"/>
      <c r="BU10" s="425"/>
      <c r="BV10" s="428"/>
      <c r="BW10" s="428"/>
      <c r="BX10" s="428"/>
      <c r="BY10" s="428"/>
      <c r="BZ10" s="428"/>
      <c r="CA10" s="428"/>
      <c r="CB10" s="428"/>
      <c r="CC10" s="428"/>
      <c r="CD10" s="428"/>
      <c r="CE10" s="428"/>
    </row>
    <row s="2665" customFormat="1" customHeight="1" ht="15">
      <c r="A11" s="1953"/>
      <c r="B11" s="1168"/>
      <c r="C11" s="418"/>
      <c r="D11" s="807"/>
      <c r="E11" s="427"/>
      <c r="F11" s="422" t="s">
        <v>1113</v>
      </c>
      <c r="G11" s="173"/>
      <c r="H11" s="173"/>
      <c r="I11" s="173"/>
      <c r="J11" s="173"/>
      <c r="K11" s="173"/>
      <c r="L11" s="2324"/>
      <c r="M11" s="1566"/>
      <c r="N11" s="517"/>
      <c r="O11" s="517"/>
      <c r="P11" s="517"/>
      <c r="Q11" s="506"/>
      <c r="R11" s="517"/>
      <c r="S11" s="1168"/>
      <c r="T11" s="1168"/>
      <c r="U11" s="426"/>
      <c r="V11" s="1168"/>
      <c r="W11" s="1168"/>
      <c r="X11" s="1168"/>
      <c r="Y11" s="428"/>
      <c r="Z11" s="428"/>
      <c r="AA11" s="425"/>
      <c r="AB11" s="425"/>
      <c r="AC11" s="425"/>
      <c r="AD11" s="425"/>
      <c r="AE11" s="425"/>
      <c r="AF11" s="425"/>
      <c r="AG11" s="425"/>
      <c r="AH11" s="425"/>
      <c r="AI11" s="425"/>
      <c r="AJ11" s="425"/>
      <c r="AK11" s="425"/>
      <c r="AL11" s="425"/>
      <c r="AM11" s="425"/>
      <c r="AN11" s="425"/>
      <c r="AO11" s="425"/>
      <c r="AP11" s="425"/>
      <c r="AQ11" s="425"/>
      <c r="AR11" s="425"/>
      <c r="AS11" s="425"/>
      <c r="AT11" s="425"/>
      <c r="AU11" s="425"/>
      <c r="AV11" s="425"/>
      <c r="AW11" s="425"/>
      <c r="AX11" s="425"/>
      <c r="AY11" s="425"/>
      <c r="AZ11" s="425"/>
      <c r="BA11" s="425"/>
      <c r="BB11" s="425"/>
      <c r="BC11" s="425"/>
      <c r="BD11" s="425"/>
      <c r="BE11" s="425"/>
      <c r="BF11" s="425"/>
      <c r="BG11" s="425"/>
      <c r="BH11" s="425"/>
      <c r="BI11" s="425"/>
      <c r="BJ11" s="425"/>
      <c r="BK11" s="425"/>
      <c r="BL11" s="425"/>
      <c r="BM11" s="425"/>
      <c r="BN11" s="425"/>
      <c r="BO11" s="425"/>
      <c r="BP11" s="425"/>
      <c r="BQ11" s="425"/>
      <c r="BR11" s="425"/>
      <c r="BS11" s="425"/>
      <c r="BT11" s="425"/>
      <c r="BU11" s="425"/>
      <c r="BV11" s="428"/>
      <c r="BW11" s="428"/>
      <c r="BX11" s="428"/>
      <c r="BY11" s="428"/>
      <c r="BZ11" s="428"/>
      <c r="CA11" s="428"/>
      <c r="CB11" s="428"/>
      <c r="CC11" s="428"/>
      <c r="CD11" s="428"/>
      <c r="CE11" s="428"/>
    </row>
    <row s="2656" customFormat="1" customHeight="1" ht="21">
      <c r="A12" s="1163"/>
      <c r="B12" s="1168"/>
      <c r="C12" s="1163"/>
      <c r="D12" s="457"/>
      <c r="E12" s="166"/>
      <c r="F12" s="166"/>
      <c r="G12" s="166"/>
      <c r="H12" s="166"/>
      <c r="I12" s="166"/>
      <c r="J12" s="166"/>
      <c r="K12" s="166"/>
      <c r="L12" s="166"/>
      <c r="M12" s="506"/>
      <c r="N12" s="506"/>
      <c r="O12" s="506"/>
      <c r="P12" s="506"/>
      <c r="Q12" s="212"/>
      <c r="R12" s="506"/>
      <c r="S12" s="211"/>
      <c r="T12" s="211"/>
      <c r="U12" s="211"/>
      <c r="V12" s="211"/>
    </row>
    <row s="2656" customFormat="1" customHeight="1" ht="14.25">
      <c r="A13" s="1163"/>
      <c r="B13" s="1168"/>
      <c r="C13" s="1163"/>
      <c r="D13" s="457"/>
      <c r="E13" s="1163"/>
      <c r="F13" s="1163"/>
      <c r="G13" s="1163"/>
      <c r="H13" s="1163"/>
      <c r="I13" s="1163"/>
      <c r="J13" s="1163"/>
      <c r="K13" s="1163"/>
      <c r="L13" s="1163"/>
      <c r="M13" s="506"/>
      <c r="N13" s="506"/>
      <c r="O13" s="506"/>
      <c r="P13" s="506"/>
      <c r="Q13" s="212"/>
      <c r="R13" s="506"/>
      <c r="S13" s="211"/>
      <c r="T13" s="211"/>
      <c r="U13" s="211"/>
      <c r="V13" s="211"/>
    </row>
    <row s="2656" customFormat="1" customHeight="1" ht="0.75">
      <c r="A14" s="1163"/>
      <c r="B14" s="1168"/>
      <c r="C14" s="1163"/>
      <c r="D14" s="457"/>
      <c r="E14" s="1163"/>
      <c r="F14" s="1163"/>
      <c r="G14" s="1163"/>
      <c r="H14" s="1163"/>
      <c r="I14" s="1163"/>
      <c r="J14" s="1163"/>
      <c r="K14" s="1163"/>
      <c r="L14" s="1163"/>
      <c r="M14" s="506"/>
      <c r="N14" s="506"/>
      <c r="O14" s="506"/>
      <c r="P14" s="506"/>
      <c r="Q14" s="212"/>
      <c r="R14" s="506"/>
      <c r="S14" s="211"/>
      <c r="T14" s="211"/>
      <c r="U14" s="211"/>
      <c r="V14" s="211"/>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2:I3 H10:I10">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FD63D7F-E6A1-C431-FA4F-6B1F2BE12FAA}" mc:Ignorable="x14ac xr xr2 xr3">
  <dimension ref="A1:IY16"/>
  <sheetViews>
    <sheetView topLeftCell="A1" showGridLines="0" zoomScale="90" workbookViewId="0">
      <selection activeCell="A1" sqref="A1"/>
    </sheetView>
  </sheetViews>
  <sheetFormatPr defaultColWidth="9.140625" customHeight="1" defaultRowHeight="14.25"/>
  <cols>
    <col min="1" max="1" style="2939" width="9.140625" hidden="1"/>
    <col min="2" max="2" style="3292" width="9.140625" hidden="1"/>
    <col min="3" max="3" style="2939" width="3.7109375" hidden="1" customWidth="1"/>
    <col min="4" max="4" style="3152" width="3.8515625" customWidth="1"/>
    <col min="5" max="5" style="2939" width="10.140625" customWidth="1"/>
    <col min="6" max="6" style="2939" width="6.28125" customWidth="1"/>
    <col min="7" max="7" style="2939" width="27.28125" customWidth="1"/>
    <col min="8" max="8" style="2939" width="29.28125" customWidth="1"/>
    <col min="9" max="9" style="2939" width="25.421875" customWidth="1"/>
    <col min="10" max="10" style="2939" width="5.57421875" customWidth="1"/>
    <col min="11" max="11" style="2939" width="6.57421875" customWidth="1"/>
    <col min="12" max="12" style="2939" width="41.8515625" customWidth="1"/>
    <col min="13" max="13" style="2939" width="42.421875" customWidth="1"/>
    <col min="14" max="14" style="2939" width="41.57421875" customWidth="1"/>
    <col min="15" max="15" style="2939" width="64.140625" customWidth="1"/>
    <col min="16" max="16" style="2664" width="3.7109375" customWidth="1"/>
    <col min="17" max="19" style="2664" width="9.140625"/>
    <col min="20" max="20" style="2630" width="25.7109375" customWidth="1"/>
    <col min="21" max="21" style="2664" width="14.421875" customWidth="1"/>
    <col min="22" max="25" style="2631" width="9.140625"/>
    <col min="26" max="259" style="2939" width="9.140625"/>
  </cols>
  <sheetData>
    <row customHeight="1" ht="14.25" hidden="1"/>
    <row s="2665" customFormat="1" customHeight="1" ht="22.5" hidden="1">
      <c r="A2" s="502"/>
      <c r="B2" s="1168">
        <v>1</v>
      </c>
      <c r="C2" s="1168"/>
      <c r="D2" s="807"/>
      <c r="E2" s="1971"/>
      <c r="F2" s="1971">
        <v>1</v>
      </c>
      <c r="G2" s="2331" t="str">
        <f>IF(region_name="","",region_name)</f>
        <v>Иркутская область</v>
      </c>
      <c r="H2" s="2332"/>
      <c r="I2" s="2333"/>
      <c r="J2" s="480"/>
      <c r="K2" s="1514">
        <v>1</v>
      </c>
      <c r="L2" s="1172"/>
      <c r="M2" s="1172"/>
      <c r="N2" s="1172"/>
      <c r="O2" s="1172"/>
      <c r="P2" s="1565">
        <f>MERGEVALUE(G2)</f>
      </c>
      <c r="Q2" s="517"/>
      <c r="R2" s="517"/>
      <c r="S2" s="506" t="str">
        <f t="array" ref="S2:S2">IF(ISERROR(MATCH(MID(T2,1,250),MID(note_ter,1,250),0)),"n","y")</f>
        <v>n</v>
      </c>
      <c r="T2" s="517"/>
      <c r="U2" s="506"/>
      <c r="V2" s="1168"/>
      <c r="W2" s="1168"/>
      <c r="X2" s="426"/>
      <c r="Y2" s="1168"/>
      <c r="Z2" s="1168"/>
      <c r="AA2" s="1168"/>
      <c r="AB2" s="428"/>
      <c r="AC2" s="428"/>
      <c r="AD2" s="425"/>
      <c r="AE2" s="425"/>
      <c r="AF2" s="425"/>
      <c r="AG2" s="425"/>
      <c r="AH2" s="425"/>
      <c r="AI2" s="425"/>
      <c r="AJ2" s="425"/>
      <c r="AK2" s="425"/>
      <c r="AL2" s="425"/>
      <c r="AM2" s="425"/>
      <c r="AN2" s="425"/>
      <c r="AO2" s="425"/>
      <c r="AP2" s="425"/>
      <c r="AQ2" s="425"/>
      <c r="AR2" s="425"/>
      <c r="AS2" s="425"/>
      <c r="AT2" s="425"/>
      <c r="AU2" s="425"/>
      <c r="AV2" s="425"/>
      <c r="AW2" s="425"/>
      <c r="AX2" s="425"/>
      <c r="AY2" s="425"/>
      <c r="AZ2" s="425"/>
      <c r="BA2" s="425"/>
      <c r="BB2" s="425"/>
      <c r="BC2" s="425"/>
      <c r="BD2" s="425"/>
      <c r="BE2" s="425"/>
      <c r="BF2" s="425"/>
      <c r="BG2" s="425"/>
      <c r="BH2" s="425"/>
      <c r="BI2" s="425"/>
      <c r="BJ2" s="425"/>
      <c r="BK2" s="425"/>
      <c r="BL2" s="425"/>
      <c r="BM2" s="425"/>
      <c r="BN2" s="425"/>
      <c r="BO2" s="425"/>
      <c r="BP2" s="425"/>
      <c r="BQ2" s="425"/>
      <c r="BR2" s="425"/>
      <c r="BS2" s="425"/>
      <c r="BT2" s="425"/>
      <c r="BU2" s="425"/>
      <c r="BV2" s="425"/>
      <c r="BW2" s="425"/>
      <c r="BX2" s="425"/>
      <c r="BY2" s="428"/>
      <c r="BZ2" s="428"/>
      <c r="CA2" s="428"/>
      <c r="CB2" s="428"/>
      <c r="CC2" s="428"/>
      <c r="CD2" s="428"/>
      <c r="CE2" s="428"/>
      <c r="CF2" s="428"/>
      <c r="CG2" s="428"/>
      <c r="CH2" s="428"/>
    </row>
    <row s="2665" customFormat="1" customHeight="1" ht="22.5" hidden="1">
      <c r="A3" s="837"/>
      <c r="B3" s="1168"/>
      <c r="C3" s="1168"/>
      <c r="D3" s="807"/>
      <c r="E3" s="1971"/>
      <c r="F3" s="1971"/>
      <c r="G3" s="2331"/>
      <c r="H3" s="2332"/>
      <c r="I3" s="2334"/>
      <c r="J3" s="1574"/>
      <c r="K3" s="1530"/>
      <c r="L3" s="1530" t="s">
        <v>1114</v>
      </c>
      <c r="M3" s="1577"/>
      <c r="N3" s="1577"/>
      <c r="O3" s="1578"/>
      <c r="P3" s="1565"/>
      <c r="Q3" s="517"/>
      <c r="R3" s="517"/>
      <c r="S3" s="506"/>
      <c r="T3" s="517"/>
      <c r="U3" s="506"/>
      <c r="V3" s="1168"/>
      <c r="W3" s="1168"/>
      <c r="X3" s="426"/>
      <c r="Y3" s="1168"/>
      <c r="Z3" s="1168"/>
      <c r="AA3" s="1168"/>
      <c r="AB3" s="428"/>
      <c r="AC3" s="428"/>
      <c r="AD3" s="425"/>
      <c r="AE3" s="425"/>
      <c r="AF3" s="425"/>
      <c r="AG3" s="425"/>
      <c r="AH3" s="425"/>
      <c r="AI3" s="425"/>
      <c r="AJ3" s="425"/>
      <c r="AK3" s="425"/>
      <c r="AL3" s="425"/>
      <c r="AM3" s="425"/>
      <c r="AN3" s="425"/>
      <c r="AO3" s="425"/>
      <c r="AP3" s="425"/>
      <c r="AQ3" s="425"/>
      <c r="AR3" s="425"/>
      <c r="AS3" s="425"/>
      <c r="AT3" s="425"/>
      <c r="AU3" s="425"/>
      <c r="AV3" s="425"/>
      <c r="AW3" s="425"/>
      <c r="AX3" s="425"/>
      <c r="AY3" s="425"/>
      <c r="AZ3" s="425"/>
      <c r="BA3" s="425"/>
      <c r="BB3" s="425"/>
      <c r="BC3" s="425"/>
      <c r="BD3" s="425"/>
      <c r="BE3" s="425"/>
      <c r="BF3" s="425"/>
      <c r="BG3" s="425"/>
      <c r="BH3" s="425"/>
      <c r="BI3" s="425"/>
      <c r="BJ3" s="425"/>
      <c r="BK3" s="425"/>
      <c r="BL3" s="425"/>
      <c r="BM3" s="425"/>
      <c r="BN3" s="425"/>
      <c r="BO3" s="425"/>
      <c r="BP3" s="425"/>
      <c r="BQ3" s="425"/>
      <c r="BR3" s="425"/>
      <c r="BS3" s="425"/>
      <c r="BT3" s="425"/>
      <c r="BU3" s="425"/>
      <c r="BV3" s="425"/>
      <c r="BW3" s="425"/>
      <c r="BX3" s="425"/>
      <c r="BY3" s="428"/>
      <c r="BZ3" s="428"/>
      <c r="CA3" s="428"/>
      <c r="CB3" s="428"/>
      <c r="CC3" s="428"/>
      <c r="CD3" s="428"/>
      <c r="CE3" s="428"/>
      <c r="CF3" s="428"/>
      <c r="CG3" s="428"/>
      <c r="CH3" s="428"/>
    </row>
    <row s="2611" customFormat="1" customHeight="1" ht="5.25" hidden="1">
      <c r="A4" s="502"/>
      <c r="D4" s="500"/>
      <c r="G4" s="233" t="s">
        <v>83</v>
      </c>
      <c r="H4" s="500" t="s">
        <v>84</v>
      </c>
      <c r="I4" s="500"/>
      <c r="J4" s="1579"/>
      <c r="K4" s="1579"/>
      <c r="L4" s="1579"/>
      <c r="M4" s="1579"/>
      <c r="N4" s="1579"/>
      <c r="O4" s="1579"/>
      <c r="P4" s="233" t="s">
        <v>83</v>
      </c>
      <c r="Q4" s="233"/>
      <c r="R4" s="233"/>
      <c r="S4" s="233"/>
      <c r="T4" s="234"/>
      <c r="U4" s="233"/>
      <c r="V4" s="233"/>
      <c r="W4" s="233"/>
      <c r="X4" s="233"/>
      <c r="Y4" s="233"/>
      <c r="Z4" s="213"/>
      <c r="AA4" s="213"/>
      <c r="AB4" s="213"/>
      <c r="AC4" s="213"/>
      <c r="AD4" s="213"/>
      <c r="AE4" s="213"/>
      <c r="AF4" s="213"/>
      <c r="AG4" s="213"/>
      <c r="AH4" s="213"/>
      <c r="AI4" s="213"/>
      <c r="AJ4" s="213"/>
      <c r="AK4" s="213"/>
      <c r="AL4" s="213"/>
      <c r="AM4" s="213"/>
      <c r="AN4" s="213"/>
      <c r="AO4" s="213"/>
      <c r="AP4" s="213"/>
      <c r="AQ4" s="213"/>
      <c r="AR4" s="213"/>
      <c r="AS4" s="213"/>
      <c r="AT4" s="213"/>
      <c r="AU4" s="213"/>
      <c r="AV4" s="213"/>
      <c r="AW4" s="213"/>
      <c r="AX4" s="213"/>
      <c r="AY4" s="213"/>
      <c r="AZ4" s="213"/>
      <c r="BA4" s="213"/>
      <c r="BB4" s="213"/>
      <c r="BC4" s="213"/>
      <c r="BD4" s="213"/>
      <c r="BE4" s="213"/>
      <c r="BF4" s="213"/>
      <c r="BG4" s="213"/>
      <c r="BH4" s="213"/>
      <c r="BI4" s="213"/>
      <c r="BJ4" s="213"/>
      <c r="BK4" s="213"/>
      <c r="BL4" s="213"/>
      <c r="BM4" s="213"/>
      <c r="BN4" s="213"/>
      <c r="BO4" s="213"/>
      <c r="BP4" s="213"/>
      <c r="BQ4" s="213"/>
      <c r="BR4" s="213"/>
      <c r="BS4" s="213"/>
      <c r="BT4" s="213"/>
      <c r="BU4" s="213"/>
      <c r="BV4" s="213"/>
      <c r="BW4" s="213"/>
      <c r="BX4" s="213"/>
      <c r="BY4" s="213"/>
      <c r="BZ4" s="213"/>
      <c r="CA4" s="213"/>
      <c r="CB4" s="213"/>
      <c r="CC4" s="213"/>
      <c r="CD4" s="213"/>
      <c r="CE4" s="213"/>
      <c r="CF4" s="213"/>
      <c r="CG4" s="213"/>
      <c r="CH4" s="213"/>
      <c r="CI4" s="213"/>
      <c r="CJ4" s="213"/>
      <c r="CK4" s="213"/>
      <c r="CL4" s="213"/>
      <c r="CM4" s="213"/>
      <c r="CN4" s="213"/>
      <c r="CO4" s="213"/>
      <c r="CP4" s="213"/>
      <c r="CQ4" s="213"/>
      <c r="CR4" s="213"/>
      <c r="CS4" s="213"/>
      <c r="CT4" s="213"/>
      <c r="CU4" s="213"/>
      <c r="CV4" s="213"/>
      <c r="CW4" s="213"/>
      <c r="CX4" s="213"/>
      <c r="CY4" s="213"/>
      <c r="CZ4" s="213"/>
      <c r="DA4" s="213"/>
      <c r="DB4" s="213"/>
      <c r="DC4" s="213"/>
      <c r="DD4" s="213"/>
      <c r="DE4" s="213"/>
      <c r="DF4" s="213"/>
      <c r="DG4" s="213"/>
      <c r="DH4" s="213"/>
      <c r="DI4" s="213"/>
      <c r="DJ4" s="213"/>
      <c r="DK4" s="213"/>
      <c r="DL4" s="213"/>
      <c r="DM4" s="213"/>
      <c r="DN4" s="213"/>
      <c r="DO4" s="213"/>
      <c r="DP4" s="213"/>
      <c r="DQ4" s="213"/>
      <c r="DR4" s="213"/>
      <c r="DS4" s="213"/>
      <c r="DT4" s="213"/>
      <c r="DU4" s="213"/>
      <c r="DV4" s="213"/>
      <c r="DW4" s="213"/>
      <c r="DX4" s="213"/>
      <c r="DY4" s="213"/>
      <c r="DZ4" s="213"/>
      <c r="EA4" s="213"/>
      <c r="EB4" s="213"/>
      <c r="EC4" s="213"/>
      <c r="ED4" s="213"/>
      <c r="EE4" s="213"/>
      <c r="EF4" s="213"/>
      <c r="EG4" s="213"/>
      <c r="EH4" s="213"/>
      <c r="EI4" s="213"/>
      <c r="EJ4" s="213"/>
      <c r="EK4" s="213"/>
      <c r="EL4" s="213"/>
      <c r="EM4" s="213"/>
      <c r="EN4" s="213"/>
      <c r="EO4" s="213"/>
      <c r="EP4" s="213"/>
      <c r="EQ4" s="213"/>
      <c r="ER4" s="213"/>
      <c r="ES4" s="213"/>
      <c r="ET4" s="213"/>
      <c r="EU4" s="213"/>
      <c r="EV4" s="213"/>
      <c r="EW4" s="213"/>
      <c r="EX4" s="213"/>
      <c r="EY4" s="213"/>
      <c r="EZ4" s="213"/>
      <c r="FA4" s="213"/>
      <c r="FB4" s="213"/>
      <c r="FC4" s="213"/>
      <c r="FD4" s="213"/>
      <c r="FE4" s="213"/>
      <c r="FF4" s="213"/>
      <c r="FG4" s="213"/>
      <c r="FH4" s="213"/>
      <c r="FI4" s="213"/>
      <c r="FJ4" s="213"/>
      <c r="FK4" s="213"/>
      <c r="FL4" s="213"/>
      <c r="FM4" s="213"/>
      <c r="FN4" s="213"/>
      <c r="FO4" s="213"/>
      <c r="FP4" s="213"/>
      <c r="FQ4" s="213"/>
      <c r="FR4" s="213"/>
      <c r="FS4" s="213"/>
      <c r="FT4" s="213"/>
      <c r="FU4" s="213"/>
      <c r="FV4" s="213"/>
      <c r="FW4" s="213"/>
      <c r="FX4" s="213"/>
      <c r="FY4" s="213"/>
      <c r="FZ4" s="213"/>
      <c r="GA4" s="213"/>
      <c r="GB4" s="213"/>
      <c r="GC4" s="213"/>
      <c r="GD4" s="213"/>
      <c r="GE4" s="213"/>
      <c r="GF4" s="213"/>
      <c r="GG4" s="213"/>
      <c r="GH4" s="213"/>
      <c r="GI4" s="213"/>
      <c r="GJ4" s="213"/>
      <c r="GK4" s="213"/>
      <c r="GL4" s="213"/>
      <c r="GM4" s="213"/>
      <c r="GN4" s="213"/>
      <c r="GO4" s="213"/>
      <c r="GP4" s="213"/>
      <c r="GQ4" s="213"/>
      <c r="GR4" s="213"/>
      <c r="GS4" s="213"/>
      <c r="GT4" s="213"/>
      <c r="GU4" s="213"/>
      <c r="GV4" s="213"/>
      <c r="GW4" s="213"/>
      <c r="GX4" s="213"/>
      <c r="GY4" s="213"/>
      <c r="GZ4" s="213"/>
      <c r="HA4" s="213"/>
      <c r="HB4" s="213"/>
      <c r="HC4" s="213"/>
      <c r="HD4" s="213"/>
      <c r="HE4" s="213"/>
      <c r="HF4" s="213"/>
      <c r="HG4" s="213"/>
      <c r="HH4" s="213"/>
      <c r="HI4" s="213"/>
      <c r="HJ4" s="213"/>
      <c r="HK4" s="213"/>
      <c r="HL4" s="213"/>
      <c r="HM4" s="213"/>
      <c r="HN4" s="213"/>
      <c r="HO4" s="213"/>
      <c r="HP4" s="213"/>
      <c r="HQ4" s="213"/>
      <c r="HR4" s="213"/>
      <c r="HS4" s="213"/>
      <c r="HT4" s="213"/>
      <c r="HU4" s="213"/>
      <c r="HV4" s="213"/>
      <c r="HW4" s="213"/>
      <c r="HX4" s="213"/>
      <c r="HY4" s="213"/>
      <c r="HZ4" s="213"/>
      <c r="IA4" s="213"/>
      <c r="IB4" s="213"/>
      <c r="IC4" s="213"/>
      <c r="ID4" s="213"/>
      <c r="IE4" s="213"/>
      <c r="IF4" s="213"/>
      <c r="IG4" s="213"/>
      <c r="IH4" s="213"/>
      <c r="II4" s="213"/>
      <c r="IJ4" s="213"/>
      <c r="IK4" s="213"/>
      <c r="IL4" s="213"/>
      <c r="IM4" s="213"/>
      <c r="IN4" s="213"/>
      <c r="IO4" s="213"/>
      <c r="IP4" s="213"/>
      <c r="IQ4" s="213"/>
      <c r="IR4" s="213"/>
      <c r="IS4" s="213"/>
      <c r="IT4" s="213"/>
      <c r="IU4" s="213"/>
      <c r="IV4" s="213"/>
      <c r="IW4" s="213"/>
      <c r="IX4" s="213"/>
      <c r="IY4" s="213"/>
    </row>
    <row s="2656" customFormat="1" customHeight="1" ht="14.25">
      <c r="A5" s="1163"/>
      <c r="B5" s="1168"/>
      <c r="C5" s="1163"/>
      <c r="D5" s="1525"/>
      <c r="E5" s="515"/>
      <c r="F5" s="515"/>
      <c r="G5" s="515"/>
      <c r="H5" s="515"/>
      <c r="I5" s="515"/>
      <c r="J5" s="515"/>
      <c r="K5" s="515"/>
      <c r="L5" s="515"/>
      <c r="M5" s="515"/>
      <c r="N5" s="515"/>
      <c r="O5" s="515"/>
      <c r="P5" s="233"/>
      <c r="Q5" s="506"/>
      <c r="R5" s="506"/>
      <c r="S5" s="506"/>
      <c r="T5" s="212"/>
      <c r="U5" s="506"/>
      <c r="V5" s="211"/>
      <c r="W5" s="211"/>
      <c r="X5" s="211"/>
      <c r="Y5" s="211"/>
    </row>
    <row s="2656" customFormat="1" customHeight="1" ht="25.5">
      <c r="A6" s="1163"/>
      <c r="B6" s="1168"/>
      <c r="C6" s="1163"/>
      <c r="D6" s="1525"/>
      <c r="E6" s="1954" t="s">
        <v>1115</v>
      </c>
      <c r="F6" s="1954"/>
      <c r="G6" s="1954"/>
      <c r="H6" s="1954"/>
      <c r="I6" s="1954"/>
      <c r="J6" s="1954"/>
      <c r="K6" s="1954"/>
      <c r="L6" s="1954"/>
      <c r="M6" s="1954"/>
      <c r="N6" s="1954"/>
      <c r="O6" s="1954"/>
      <c r="P6" s="233"/>
      <c r="Q6" s="506"/>
      <c r="R6" s="506"/>
      <c r="S6" s="506"/>
      <c r="T6" s="212"/>
      <c r="U6" s="506"/>
      <c r="V6" s="211"/>
      <c r="W6" s="211"/>
      <c r="X6" s="211"/>
      <c r="Y6" s="211"/>
    </row>
    <row s="2656" customFormat="1" customHeight="1" ht="14.25">
      <c r="A7" s="1163"/>
      <c r="B7" s="1168"/>
      <c r="C7" s="1163"/>
      <c r="D7" s="1525"/>
      <c r="E7" s="515"/>
      <c r="F7" s="515"/>
      <c r="G7" s="153"/>
      <c r="H7" s="153"/>
      <c r="I7" s="153"/>
      <c r="J7" s="153"/>
      <c r="K7" s="153"/>
      <c r="L7" s="153"/>
      <c r="M7" s="153"/>
      <c r="N7" s="153"/>
      <c r="O7" s="153"/>
      <c r="P7" s="506"/>
      <c r="Q7" s="506"/>
      <c r="R7" s="506"/>
      <c r="S7" s="506"/>
      <c r="T7" s="212"/>
      <c r="U7" s="506"/>
      <c r="V7" s="211"/>
      <c r="W7" s="211"/>
      <c r="X7" s="211"/>
      <c r="Y7" s="211"/>
    </row>
    <row s="4574" customFormat="1" customHeight="1" ht="42.75">
      <c r="A8" s="1498"/>
      <c r="B8" s="1508"/>
      <c r="C8" s="1498"/>
      <c r="D8" s="1525"/>
      <c r="E8" s="1588" t="s">
        <v>294</v>
      </c>
      <c r="F8" s="1588"/>
      <c r="G8" s="1589" t="s">
        <v>298</v>
      </c>
      <c r="H8" s="1589" t="s">
        <v>1116</v>
      </c>
      <c r="I8" s="1589" t="s">
        <v>302</v>
      </c>
      <c r="J8" s="2338"/>
      <c r="K8" s="2339"/>
      <c r="L8" s="2340"/>
      <c r="M8" s="1589" t="s">
        <v>1117</v>
      </c>
      <c r="N8" s="1589" t="s">
        <v>1118</v>
      </c>
      <c r="O8" s="1589" t="s">
        <v>1119</v>
      </c>
      <c r="P8" s="1580"/>
      <c r="Q8" s="1580"/>
      <c r="R8" s="1580"/>
      <c r="S8" s="1580"/>
      <c r="T8" s="1581"/>
      <c r="U8" s="1580"/>
      <c r="V8" s="1582"/>
      <c r="W8" s="1582"/>
      <c r="X8" s="1582"/>
      <c r="Y8" s="1582"/>
    </row>
    <row s="2656" customFormat="1" customHeight="1" ht="47.25">
      <c r="A9" s="1163"/>
      <c r="B9" s="1168"/>
      <c r="C9" s="1163"/>
      <c r="D9" s="1525"/>
      <c r="E9" s="2090" t="s">
        <v>293</v>
      </c>
      <c r="F9" s="2327" t="s">
        <v>88</v>
      </c>
      <c r="G9" s="2327" t="s">
        <v>297</v>
      </c>
      <c r="H9" s="2327" t="s">
        <v>1120</v>
      </c>
      <c r="I9" s="2327"/>
      <c r="J9" s="2327" t="s">
        <v>1121</v>
      </c>
      <c r="K9" s="2327"/>
      <c r="L9" s="2327"/>
      <c r="M9" s="2327" t="s">
        <v>1122</v>
      </c>
      <c r="N9" s="2327" t="s">
        <v>1123</v>
      </c>
      <c r="O9" s="2327" t="str">
        <f>"Информация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"&amp;TEMPLATE_SPHERE_RUS&amp;" в случае, если региональный государственный контроль (надзор) в области регулирования "&amp;IF(TEMPLATE_SPHERE="HEAT","цен (тарифов)","тарифов")&amp;" в сфере "&amp;TEMPLATE_SPHERE_RUS&amp;"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 (раскрывается 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(тарифов)","тарифов")&amp;" (раскрывается исполнительным органом субъекта Российской Федерации в области государственного регулирования "&amp;IF(TEMPLATE_SPHERE="HEAT","цен (тарифов)","тарифов")&amp;")")</f>
        <v>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 (раскрывается исполнительным органом субъекта Российской Федерации в области государственного регулирования цен (тарифов))</v>
      </c>
      <c r="P9" s="506"/>
      <c r="Q9" s="506"/>
      <c r="R9" s="506"/>
      <c r="S9" s="506"/>
      <c r="T9" s="212"/>
      <c r="U9" s="506"/>
      <c r="V9" s="211"/>
      <c r="W9" s="211"/>
      <c r="X9" s="211"/>
      <c r="Y9" s="211"/>
    </row>
    <row s="2656" customFormat="1" customHeight="1" ht="63.75">
      <c r="A10" s="1163"/>
      <c r="B10" s="1168"/>
      <c r="C10" s="1163"/>
      <c r="D10" s="1525"/>
      <c r="E10" s="1971"/>
      <c r="F10" s="2337"/>
      <c r="G10" s="2337"/>
      <c r="H10" s="158" t="s">
        <v>1124</v>
      </c>
      <c r="I10" s="158" t="s">
        <v>301</v>
      </c>
      <c r="J10" s="2326"/>
      <c r="K10" s="2326"/>
      <c r="L10" s="2337"/>
      <c r="M10" s="2337"/>
      <c r="N10" s="2337"/>
      <c r="O10" s="2337"/>
      <c r="P10" s="506"/>
      <c r="Q10" s="506"/>
      <c r="R10" s="506"/>
      <c r="S10" s="506"/>
      <c r="T10" s="212"/>
      <c r="U10" s="506"/>
      <c r="V10" s="211"/>
      <c r="W10" s="211"/>
      <c r="X10" s="211"/>
      <c r="Y10" s="211"/>
    </row>
    <row s="2665" customFormat="1" customHeight="1" ht="22.5">
      <c r="A11" s="1953">
        <v>26379339</v>
      </c>
      <c r="B11" s="1168">
        <v>1</v>
      </c>
      <c r="C11" s="1168"/>
      <c r="D11" s="807"/>
      <c r="E11" s="2090"/>
      <c r="F11" s="2090">
        <v>1</v>
      </c>
      <c r="G11" s="2335" t="str">
        <f>IF(region_name="","",region_name)</f>
        <v>Иркутская область</v>
      </c>
      <c r="H11" s="2336"/>
      <c r="I11" s="2341"/>
      <c r="J11" s="480"/>
      <c r="K11" s="1514">
        <v>1</v>
      </c>
      <c r="L11" s="1590"/>
      <c r="M11" s="1576"/>
      <c r="N11" s="1576"/>
      <c r="O11" s="1575"/>
      <c r="P11" s="1565">
        <f>MERGEVALUE(G11)</f>
      </c>
      <c r="Q11" s="517"/>
      <c r="R11" s="517"/>
      <c r="S11" s="506" t="str">
        <f t="array" ref="S11:S11">IF(ISERROR(MATCH(MID(T11,1,250),MID(note_ter,1,250),0)),"n","y")</f>
        <v>n</v>
      </c>
      <c r="T11" s="517"/>
      <c r="U11" s="506"/>
      <c r="V11" s="1168"/>
      <c r="W11" s="1168"/>
      <c r="X11" s="426"/>
      <c r="Y11" s="1168"/>
      <c r="Z11" s="1168"/>
      <c r="AA11" s="1168"/>
      <c r="AB11" s="428"/>
      <c r="AC11" s="428"/>
      <c r="AD11" s="425"/>
      <c r="AE11" s="425"/>
      <c r="AF11" s="425"/>
      <c r="AG11" s="425"/>
      <c r="AH11" s="425"/>
      <c r="AI11" s="425"/>
      <c r="AJ11" s="425"/>
      <c r="AK11" s="425"/>
      <c r="AL11" s="425"/>
      <c r="AM11" s="425"/>
      <c r="AN11" s="425"/>
      <c r="AO11" s="425"/>
      <c r="AP11" s="425"/>
      <c r="AQ11" s="425"/>
      <c r="AR11" s="425"/>
      <c r="AS11" s="425"/>
      <c r="AT11" s="425"/>
      <c r="AU11" s="425"/>
      <c r="AV11" s="425"/>
      <c r="AW11" s="425"/>
      <c r="AX11" s="425"/>
      <c r="AY11" s="425"/>
      <c r="AZ11" s="425"/>
      <c r="BA11" s="425"/>
      <c r="BB11" s="425"/>
      <c r="BC11" s="425"/>
      <c r="BD11" s="425"/>
      <c r="BE11" s="425"/>
      <c r="BF11" s="425"/>
      <c r="BG11" s="425"/>
      <c r="BH11" s="425"/>
      <c r="BI11" s="425"/>
      <c r="BJ11" s="425"/>
      <c r="BK11" s="425"/>
      <c r="BL11" s="425"/>
      <c r="BM11" s="425"/>
      <c r="BN11" s="425"/>
      <c r="BO11" s="425"/>
      <c r="BP11" s="425"/>
      <c r="BQ11" s="425"/>
      <c r="BR11" s="425"/>
      <c r="BS11" s="425"/>
      <c r="BT11" s="425"/>
      <c r="BU11" s="425"/>
      <c r="BV11" s="425"/>
      <c r="BW11" s="425"/>
      <c r="BX11" s="425"/>
      <c r="BY11" s="428"/>
      <c r="BZ11" s="428"/>
      <c r="CA11" s="428"/>
      <c r="CB11" s="428"/>
      <c r="CC11" s="428"/>
      <c r="CD11" s="428"/>
      <c r="CE11" s="428"/>
      <c r="CF11" s="428"/>
      <c r="CG11" s="428"/>
      <c r="CH11" s="428"/>
    </row>
    <row s="2665" customFormat="1" customHeight="1" ht="22.5">
      <c r="A12" s="1953"/>
      <c r="B12" s="1168"/>
      <c r="C12" s="1168"/>
      <c r="D12" s="807"/>
      <c r="E12" s="2090"/>
      <c r="F12" s="2090"/>
      <c r="G12" s="2335"/>
      <c r="H12" s="2336"/>
      <c r="I12" s="2342"/>
      <c r="J12" s="1574"/>
      <c r="K12" s="1530"/>
      <c r="L12" s="1530" t="s">
        <v>1114</v>
      </c>
      <c r="M12" s="1577"/>
      <c r="N12" s="1577"/>
      <c r="O12" s="1578"/>
      <c r="P12" s="1565"/>
      <c r="Q12" s="517"/>
      <c r="R12" s="517"/>
      <c r="S12" s="506"/>
      <c r="T12" s="517"/>
      <c r="U12" s="506"/>
      <c r="V12" s="1168"/>
      <c r="W12" s="1168"/>
      <c r="X12" s="426"/>
      <c r="Y12" s="1168"/>
      <c r="Z12" s="1168"/>
      <c r="AA12" s="1168"/>
      <c r="AB12" s="428"/>
      <c r="AC12" s="428"/>
      <c r="AD12" s="425"/>
      <c r="AE12" s="425"/>
      <c r="AF12" s="425"/>
      <c r="AG12" s="425"/>
      <c r="AH12" s="425"/>
      <c r="AI12" s="425"/>
      <c r="AJ12" s="425"/>
      <c r="AK12" s="425"/>
      <c r="AL12" s="425"/>
      <c r="AM12" s="425"/>
      <c r="AN12" s="425"/>
      <c r="AO12" s="425"/>
      <c r="AP12" s="425"/>
      <c r="AQ12" s="425"/>
      <c r="AR12" s="425"/>
      <c r="AS12" s="425"/>
      <c r="AT12" s="425"/>
      <c r="AU12" s="425"/>
      <c r="AV12" s="425"/>
      <c r="AW12" s="425"/>
      <c r="AX12" s="425"/>
      <c r="AY12" s="425"/>
      <c r="AZ12" s="425"/>
      <c r="BA12" s="425"/>
      <c r="BB12" s="425"/>
      <c r="BC12" s="425"/>
      <c r="BD12" s="425"/>
      <c r="BE12" s="425"/>
      <c r="BF12" s="425"/>
      <c r="BG12" s="425"/>
      <c r="BH12" s="425"/>
      <c r="BI12" s="425"/>
      <c r="BJ12" s="425"/>
      <c r="BK12" s="425"/>
      <c r="BL12" s="425"/>
      <c r="BM12" s="425"/>
      <c r="BN12" s="425"/>
      <c r="BO12" s="425"/>
      <c r="BP12" s="425"/>
      <c r="BQ12" s="425"/>
      <c r="BR12" s="425"/>
      <c r="BS12" s="425"/>
      <c r="BT12" s="425"/>
      <c r="BU12" s="425"/>
      <c r="BV12" s="425"/>
      <c r="BW12" s="425"/>
      <c r="BX12" s="425"/>
      <c r="BY12" s="428"/>
      <c r="BZ12" s="428"/>
      <c r="CA12" s="428"/>
      <c r="CB12" s="428"/>
      <c r="CC12" s="428"/>
      <c r="CD12" s="428"/>
      <c r="CE12" s="428"/>
      <c r="CF12" s="428"/>
      <c r="CG12" s="428"/>
      <c r="CH12" s="428"/>
    </row>
    <row s="2665" customFormat="1" customHeight="1" ht="22.5">
      <c r="A13" s="1953"/>
      <c r="B13" s="1168"/>
      <c r="C13" s="418"/>
      <c r="D13" s="807"/>
      <c r="E13" s="1571"/>
      <c r="F13" s="1574"/>
      <c r="G13" s="1530" t="s">
        <v>1108</v>
      </c>
      <c r="H13" s="1572"/>
      <c r="I13" s="1572"/>
      <c r="J13" s="173"/>
      <c r="K13" s="173"/>
      <c r="L13" s="173"/>
      <c r="M13" s="173"/>
      <c r="N13" s="173"/>
      <c r="O13" s="1573"/>
      <c r="P13" s="1566"/>
      <c r="Q13" s="517"/>
      <c r="R13" s="517"/>
      <c r="S13" s="517"/>
      <c r="T13" s="506"/>
      <c r="U13" s="517"/>
      <c r="V13" s="1168"/>
      <c r="W13" s="1168"/>
      <c r="X13" s="426"/>
      <c r="Y13" s="1168"/>
      <c r="Z13" s="1168"/>
      <c r="AA13" s="1168"/>
      <c r="AB13" s="428"/>
      <c r="AC13" s="428"/>
      <c r="AD13" s="425"/>
      <c r="AE13" s="425"/>
      <c r="AF13" s="425"/>
      <c r="AG13" s="425"/>
      <c r="AH13" s="425"/>
      <c r="AI13" s="425"/>
      <c r="AJ13" s="425"/>
      <c r="AK13" s="425"/>
      <c r="AL13" s="425"/>
      <c r="AM13" s="425"/>
      <c r="AN13" s="425"/>
      <c r="AO13" s="425"/>
      <c r="AP13" s="425"/>
      <c r="AQ13" s="425"/>
      <c r="AR13" s="425"/>
      <c r="AS13" s="425"/>
      <c r="AT13" s="425"/>
      <c r="AU13" s="425"/>
      <c r="AV13" s="425"/>
      <c r="AW13" s="425"/>
      <c r="AX13" s="425"/>
      <c r="AY13" s="425"/>
      <c r="AZ13" s="425"/>
      <c r="BA13" s="425"/>
      <c r="BB13" s="425"/>
      <c r="BC13" s="425"/>
      <c r="BD13" s="425"/>
      <c r="BE13" s="425"/>
      <c r="BF13" s="425"/>
      <c r="BG13" s="425"/>
      <c r="BH13" s="425"/>
      <c r="BI13" s="425"/>
      <c r="BJ13" s="425"/>
      <c r="BK13" s="425"/>
      <c r="BL13" s="425"/>
      <c r="BM13" s="425"/>
      <c r="BN13" s="425"/>
      <c r="BO13" s="425"/>
      <c r="BP13" s="425"/>
      <c r="BQ13" s="425"/>
      <c r="BR13" s="425"/>
      <c r="BS13" s="425"/>
      <c r="BT13" s="425"/>
      <c r="BU13" s="425"/>
      <c r="BV13" s="425"/>
      <c r="BW13" s="425"/>
      <c r="BX13" s="425"/>
      <c r="BY13" s="428"/>
      <c r="BZ13" s="428"/>
      <c r="CA13" s="428"/>
      <c r="CB13" s="428"/>
      <c r="CC13" s="428"/>
      <c r="CD13" s="428"/>
      <c r="CE13" s="428"/>
      <c r="CF13" s="428"/>
      <c r="CG13" s="428"/>
      <c r="CH13" s="428"/>
    </row>
    <row s="2656" customFormat="1" customHeight="1" ht="21">
      <c r="A14" s="1163"/>
      <c r="B14" s="1168"/>
      <c r="C14" s="1163"/>
      <c r="D14" s="457"/>
      <c r="E14" s="166"/>
      <c r="F14" s="166"/>
      <c r="G14" s="166"/>
      <c r="H14" s="166"/>
      <c r="I14" s="166"/>
      <c r="J14" s="166"/>
      <c r="K14" s="166"/>
      <c r="L14" s="166"/>
      <c r="M14" s="166"/>
      <c r="N14" s="515"/>
      <c r="O14" s="515"/>
      <c r="P14" s="506"/>
      <c r="Q14" s="506"/>
      <c r="R14" s="506"/>
      <c r="S14" s="506"/>
      <c r="T14" s="212"/>
      <c r="U14" s="506"/>
      <c r="V14" s="211"/>
      <c r="W14" s="211"/>
      <c r="X14" s="211"/>
      <c r="Y14" s="211"/>
    </row>
    <row s="2656" customFormat="1" customHeight="1" ht="14.25">
      <c r="A15" s="1163"/>
      <c r="B15" s="1168"/>
      <c r="C15" s="1163"/>
      <c r="D15" s="457"/>
      <c r="E15" s="1163"/>
      <c r="F15" s="1163"/>
      <c r="G15" s="1163"/>
      <c r="H15" s="1163"/>
      <c r="I15" s="1163"/>
      <c r="J15" s="1163"/>
      <c r="K15" s="1163"/>
      <c r="L15" s="1163"/>
      <c r="M15" s="1163"/>
      <c r="N15" s="1163"/>
      <c r="O15" s="1163"/>
      <c r="P15" s="506"/>
      <c r="Q15" s="506"/>
      <c r="R15" s="506"/>
      <c r="S15" s="506"/>
      <c r="T15" s="212"/>
      <c r="U15" s="506"/>
      <c r="V15" s="211"/>
      <c r="W15" s="211"/>
      <c r="X15" s="211"/>
      <c r="Y15" s="211"/>
    </row>
    <row s="2656" customFormat="1" customHeight="1" ht="0.75">
      <c r="A16" s="1163"/>
      <c r="B16" s="1168"/>
      <c r="C16" s="1163"/>
      <c r="D16" s="457"/>
      <c r="E16" s="1163"/>
      <c r="F16" s="1163"/>
      <c r="G16" s="1163"/>
      <c r="H16" s="1163"/>
      <c r="I16" s="1163"/>
      <c r="J16" s="1163"/>
      <c r="K16" s="1163"/>
      <c r="L16" s="1163"/>
      <c r="M16" s="1163"/>
      <c r="N16" s="1163"/>
      <c r="O16" s="1163"/>
      <c r="P16" s="506"/>
      <c r="Q16" s="506"/>
      <c r="R16" s="506"/>
      <c r="S16" s="506"/>
      <c r="T16" s="212"/>
      <c r="U16" s="506"/>
      <c r="V16" s="211"/>
      <c r="W16" s="211"/>
      <c r="X16" s="211"/>
      <c r="Y16" s="211"/>
    </row>
  </sheetData>
  <sheetProtection formatColumns="0" formatRows="0" autoFilter="0" sort="0" insertRows="0" insertColumns="1" deleteRows="0" deleteColumns="0"/>
  <mergeCells count="21">
    <mergeCell ref="A11:A13"/>
    <mergeCell ref="E11:E12"/>
    <mergeCell ref="G11:G12"/>
    <mergeCell ref="H11:H12"/>
    <mergeCell ref="E6:O6"/>
    <mergeCell ref="E9:E10"/>
    <mergeCell ref="G9:G10"/>
    <mergeCell ref="M9:M10"/>
    <mergeCell ref="F9:F10"/>
    <mergeCell ref="F11:F12"/>
    <mergeCell ref="J8:L8"/>
    <mergeCell ref="N9:N10"/>
    <mergeCell ref="O9:O10"/>
    <mergeCell ref="I11:I12"/>
    <mergeCell ref="H9:I9"/>
    <mergeCell ref="J9:L10"/>
    <mergeCell ref="E2:E3"/>
    <mergeCell ref="F2:F3"/>
    <mergeCell ref="G2:G3"/>
    <mergeCell ref="H2:H3"/>
    <mergeCell ref="I2:I3"/>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M2:O4 L2 O11 M12:O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595DA4A-0357-2339-1A31-A9E5AC893BE6}" mc:Ignorable="x14ac xr xr2 xr3">
  <sheetPr>
    <tabColor rgb="FFCCCCFF"/>
    <pageSetUpPr fitToPage="1"/>
  </sheetPr>
  <dimension ref="A1:L12"/>
  <sheetViews>
    <sheetView topLeftCell="A1" showGridLines="0" zoomScale="90" workbookViewId="0">
      <selection activeCell="A1" sqref="A1"/>
    </sheetView>
  </sheetViews>
  <sheetFormatPr defaultColWidth="9.140625" customHeight="1" defaultRowHeight="14.25"/>
  <cols>
    <col min="1" max="2" style="4514" width="9.140625" hidden="1"/>
    <col min="3" max="3" style="4515" width="3.7109375" customWidth="1"/>
    <col min="4" max="4" style="4514" width="6.28125" customWidth="1"/>
    <col min="5" max="5" style="4514" width="94.8515625" customWidth="1"/>
    <col min="6" max="12" style="4514" width="9.140625"/>
  </cols>
  <sheetData>
    <row customHeight="1" ht="14.25" hidden="1">
      <c r="L1" s="250"/>
    </row>
    <row customHeight="1" ht="14.25" hidden="1"/>
    <row customHeight="1" ht="14.25" hidden="1"/>
    <row customHeight="1" ht="14.25" hidden="1"/>
    <row customHeight="1" ht="14.25" hidden="1"/>
    <row customHeight="1" ht="3">
      <c r="C6" s="77"/>
      <c r="D6" s="55"/>
      <c r="E6" s="55"/>
    </row>
    <row customHeight="1" ht="22.5">
      <c r="C7" s="77"/>
      <c r="D7" s="1954" t="s">
        <v>1125</v>
      </c>
      <c r="E7" s="1954"/>
      <c r="F7" s="253"/>
    </row>
    <row customHeight="1" ht="3">
      <c r="C8" s="77"/>
      <c r="D8" s="55"/>
      <c r="E8" s="55"/>
    </row>
    <row customHeight="1" ht="15.75">
      <c r="C9" s="77"/>
      <c r="D9" s="91" t="s">
        <v>88</v>
      </c>
      <c r="E9" s="94" t="s">
        <v>280</v>
      </c>
    </row>
    <row customHeight="1" ht="12">
      <c r="C10" s="77"/>
      <c r="D10" s="72" t="s">
        <v>110</v>
      </c>
      <c r="E10" s="72" t="s">
        <v>111</v>
      </c>
    </row>
    <row customHeight="1" ht="15" hidden="1">
      <c r="C11" s="77"/>
      <c r="D11" s="99">
        <v>0</v>
      </c>
      <c r="E11" s="135"/>
    </row>
    <row customHeight="1" ht="14.25">
      <c r="C12" s="77"/>
      <c r="D12" s="95"/>
      <c r="E12" s="93" t="s">
        <v>1085</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5A9C631-AEFE-CEBB-8FF9-C4845D80006D}" mc:Ignorable="x14ac xr xr2 xr3">
  <sheetPr>
    <tabColor rgb="FFCCCCFF"/>
  </sheetPr>
  <dimension ref="A1:E4"/>
  <sheetViews>
    <sheetView topLeftCell="A1" showGridLines="0" zoomScale="90" workbookViewId="0">
      <selection activeCell="A1" sqref="A1"/>
    </sheetView>
  </sheetViews>
  <sheetFormatPr defaultColWidth="9.140625" customHeight="1" defaultRowHeight="11.25"/>
  <cols>
    <col min="1" max="1" style="4599" width="1.7109375" customWidth="1"/>
    <col min="2" max="2" style="4599" width="34.57421875" customWidth="1"/>
    <col min="3" max="3" style="4599" width="85.57421875" customWidth="1"/>
    <col min="4" max="4" style="4599" width="17.7109375" customWidth="1"/>
    <col min="5" max="5" style="4599" width="9.140625"/>
  </cols>
  <sheetData>
    <row customHeight="1" ht="3"/>
    <row customHeight="1" ht="22.5">
      <c r="B2" s="2343" t="s">
        <v>1126</v>
      </c>
      <c r="C2" s="2343"/>
      <c r="D2" s="2343"/>
      <c r="E2" s="254"/>
    </row>
    <row customHeight="1" ht="3"/>
    <row customHeight="1" ht="21.75">
      <c r="B4" s="389" t="s">
        <v>1127</v>
      </c>
      <c r="C4" s="389" t="s">
        <v>1128</v>
      </c>
      <c r="D4" s="389" t="s">
        <v>1129</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71F123C-3CAA-162C-8DBE-9838C3EA4A23}" mc:Ignorable="x14ac xr xr2 xr3">
  <sheetPr>
    <tabColor rgb="FFFFCC99"/>
  </sheetPr>
  <dimension ref="A1:GB207"/>
  <sheetViews>
    <sheetView topLeftCell="A1" showGridLines="0" zoomScale="85" workbookViewId="0">
      <selection activeCell="A1" sqref="A1"/>
    </sheetView>
  </sheetViews>
  <sheetFormatPr customHeight="1" defaultRowHeight="17.1"/>
  <cols>
    <col min="1" max="1" style="4599" width="26.57421875" customWidth="1"/>
    <col min="2" max="2" style="4599" width="10.00390625" customWidth="1"/>
    <col min="3" max="3" style="4599" width="9.140625"/>
    <col min="4" max="4" style="4599" width="11.140625" customWidth="1"/>
    <col min="5" max="5" style="4599" width="16.57421875" customWidth="1"/>
    <col min="6" max="6" style="4599" width="16.28125" customWidth="1"/>
    <col min="7" max="7" style="4599" width="19.140625" customWidth="1"/>
    <col min="8" max="11" style="4599" width="10.00390625" customWidth="1"/>
    <col min="12" max="12" style="4599" width="12.7109375" customWidth="1"/>
    <col min="13" max="13" style="4599" width="61.28125" customWidth="1"/>
    <col min="14" max="14" style="4599" width="10.00390625" customWidth="1"/>
    <col min="15" max="17" style="4599" width="23.7109375" customWidth="1"/>
    <col min="18" max="18" style="4599" width="11.7109375" customWidth="1"/>
    <col min="19" max="19" style="4599" width="8.57421875" customWidth="1"/>
    <col min="20" max="20" style="4599" width="11.7109375" customWidth="1"/>
    <col min="21" max="21" style="4599" width="8.57421875" customWidth="1"/>
    <col min="22" max="22" style="4599" width="4.7109375" customWidth="1"/>
    <col min="23" max="23" style="4599" width="115.7109375" customWidth="1"/>
    <col min="24" max="24" style="4599" width="115.28125" customWidth="1"/>
    <col min="25" max="27" style="4599" width="9.140625"/>
    <col min="28" max="28" style="4599" width="115.7109375" customWidth="1"/>
    <col min="29" max="29" style="4599" width="9.140625"/>
    <col min="30" max="90" style="4599" width="115.7109375" customWidth="1"/>
    <col min="91" max="184" style="4599" width="9.140625"/>
  </cols>
  <sheetData>
    <row r="2" s="4600" customFormat="1" customHeight="1" ht="17.25">
      <c r="A2" s="1856" t="s">
        <v>1130</v>
      </c>
    </row>
    <row r="4" s="4514" customFormat="1" customHeight="1" ht="15">
      <c r="C4" s="1857"/>
      <c r="D4" s="99"/>
      <c r="E4" s="380"/>
    </row>
    <row r="6" s="4600" customFormat="1" customHeight="1" ht="17.25">
      <c r="A6" s="1856" t="s">
        <v>1131</v>
      </c>
    </row>
    <row r="8" s="4514" customFormat="1" customHeight="1" ht="17.25">
      <c r="C8" s="1858"/>
      <c r="D8" s="99"/>
      <c r="E8" s="100"/>
    </row>
    <row r="11" s="4600" customFormat="1" customHeight="1" ht="17.25">
      <c r="A11" s="1856" t="s">
        <v>1132</v>
      </c>
    </row>
    <row r="13" s="4604" customFormat="1" customHeight="1" ht="15">
      <c r="A13" s="2082">
        <v>1</v>
      </c>
      <c r="B13" s="1168"/>
      <c r="C13" s="807" t="s">
        <v>445</v>
      </c>
      <c r="D13" s="1859"/>
      <c r="E13" s="1846">
        <f>A13</f>
        <v>1</v>
      </c>
      <c r="F13" s="810"/>
      <c r="G13" s="546" t="str">
        <f>"Территория "&amp;E13</f>
        <v>Территория 1</v>
      </c>
      <c r="H13" s="798"/>
      <c r="I13" s="798"/>
      <c r="J13" s="795"/>
      <c r="K13" s="1664"/>
      <c r="L13" s="1664"/>
      <c r="M13" s="1664"/>
      <c r="N13" s="212"/>
      <c r="O13" s="1664"/>
      <c r="P13" s="211"/>
      <c r="Q13" s="211"/>
      <c r="R13" s="211"/>
      <c r="S13" s="211"/>
    </row>
    <row s="2665" customFormat="1" customHeight="1" ht="15">
      <c r="A14" s="2082"/>
      <c r="B14" s="1168">
        <v>1</v>
      </c>
      <c r="C14" s="1168"/>
      <c r="D14" s="806"/>
      <c r="E14" s="1854" t="str">
        <f>A13&amp;"."&amp;B14</f>
        <v>1.1</v>
      </c>
      <c r="F14" s="809">
        <f>$F$20</f>
        <v>0</v>
      </c>
      <c r="G14" s="799"/>
      <c r="H14" s="799"/>
      <c r="I14" s="797"/>
      <c r="J14" s="1664"/>
      <c r="K14" s="1676"/>
      <c r="L14" s="1676"/>
      <c r="M14" s="1664" t="str">
        <f t="array" ref="M14:M14">IF(ISERROR(MATCH(MID(N14,1,250),MID(note_ter,1,250),0)),"n","y")</f>
        <v>n</v>
      </c>
      <c r="N14" s="1676"/>
      <c r="O14" s="1664" t="str">
        <f>H14&amp;"("&amp;I14&amp;")"</f>
        <v>()</v>
      </c>
      <c r="P14" s="1168"/>
      <c r="Q14" s="1168"/>
      <c r="R14" s="426"/>
      <c r="S14" s="1168"/>
      <c r="T14" s="1168"/>
      <c r="U14" s="1168"/>
      <c r="V14" s="428"/>
      <c r="W14" s="428"/>
      <c r="X14" s="425"/>
      <c r="Y14" s="425"/>
      <c r="Z14" s="425"/>
      <c r="AA14" s="425"/>
      <c r="AB14" s="425"/>
      <c r="AC14" s="425"/>
      <c r="AD14" s="425"/>
      <c r="AE14" s="425"/>
      <c r="AF14" s="425"/>
      <c r="AG14" s="425"/>
      <c r="AH14" s="425"/>
      <c r="AI14" s="425"/>
      <c r="AJ14" s="425"/>
      <c r="AK14" s="425"/>
      <c r="AL14" s="425"/>
      <c r="AM14" s="425"/>
      <c r="AN14" s="425"/>
      <c r="AO14" s="425"/>
      <c r="AP14" s="425"/>
      <c r="AQ14" s="425"/>
      <c r="AR14" s="425"/>
      <c r="AS14" s="425"/>
      <c r="AT14" s="425"/>
      <c r="AU14" s="425"/>
      <c r="AV14" s="425"/>
      <c r="AW14" s="425"/>
      <c r="AX14" s="425"/>
      <c r="AY14" s="425"/>
      <c r="AZ14" s="425"/>
      <c r="BA14" s="425"/>
      <c r="BB14" s="425"/>
      <c r="BC14" s="425"/>
      <c r="BD14" s="425"/>
      <c r="BE14" s="425"/>
      <c r="BF14" s="425"/>
      <c r="BG14" s="425"/>
      <c r="BH14" s="425"/>
      <c r="BI14" s="425"/>
      <c r="BJ14" s="425"/>
      <c r="BK14" s="425"/>
      <c r="BL14" s="425"/>
      <c r="BM14" s="425"/>
      <c r="BN14" s="425"/>
      <c r="BO14" s="425"/>
      <c r="BP14" s="425"/>
      <c r="BQ14" s="425"/>
      <c r="BR14" s="425"/>
      <c r="BS14" s="428"/>
      <c r="BT14" s="428"/>
      <c r="BU14" s="428"/>
      <c r="BV14" s="428"/>
      <c r="BW14" s="428"/>
      <c r="BX14" s="428"/>
      <c r="BY14" s="428"/>
      <c r="BZ14" s="428"/>
      <c r="CA14" s="428"/>
      <c r="CB14" s="428"/>
    </row>
    <row s="2665" customFormat="1" customHeight="1" ht="15">
      <c r="A15" s="2082"/>
      <c r="B15" s="1168"/>
      <c r="C15" s="418"/>
      <c r="D15" s="807"/>
      <c r="E15" s="427"/>
      <c r="F15" s="163"/>
      <c r="G15" s="421" t="s">
        <v>103</v>
      </c>
      <c r="H15" s="173"/>
      <c r="I15" s="430"/>
      <c r="J15" s="1676"/>
      <c r="K15" s="1676"/>
      <c r="L15" s="1676"/>
      <c r="M15" s="1676"/>
      <c r="N15" s="1664"/>
      <c r="O15" s="1676"/>
      <c r="P15" s="1168"/>
      <c r="Q15" s="1168"/>
      <c r="R15" s="426"/>
      <c r="S15" s="1168"/>
      <c r="T15" s="1168"/>
      <c r="U15" s="1168"/>
      <c r="V15" s="428"/>
      <c r="W15" s="428"/>
      <c r="X15" s="425"/>
      <c r="Y15" s="425"/>
      <c r="Z15" s="425"/>
      <c r="AA15" s="425"/>
      <c r="AB15" s="425"/>
      <c r="AC15" s="425"/>
      <c r="AD15" s="425"/>
      <c r="AE15" s="425"/>
      <c r="AF15" s="425"/>
      <c r="AG15" s="425"/>
      <c r="AH15" s="425"/>
      <c r="AI15" s="425"/>
      <c r="AJ15" s="425"/>
      <c r="AK15" s="425"/>
      <c r="AL15" s="425"/>
      <c r="AM15" s="425"/>
      <c r="AN15" s="425"/>
      <c r="AO15" s="425"/>
      <c r="AP15" s="425"/>
      <c r="AQ15" s="425"/>
      <c r="AR15" s="425"/>
      <c r="AS15" s="425"/>
      <c r="AT15" s="425"/>
      <c r="AU15" s="425"/>
      <c r="AV15" s="425"/>
      <c r="AW15" s="425"/>
      <c r="AX15" s="425"/>
      <c r="AY15" s="425"/>
      <c r="AZ15" s="425"/>
      <c r="BA15" s="425"/>
      <c r="BB15" s="425"/>
      <c r="BC15" s="425"/>
      <c r="BD15" s="425"/>
      <c r="BE15" s="425"/>
      <c r="BF15" s="425"/>
      <c r="BG15" s="425"/>
      <c r="BH15" s="425"/>
      <c r="BI15" s="425"/>
      <c r="BJ15" s="425"/>
      <c r="BK15" s="425"/>
      <c r="BL15" s="425"/>
      <c r="BM15" s="425"/>
      <c r="BN15" s="425"/>
      <c r="BO15" s="425"/>
      <c r="BP15" s="425"/>
      <c r="BQ15" s="425"/>
      <c r="BR15" s="425"/>
      <c r="BS15" s="428"/>
      <c r="BT15" s="428"/>
      <c r="BU15" s="428"/>
      <c r="BV15" s="428"/>
      <c r="BW15" s="428"/>
      <c r="BX15" s="428"/>
      <c r="BY15" s="428"/>
      <c r="BZ15" s="428"/>
      <c r="CA15" s="428"/>
      <c r="CB15" s="428"/>
    </row>
    <row r="17" s="4600" customFormat="1" customHeight="1" ht="17.25">
      <c r="A17" s="1856" t="s">
        <v>1133</v>
      </c>
    </row>
    <row r="19" s="3979" customFormat="1" customHeight="1" ht="15">
      <c r="A19" s="1925"/>
      <c r="B19" s="1396">
        <v>1</v>
      </c>
      <c r="C19" s="1396"/>
      <c r="D19" s="806" t="s">
        <v>445</v>
      </c>
      <c r="E19" s="1921"/>
      <c r="F19" s="1926">
        <f>$F$20</f>
        <v>0</v>
      </c>
      <c r="G19" s="1930"/>
      <c r="H19" s="1930"/>
      <c r="I19" s="1928"/>
      <c r="J19" s="1664"/>
      <c r="K19" s="1676"/>
      <c r="L19" s="1676"/>
      <c r="M19" s="1664" t="str">
        <f t="array" ref="M19:M19">IF(ISERROR(MATCH(MID(N19,1,250),MID(note_ter,1,250),0)),"n","y")</f>
        <v>n</v>
      </c>
      <c r="N19" s="1676"/>
      <c r="O19" s="1664" t="str">
        <f>H19&amp;"("&amp;I19&amp;")"</f>
        <v>()</v>
      </c>
      <c r="P19" s="1396"/>
      <c r="Q19" s="1396"/>
      <c r="R19" s="426"/>
      <c r="S19" s="1396"/>
      <c r="T19" s="1396"/>
      <c r="U19" s="1396"/>
      <c r="V19" s="839"/>
      <c r="W19" s="839"/>
      <c r="X19" s="633"/>
      <c r="Y19" s="633"/>
      <c r="Z19" s="633"/>
      <c r="AA19" s="633"/>
      <c r="AB19" s="633"/>
      <c r="AC19" s="633"/>
      <c r="AD19" s="633"/>
      <c r="AE19" s="633"/>
      <c r="AF19" s="633"/>
      <c r="AG19" s="633"/>
      <c r="AH19" s="633"/>
      <c r="AI19" s="633"/>
      <c r="AJ19" s="633"/>
      <c r="AK19" s="633"/>
      <c r="AL19" s="633"/>
      <c r="AM19" s="633"/>
      <c r="AN19" s="633"/>
      <c r="AO19" s="633"/>
      <c r="AP19" s="633"/>
      <c r="AQ19" s="633"/>
      <c r="AR19" s="633"/>
      <c r="AS19" s="633"/>
      <c r="AT19" s="633"/>
      <c r="AU19" s="633"/>
      <c r="AV19" s="633"/>
      <c r="AW19" s="633"/>
      <c r="AX19" s="633"/>
      <c r="AY19" s="633"/>
      <c r="AZ19" s="633"/>
      <c r="BA19" s="633"/>
      <c r="BB19" s="633"/>
      <c r="BC19" s="633"/>
      <c r="BD19" s="633"/>
      <c r="BE19" s="633"/>
      <c r="BF19" s="633"/>
      <c r="BG19" s="633"/>
      <c r="BH19" s="633"/>
      <c r="BI19" s="633"/>
      <c r="BJ19" s="633"/>
      <c r="BK19" s="633"/>
      <c r="BL19" s="633"/>
      <c r="BM19" s="633"/>
      <c r="BN19" s="633"/>
      <c r="BO19" s="633"/>
      <c r="BP19" s="633"/>
      <c r="BQ19" s="633"/>
      <c r="BR19" s="633"/>
      <c r="BS19" s="839"/>
      <c r="BT19" s="839"/>
      <c r="BU19" s="839"/>
      <c r="BV19" s="839"/>
      <c r="BW19" s="839"/>
      <c r="BX19" s="839"/>
      <c r="BY19" s="839"/>
      <c r="BZ19" s="839"/>
      <c r="CA19" s="839"/>
      <c r="CB19" s="839"/>
    </row>
    <row r="21" s="2665" customFormat="1" customHeight="1" ht="15">
      <c r="A21" s="1856" t="s">
        <v>1134</v>
      </c>
      <c r="B21" s="1856"/>
      <c r="C21" s="1856"/>
      <c r="D21" s="1856"/>
      <c r="E21" s="1856"/>
      <c r="F21" s="1856"/>
      <c r="G21" s="1856"/>
      <c r="H21" s="1856"/>
      <c r="I21" s="1856"/>
      <c r="J21" s="1856"/>
      <c r="K21" s="1856"/>
      <c r="L21" s="1856"/>
      <c r="M21" s="1856"/>
      <c r="N21" s="1856"/>
      <c r="O21" s="1856"/>
      <c r="P21" s="1856"/>
      <c r="Q21" s="1856"/>
      <c r="R21" s="1856"/>
      <c r="S21" s="1856"/>
      <c r="T21" s="1856"/>
      <c r="U21" s="170"/>
      <c r="V21" s="1856"/>
      <c r="W21" s="1856"/>
    </row>
    <row s="2665" customFormat="1" customHeight="1" ht="15">
      <c r="U22" s="171"/>
    </row>
    <row s="4616" customFormat="1" customHeight="1" ht="15">
      <c r="A23" s="429"/>
      <c r="B23" s="429"/>
      <c r="C23" s="1768" t="s">
        <v>445</v>
      </c>
      <c r="D23" s="1982" t="s">
        <v>110</v>
      </c>
      <c r="E23" s="1983"/>
      <c r="F23" s="1981" t="s">
        <v>57</v>
      </c>
      <c r="G23" s="2394"/>
      <c r="H23" s="1971">
        <v>1</v>
      </c>
      <c r="I23" s="2396" t="str">
        <f>IF(U23="","",INDEX(TERRITORY_MR_LIST,MATCH(U23,TERRITORY_LIST_ID,0)))</f>
        <v/>
      </c>
      <c r="J23" s="1981" t="s">
        <v>57</v>
      </c>
      <c r="K23" s="838"/>
      <c r="L23" s="1823" t="s">
        <v>110</v>
      </c>
      <c r="M23" s="609"/>
      <c r="N23" s="610"/>
      <c r="O23" s="610"/>
      <c r="P23" s="610"/>
      <c r="Q23" s="610"/>
      <c r="R23" s="610"/>
      <c r="S23" s="610"/>
      <c r="T23" s="610"/>
      <c r="U23" s="611"/>
      <c r="V23" s="610"/>
      <c r="W23" s="610"/>
      <c r="X23" s="601"/>
      <c r="Y23" s="601" t="s">
        <v>119</v>
      </c>
      <c r="Z23" s="601">
        <v>1705000</v>
      </c>
      <c r="AA23" s="601"/>
      <c r="AB23" s="601"/>
      <c r="AC23" s="601"/>
      <c r="AD23" s="601"/>
      <c r="AE23" s="601"/>
      <c r="AF23" s="601"/>
      <c r="AG23" s="601"/>
      <c r="AH23" s="601"/>
      <c r="AI23" s="601"/>
      <c r="AJ23" s="601"/>
      <c r="AK23" s="601"/>
      <c r="AL23" s="601"/>
    </row>
    <row s="4616" customFormat="1" customHeight="1" ht="15">
      <c r="A24" s="429"/>
      <c r="B24" s="429"/>
      <c r="C24" s="162"/>
      <c r="D24" s="1982"/>
      <c r="E24" s="1984"/>
      <c r="F24" s="1981"/>
      <c r="G24" s="2395"/>
      <c r="H24" s="1971"/>
      <c r="I24" s="2397"/>
      <c r="J24" s="1981"/>
      <c r="K24" s="427"/>
      <c r="L24" s="163"/>
      <c r="M24" s="613" t="s">
        <v>120</v>
      </c>
      <c r="N24" s="610"/>
      <c r="O24" s="610"/>
      <c r="P24" s="610"/>
      <c r="Q24" s="610"/>
      <c r="R24" s="610"/>
      <c r="S24" s="610"/>
      <c r="T24" s="610"/>
      <c r="U24" s="611"/>
      <c r="V24" s="610"/>
      <c r="W24" s="610"/>
      <c r="X24" s="601"/>
      <c r="Y24" s="601"/>
      <c r="Z24" s="601"/>
      <c r="AA24" s="601"/>
      <c r="AB24" s="601"/>
      <c r="AC24" s="601"/>
      <c r="AD24" s="601"/>
      <c r="AE24" s="601"/>
      <c r="AF24" s="601"/>
      <c r="AG24" s="601"/>
      <c r="AH24" s="601"/>
      <c r="AI24" s="601"/>
      <c r="AJ24" s="601"/>
      <c r="AK24" s="601"/>
      <c r="AL24" s="601"/>
    </row>
    <row s="4616" customFormat="1" customHeight="1" ht="15">
      <c r="A25" s="429"/>
      <c r="B25" s="429"/>
      <c r="C25" s="162"/>
      <c r="D25" s="1982"/>
      <c r="E25" s="1985"/>
      <c r="F25" s="1981"/>
      <c r="G25" s="427"/>
      <c r="H25" s="163"/>
      <c r="I25" s="586" t="s">
        <v>121</v>
      </c>
      <c r="J25" s="163"/>
      <c r="K25" s="163"/>
      <c r="L25" s="163"/>
      <c r="M25" s="614"/>
      <c r="N25" s="610"/>
      <c r="O25" s="610"/>
      <c r="P25" s="610"/>
      <c r="Q25" s="610"/>
      <c r="R25" s="610"/>
      <c r="S25" s="610"/>
      <c r="T25" s="610"/>
      <c r="U25" s="611"/>
      <c r="V25" s="610"/>
      <c r="W25" s="610"/>
      <c r="X25" s="601"/>
      <c r="Y25" s="601"/>
      <c r="Z25" s="601"/>
      <c r="AA25" s="601"/>
      <c r="AB25" s="601"/>
      <c r="AC25" s="601"/>
      <c r="AD25" s="601"/>
      <c r="AE25" s="601"/>
      <c r="AF25" s="601"/>
      <c r="AG25" s="601"/>
      <c r="AH25" s="601"/>
      <c r="AI25" s="601"/>
      <c r="AJ25" s="601"/>
      <c r="AK25" s="601"/>
      <c r="AL25" s="601"/>
    </row>
    <row s="2665" customFormat="1" customHeight="1" ht="15">
      <c r="U26" s="171"/>
    </row>
    <row s="2665" customFormat="1" customHeight="1" ht="15">
      <c r="A27" s="1856" t="s">
        <v>1135</v>
      </c>
      <c r="B27" s="1856"/>
      <c r="C27" s="1856"/>
      <c r="D27" s="1856"/>
      <c r="E27" s="1856"/>
      <c r="F27" s="1856"/>
      <c r="G27" s="1856"/>
      <c r="H27" s="1856"/>
      <c r="I27" s="1856"/>
      <c r="J27" s="1856"/>
      <c r="K27" s="1856"/>
      <c r="L27" s="1856"/>
      <c r="M27" s="1856"/>
      <c r="N27" s="1856"/>
      <c r="O27" s="1856"/>
      <c r="P27" s="1856"/>
      <c r="Q27" s="1856"/>
      <c r="R27" s="1856"/>
      <c r="S27" s="1856"/>
      <c r="T27" s="1856"/>
      <c r="U27" s="170"/>
      <c r="V27" s="1856"/>
      <c r="W27" s="1856"/>
    </row>
    <row s="2665" customFormat="1" customHeight="1" ht="15">
      <c r="U28" s="171"/>
    </row>
    <row s="4616" customFormat="1" customHeight="1" ht="15">
      <c r="A29" s="429"/>
      <c r="B29" s="429"/>
      <c r="C29" s="162"/>
      <c r="D29" s="1862"/>
      <c r="E29" s="1862"/>
      <c r="F29" s="1862"/>
      <c r="G29" s="2398" t="s">
        <v>445</v>
      </c>
      <c r="H29" s="1957">
        <v>1</v>
      </c>
      <c r="I29" s="2399" t="str">
        <f>IF(U29="","",INDEX(TERRITORY_MR_LIST,MATCH(U29,TERRITORY_LIST_ID,0)))</f>
        <v/>
      </c>
      <c r="J29" s="1981" t="s">
        <v>57</v>
      </c>
      <c r="K29" s="838"/>
      <c r="L29" s="1823" t="s">
        <v>110</v>
      </c>
      <c r="M29" s="609"/>
      <c r="N29" s="610"/>
      <c r="O29" s="610"/>
      <c r="P29" s="610"/>
      <c r="Q29" s="610"/>
      <c r="R29" s="610"/>
      <c r="S29" s="610"/>
      <c r="T29" s="610"/>
      <c r="U29" s="611"/>
      <c r="V29" s="610"/>
      <c r="W29" s="610"/>
      <c r="X29" s="601"/>
      <c r="Y29" s="601" t="s">
        <v>119</v>
      </c>
      <c r="Z29" s="601">
        <v>1705000</v>
      </c>
      <c r="AA29" s="601"/>
      <c r="AB29" s="601"/>
      <c r="AC29" s="601"/>
      <c r="AD29" s="601"/>
      <c r="AE29" s="601"/>
      <c r="AF29" s="601"/>
      <c r="AG29" s="601"/>
      <c r="AH29" s="601"/>
      <c r="AI29" s="601"/>
      <c r="AJ29" s="601"/>
      <c r="AK29" s="601"/>
      <c r="AL29" s="601"/>
    </row>
    <row s="4616" customFormat="1" customHeight="1" ht="15">
      <c r="A30" s="429"/>
      <c r="B30" s="429"/>
      <c r="C30" s="162"/>
      <c r="D30" s="1862"/>
      <c r="E30" s="1862"/>
      <c r="F30" s="1862"/>
      <c r="G30" s="2398"/>
      <c r="H30" s="1957"/>
      <c r="I30" s="2399"/>
      <c r="J30" s="1981"/>
      <c r="K30" s="427"/>
      <c r="L30" s="163"/>
      <c r="M30" s="613" t="s">
        <v>120</v>
      </c>
      <c r="N30" s="610"/>
      <c r="O30" s="610"/>
      <c r="P30" s="610"/>
      <c r="Q30" s="610"/>
      <c r="R30" s="610"/>
      <c r="S30" s="610"/>
      <c r="T30" s="610"/>
      <c r="U30" s="611"/>
      <c r="V30" s="610"/>
      <c r="W30" s="610"/>
      <c r="X30" s="601"/>
      <c r="Y30" s="601"/>
      <c r="Z30" s="601"/>
      <c r="AA30" s="601"/>
      <c r="AB30" s="601"/>
      <c r="AC30" s="601"/>
      <c r="AD30" s="601"/>
      <c r="AE30" s="601"/>
      <c r="AF30" s="601"/>
      <c r="AG30" s="601"/>
      <c r="AH30" s="601"/>
      <c r="AI30" s="601"/>
      <c r="AJ30" s="601"/>
      <c r="AK30" s="601"/>
      <c r="AL30" s="601"/>
    </row>
    <row s="2665" customFormat="1" customHeight="1" ht="15">
      <c r="U31" s="171"/>
    </row>
    <row s="2665" customFormat="1" customHeight="1" ht="15">
      <c r="A32" s="1856" t="s">
        <v>1136</v>
      </c>
      <c r="B32" s="1856"/>
      <c r="C32" s="1856"/>
      <c r="D32" s="1856"/>
      <c r="E32" s="1856"/>
      <c r="F32" s="1856"/>
      <c r="G32" s="1856"/>
      <c r="H32" s="1856"/>
      <c r="I32" s="1856"/>
      <c r="J32" s="1856"/>
      <c r="K32" s="1856"/>
      <c r="L32" s="1856"/>
      <c r="M32" s="1856"/>
      <c r="N32" s="1856"/>
      <c r="O32" s="1856"/>
      <c r="P32" s="1856"/>
      <c r="Q32" s="1856"/>
      <c r="R32" s="1856"/>
      <c r="S32" s="1856"/>
      <c r="T32" s="1856"/>
      <c r="U32" s="170"/>
      <c r="V32" s="1856"/>
      <c r="W32" s="1856"/>
    </row>
    <row s="2665" customFormat="1" customHeight="1" ht="15">
      <c r="U33" s="171"/>
    </row>
    <row s="4616" customFormat="1" customHeight="1" ht="15">
      <c r="A34" s="429"/>
      <c r="B34" s="429"/>
      <c r="C34" s="162"/>
      <c r="D34" s="1862"/>
      <c r="E34" s="1862"/>
      <c r="F34" s="1862"/>
      <c r="G34" s="1862"/>
      <c r="H34" s="1862"/>
      <c r="I34" s="1862"/>
      <c r="J34" s="1862"/>
      <c r="K34" s="1840" t="s">
        <v>445</v>
      </c>
      <c r="L34" s="1769" t="s">
        <v>110</v>
      </c>
      <c r="M34" s="817"/>
      <c r="N34" s="818"/>
      <c r="O34" s="610"/>
      <c r="P34" s="610"/>
      <c r="Q34" s="610"/>
      <c r="R34" s="610"/>
      <c r="S34" s="610"/>
      <c r="T34" s="610"/>
      <c r="U34" s="611"/>
      <c r="V34" s="610"/>
      <c r="W34" s="610"/>
      <c r="X34" s="601"/>
      <c r="Y34" s="601" t="s">
        <v>119</v>
      </c>
      <c r="Z34" s="601">
        <v>1705000</v>
      </c>
      <c r="AA34" s="601"/>
      <c r="AB34" s="601"/>
      <c r="AC34" s="601"/>
      <c r="AD34" s="601"/>
      <c r="AE34" s="601"/>
      <c r="AF34" s="601"/>
      <c r="AG34" s="601"/>
      <c r="AH34" s="601"/>
      <c r="AI34" s="601"/>
      <c r="AJ34" s="601"/>
      <c r="AK34" s="601"/>
      <c r="AL34" s="601"/>
    </row>
    <row s="2665" customFormat="1" customHeight="1" ht="15">
      <c r="U35" s="171"/>
    </row>
    <row s="2665" customFormat="1" customHeight="1" ht="15">
      <c r="U36" s="171"/>
    </row>
    <row s="4600" customFormat="1" customHeight="1" ht="11.25">
      <c r="A37" s="1856" t="s">
        <v>1137</v>
      </c>
    </row>
    <row customHeight="1" ht="11.25"/>
    <row s="3087" customFormat="1" customHeight="1" ht="22.5">
      <c r="A39" s="1832"/>
      <c r="B39" s="463"/>
      <c r="C39" s="865"/>
      <c r="D39" s="446"/>
      <c r="E39" s="866"/>
      <c r="F39" s="1853"/>
      <c r="G39" s="1863"/>
      <c r="H39" s="481"/>
    </row>
    <row customHeight="1" ht="11.25"/>
    <row s="4600" customFormat="1" customHeight="1" ht="11.25">
      <c r="A41" s="1856" t="s">
        <v>1138</v>
      </c>
    </row>
    <row customHeight="1" ht="11.25"/>
    <row s="3087" customFormat="1" customHeight="1" ht="22.5">
      <c r="A43" s="463"/>
      <c r="B43" s="463"/>
      <c r="C43" s="463"/>
      <c r="D43" s="446"/>
      <c r="E43" s="866"/>
      <c r="F43" s="867"/>
      <c r="G43" s="1863"/>
      <c r="H43" s="481"/>
    </row>
    <row r="46" s="4600" customFormat="1" customHeight="1" ht="17.25">
      <c r="A46" s="1856" t="s">
        <v>1139</v>
      </c>
    </row>
    <row r="48" s="3172" customFormat="1" customHeight="1" ht="18.75">
      <c r="A48" s="74"/>
      <c r="B48" s="1864"/>
      <c r="C48" s="1864"/>
      <c r="D48" s="1865"/>
      <c r="E48" s="1850"/>
      <c r="F48" s="874">
        <v>13</v>
      </c>
      <c r="G48" s="873"/>
      <c r="H48" s="799"/>
      <c r="I48" s="797"/>
      <c r="J48" s="526" t="s">
        <v>62</v>
      </c>
      <c r="K48" s="1866" t="s">
        <v>24</v>
      </c>
      <c r="L48" s="74"/>
      <c r="M48" s="1676"/>
      <c r="N48" s="1676"/>
      <c r="O48" s="1676"/>
      <c r="P48" s="522" t="s">
        <v>387</v>
      </c>
      <c r="Q48" s="522" t="s">
        <v>388</v>
      </c>
      <c r="R48" s="523" t="s">
        <v>389</v>
      </c>
      <c r="S48" s="1676" t="s">
        <v>390</v>
      </c>
      <c r="T48" s="1676"/>
      <c r="U48" s="1676"/>
      <c r="V48" s="1676"/>
    </row>
    <row r="50" s="4600" customFormat="1" customHeight="1" ht="11.25">
      <c r="A50" s="1856" t="s">
        <v>1140</v>
      </c>
    </row>
    <row r="52" s="2948" customFormat="1" customHeight="1" ht="14.25">
      <c r="C52" s="1728"/>
      <c r="D52" s="1912"/>
      <c r="E52" s="1818" t="s">
        <v>24</v>
      </c>
      <c r="F52" s="1911"/>
      <c r="G52" s="862"/>
      <c r="H52" s="1819"/>
      <c r="I52" s="1819"/>
      <c r="J52" s="439"/>
      <c r="K52" s="1906"/>
      <c r="L52" s="438"/>
      <c r="M52" s="1906"/>
      <c r="N52" s="439"/>
      <c r="O52" s="1906"/>
      <c r="P52" s="439"/>
      <c r="Q52" s="1906"/>
      <c r="R52" s="439"/>
      <c r="S52" s="860"/>
      <c r="T52" s="1819"/>
      <c r="U52" s="439"/>
      <c r="V52" s="439"/>
      <c r="W52" s="1910"/>
      <c r="X52" s="1819"/>
      <c r="Y52" s="439"/>
      <c r="Z52" s="439"/>
      <c r="AA52" s="1910"/>
      <c r="AB52" s="1819"/>
      <c r="AC52" s="439"/>
      <c r="AD52" s="1910"/>
      <c r="AE52" s="74"/>
      <c r="AF52" s="74"/>
      <c r="AG52" s="74"/>
      <c r="AH52" s="74"/>
      <c r="AJ52" s="1676"/>
      <c r="AK52" s="1676"/>
      <c r="AL52" s="1676"/>
      <c r="AM52" s="1676"/>
      <c r="AN52" s="1676"/>
      <c r="AO52" s="1676"/>
      <c r="AP52" s="1664" t="s">
        <v>376</v>
      </c>
      <c r="AQ52" s="1664" t="s">
        <v>376</v>
      </c>
      <c r="AR52" s="1676"/>
      <c r="AS52" s="1676"/>
    </row>
    <row r="54" s="4600" customFormat="1" customHeight="1" ht="11.25">
      <c r="A54" s="1856" t="s">
        <v>1141</v>
      </c>
    </row>
    <row r="56" s="4488" customFormat="1" customHeight="1" ht="15">
      <c r="A56" s="131" t="s">
        <v>90</v>
      </c>
      <c r="B56" s="111" t="s">
        <v>24</v>
      </c>
      <c r="C56" s="1867"/>
      <c r="D56" s="114"/>
      <c r="E56" s="387"/>
      <c r="F56" s="387"/>
      <c r="G56" s="1844"/>
      <c r="H56" s="1866"/>
      <c r="I56" s="1845"/>
      <c r="K56" s="258"/>
      <c r="L56" s="259"/>
    </row>
    <row r="58" s="4600" customFormat="1" customHeight="1" ht="11.25">
      <c r="A58" s="1856" t="s">
        <v>1142</v>
      </c>
    </row>
    <row r="60" s="2948" customFormat="1" customHeight="1" ht="14.25">
      <c r="A60" s="339"/>
      <c r="B60" s="1168"/>
      <c r="C60" s="377"/>
      <c r="D60" s="1851"/>
      <c r="E60" s="892"/>
      <c r="F60" s="1866"/>
      <c r="G60" s="74"/>
      <c r="I60" s="1664"/>
      <c r="J60" s="1664"/>
    </row>
    <row r="62" s="4600" customFormat="1" customHeight="1" ht="11.25">
      <c r="A62" s="1856" t="s">
        <v>1143</v>
      </c>
    </row>
    <row r="64" s="2948" customFormat="1" customHeight="1" ht="27">
      <c r="A64" s="1174"/>
      <c r="B64" s="1174"/>
      <c r="C64" s="1174"/>
      <c r="D64" s="1168"/>
      <c r="E64" s="1868"/>
      <c r="F64" s="2344"/>
      <c r="G64" s="2345"/>
      <c r="H64" s="2346" t="s">
        <v>62</v>
      </c>
      <c r="I64" s="2348"/>
      <c r="J64" s="2350"/>
      <c r="K64" s="2352"/>
      <c r="L64" s="2355"/>
      <c r="M64" s="2355"/>
      <c r="N64" s="2402"/>
      <c r="O64" s="2402"/>
      <c r="P64" s="2403">
        <f>DATEDIF(DATEVALUE(N64),DATEVALUE(O64),"y")&amp;"г. "&amp;DATEDIF(DATEVALUE(N64),DATEVALUE(O64),"ym")&amp;"мес. "&amp;DATEVALUE(O64)-DATE(YEAR(DATEVALUE(O64)),MONTH(DATEVALUE(O64)),1)&amp;"дн. "</f>
      </c>
      <c r="Q64" s="2357"/>
      <c r="R64" s="2357"/>
      <c r="S64" s="2357"/>
      <c r="T64" s="2350"/>
      <c r="U64" s="2357"/>
      <c r="V64" s="2357"/>
      <c r="W64" s="2357"/>
      <c r="X64" s="2350"/>
      <c r="Y64" s="2400" t="s">
        <v>62</v>
      </c>
      <c r="Z64" s="1849"/>
      <c r="AA64" s="1833">
        <v>1</v>
      </c>
      <c r="AB64" s="1260"/>
      <c r="AD64" s="1676" t="s">
        <v>1144</v>
      </c>
    </row>
    <row s="2948" customFormat="1" customHeight="1" ht="10.5">
      <c r="A65" s="1174"/>
      <c r="B65" s="1174"/>
      <c r="C65" s="1174"/>
      <c r="D65" s="1168"/>
      <c r="E65" s="954"/>
      <c r="F65" s="2344"/>
      <c r="G65" s="2345"/>
      <c r="H65" s="2347"/>
      <c r="I65" s="2349"/>
      <c r="J65" s="2351"/>
      <c r="K65" s="2352"/>
      <c r="L65" s="2355"/>
      <c r="M65" s="2355"/>
      <c r="N65" s="2402"/>
      <c r="O65" s="2402"/>
      <c r="P65" s="2403"/>
      <c r="Q65" s="2357"/>
      <c r="R65" s="2357"/>
      <c r="S65" s="2357"/>
      <c r="T65" s="2351"/>
      <c r="U65" s="2357"/>
      <c r="V65" s="2357"/>
      <c r="W65" s="2357"/>
      <c r="X65" s="2351"/>
      <c r="Y65" s="2401"/>
      <c r="Z65" s="343"/>
      <c r="AA65" s="578"/>
      <c r="AB65" s="658" t="s">
        <v>1145</v>
      </c>
    </row>
    <row r="67" s="4600" customFormat="1" customHeight="1" ht="11.25">
      <c r="A67" s="1856" t="s">
        <v>1146</v>
      </c>
    </row>
    <row r="69" s="2948" customFormat="1" customHeight="1" ht="27">
      <c r="A69" s="1174"/>
      <c r="B69" s="1174"/>
      <c r="C69" s="1174"/>
      <c r="D69" s="1168"/>
      <c r="E69" s="1868"/>
      <c r="F69" s="1838"/>
      <c r="G69" s="1787"/>
      <c r="H69" s="1788"/>
      <c r="I69" s="1789"/>
      <c r="J69" s="1790"/>
      <c r="K69" s="1791"/>
      <c r="L69" s="1792"/>
      <c r="M69" s="1792"/>
      <c r="N69" s="1793"/>
      <c r="O69" s="1793"/>
      <c r="P69" s="1794"/>
      <c r="Q69" s="1795"/>
      <c r="R69" s="1795"/>
      <c r="S69" s="1795"/>
      <c r="T69" s="1790"/>
      <c r="U69" s="1795"/>
      <c r="V69" s="1795"/>
      <c r="W69" s="1795"/>
      <c r="X69" s="1790"/>
      <c r="Y69" s="1788"/>
      <c r="Z69" s="1849"/>
      <c r="AA69" s="1833">
        <v>1</v>
      </c>
      <c r="AB69" s="1260"/>
      <c r="AD69" s="1676" t="s">
        <v>1144</v>
      </c>
    </row>
    <row r="71" s="4600" customFormat="1" customHeight="1" ht="11.25">
      <c r="A71" s="1856" t="s">
        <v>1147</v>
      </c>
    </row>
    <row customHeight="1" ht="17.25"/>
    <row s="2948" customFormat="1" customHeight="1" ht="21">
      <c r="A73" s="1175"/>
      <c r="B73" s="1174"/>
      <c r="C73" s="1174"/>
      <c r="D73" s="1168"/>
      <c r="E73" s="1178"/>
      <c r="F73" s="1130">
        <f>INDEX(IP_MAIN_LIST_NAME_IP,MATCH(A73,IP_MAIN_LIST_IP_ID,0))&amp;" ("&amp;INDEX(IP_MAIN_START_DATE,MATCH(A73,IP_MAIN_LIST_IP_ID,0))&amp;"-"&amp;INDEX(IP_MAIN_END_DATE,MATCH(A73,IP_MAIN_LIST_IP_ID,0))&amp;")"</f>
      </c>
      <c r="G73" s="1131"/>
      <c r="H73" s="1131"/>
      <c r="I73" s="1195"/>
      <c r="J73" s="1195"/>
      <c r="K73" s="1196"/>
      <c r="L73" s="1196"/>
      <c r="M73" s="1196"/>
      <c r="N73" s="1197"/>
      <c r="O73" s="1197"/>
      <c r="P73" s="1197"/>
      <c r="Q73" s="1197"/>
      <c r="R73" s="1197"/>
      <c r="S73" s="1197"/>
      <c r="T73" s="1197"/>
      <c r="U73" s="1197"/>
      <c r="V73" s="1197"/>
      <c r="W73" s="1197"/>
      <c r="X73" s="1197"/>
      <c r="Y73" s="1197"/>
      <c r="Z73" s="1197"/>
      <c r="AA73" s="1197"/>
      <c r="AB73" s="1197"/>
      <c r="AC73" s="1197"/>
      <c r="AD73" s="1197"/>
      <c r="AE73" s="1198"/>
      <c r="AF73" s="1196"/>
      <c r="AG73" s="1196"/>
      <c r="AH73" s="1196"/>
      <c r="AI73" s="1196"/>
      <c r="AJ73" s="1196"/>
      <c r="AK73" s="1196"/>
      <c r="AL73" s="1179"/>
      <c r="AM73" s="1864"/>
      <c r="AN73" s="1864"/>
      <c r="AO73" s="1864"/>
      <c r="AP73" s="1864"/>
      <c r="AQ73" s="1864"/>
      <c r="AR73" s="1864"/>
      <c r="AS73" s="1864"/>
      <c r="AT73" s="1864"/>
      <c r="AU73" s="1864"/>
      <c r="AV73" s="1864"/>
      <c r="AW73" s="1864"/>
      <c r="AX73" s="1864"/>
      <c r="AY73" s="1864"/>
      <c r="AZ73" s="1864"/>
      <c r="BA73" s="1864"/>
      <c r="BB73" s="1864"/>
      <c r="BC73" s="1864"/>
      <c r="BD73" s="1864"/>
      <c r="BE73" s="1864"/>
      <c r="BF73" s="1864"/>
    </row>
    <row s="2948" customFormat="1" customHeight="1" ht="11.25">
      <c r="A74" s="1174"/>
      <c r="B74" s="1174"/>
      <c r="C74" s="1174"/>
      <c r="D74" s="1168"/>
      <c r="E74" s="1178"/>
      <c r="F74" s="2406"/>
      <c r="G74" s="2356"/>
      <c r="H74" s="2356" t="s">
        <v>110</v>
      </c>
      <c r="I74" s="2410"/>
      <c r="J74" s="2334"/>
      <c r="K74" s="2411"/>
      <c r="L74" s="2404" t="s">
        <v>57</v>
      </c>
      <c r="M74" s="1982"/>
      <c r="N74" s="1187"/>
      <c r="O74" s="1186" t="s">
        <v>371</v>
      </c>
      <c r="P74" s="1187"/>
      <c r="Q74" s="1187"/>
      <c r="R74" s="1187"/>
      <c r="S74" s="1187"/>
      <c r="T74" s="1187"/>
      <c r="U74" s="1187"/>
      <c r="V74" s="1187"/>
      <c r="W74" s="1187"/>
      <c r="X74" s="1187"/>
      <c r="Y74" s="1187"/>
      <c r="Z74" s="1187"/>
      <c r="AA74" s="1187"/>
      <c r="AB74" s="1187"/>
      <c r="AC74" s="1187"/>
      <c r="AD74" s="1187"/>
      <c r="AE74" s="1187"/>
      <c r="AF74" s="2408"/>
      <c r="AG74" s="2404"/>
      <c r="AH74" s="2404"/>
      <c r="AI74" s="2408"/>
      <c r="AJ74" s="2404"/>
      <c r="AK74" s="2404"/>
      <c r="AL74" s="1181"/>
      <c r="AM74" s="1864"/>
      <c r="AN74" s="1864"/>
      <c r="AO74" s="1864"/>
      <c r="AP74" s="1864"/>
      <c r="AQ74" s="1864"/>
      <c r="AR74" s="1864"/>
      <c r="AS74" s="1864"/>
      <c r="AT74" s="1864"/>
      <c r="AU74" s="1864"/>
      <c r="AV74" s="1864"/>
      <c r="AW74" s="1864"/>
      <c r="AX74" s="1864"/>
      <c r="AY74" s="1864"/>
      <c r="AZ74" s="1864"/>
      <c r="BA74" s="1864"/>
      <c r="BB74" s="1864"/>
      <c r="BC74" s="1864"/>
      <c r="BD74" s="1864"/>
      <c r="BE74" s="1864"/>
      <c r="BF74" s="1864"/>
    </row>
    <row s="2948" customFormat="1" customHeight="1" ht="11.25">
      <c r="A75" s="1174"/>
      <c r="B75" s="1174"/>
      <c r="C75" s="1174"/>
      <c r="D75" s="1168"/>
      <c r="E75" s="1178"/>
      <c r="F75" s="2406"/>
      <c r="G75" s="2356"/>
      <c r="H75" s="2356"/>
      <c r="I75" s="2410"/>
      <c r="J75" s="2334"/>
      <c r="K75" s="2411"/>
      <c r="L75" s="2404"/>
      <c r="M75" s="1982"/>
      <c r="N75" s="2412"/>
      <c r="O75" s="2369">
        <v>1</v>
      </c>
      <c r="P75" s="2364" t="s">
        <v>57</v>
      </c>
      <c r="Q75" s="2367" t="s">
        <v>24</v>
      </c>
      <c r="R75" s="2367" t="s">
        <v>24</v>
      </c>
      <c r="S75" s="2367" t="s">
        <v>24</v>
      </c>
      <c r="T75" s="2367" t="s">
        <v>24</v>
      </c>
      <c r="U75" s="2367" t="s">
        <v>24</v>
      </c>
      <c r="V75" s="2367" t="s">
        <v>24</v>
      </c>
      <c r="W75" s="2367" t="s">
        <v>24</v>
      </c>
      <c r="X75" s="2367" t="s">
        <v>24</v>
      </c>
      <c r="Y75" s="2367"/>
      <c r="Z75" s="1184"/>
      <c r="AA75" s="1185"/>
      <c r="AB75" s="1185"/>
      <c r="AC75" s="1189"/>
      <c r="AD75" s="1189"/>
      <c r="AE75" s="1190"/>
      <c r="AF75" s="2408"/>
      <c r="AG75" s="2404"/>
      <c r="AH75" s="2404"/>
      <c r="AI75" s="2408"/>
      <c r="AJ75" s="2404"/>
      <c r="AK75" s="2404"/>
      <c r="AL75" s="1181"/>
      <c r="AM75" s="1864"/>
      <c r="AN75" s="1864"/>
      <c r="AO75" s="1864"/>
      <c r="AP75" s="1864"/>
      <c r="AQ75" s="1864"/>
      <c r="AR75" s="1864"/>
      <c r="AS75" s="1864"/>
      <c r="AT75" s="1864"/>
      <c r="AU75" s="1864"/>
      <c r="AV75" s="1864"/>
      <c r="AW75" s="1864"/>
      <c r="AX75" s="1864"/>
      <c r="AY75" s="1864"/>
      <c r="AZ75" s="1864"/>
      <c r="BA75" s="1864"/>
      <c r="BB75" s="1864"/>
      <c r="BC75" s="1864"/>
      <c r="BD75" s="1864"/>
      <c r="BE75" s="1864"/>
      <c r="BF75" s="1864"/>
    </row>
    <row s="2948" customFormat="1" customHeight="1" ht="11.25">
      <c r="A76" s="1174"/>
      <c r="B76" s="1174"/>
      <c r="C76" s="1174"/>
      <c r="D76" s="1168"/>
      <c r="E76" s="1178"/>
      <c r="F76" s="2406"/>
      <c r="G76" s="2356"/>
      <c r="H76" s="2356"/>
      <c r="I76" s="2410"/>
      <c r="J76" s="2334"/>
      <c r="K76" s="2411"/>
      <c r="L76" s="2404"/>
      <c r="M76" s="1982"/>
      <c r="N76" s="2412"/>
      <c r="O76" s="2369"/>
      <c r="P76" s="2365"/>
      <c r="Q76" s="2367"/>
      <c r="R76" s="2367"/>
      <c r="S76" s="2409"/>
      <c r="T76" s="2367"/>
      <c r="U76" s="2367"/>
      <c r="V76" s="2367"/>
      <c r="W76" s="2367"/>
      <c r="X76" s="2367"/>
      <c r="Y76" s="2367"/>
      <c r="Z76" s="1869"/>
      <c r="AA76" s="1835">
        <v>1</v>
      </c>
      <c r="AB76" s="1188"/>
      <c r="AC76" s="1177"/>
      <c r="AD76" s="1188">
        <f>AB76</f>
        <v>0</v>
      </c>
      <c r="AE76" s="1177"/>
      <c r="AF76" s="2408"/>
      <c r="AG76" s="2404"/>
      <c r="AH76" s="2404"/>
      <c r="AI76" s="2408"/>
      <c r="AJ76" s="2404"/>
      <c r="AK76" s="2404"/>
      <c r="AL76" s="1181"/>
      <c r="AM76" s="1864"/>
      <c r="AN76" s="1864"/>
      <c r="AO76" s="1864"/>
      <c r="AP76" s="1864"/>
      <c r="AQ76" s="1864"/>
      <c r="AR76" s="1864"/>
      <c r="AS76" s="1864"/>
      <c r="AT76" s="1864"/>
      <c r="AU76" s="1864"/>
      <c r="AV76" s="1864"/>
      <c r="AW76" s="1864"/>
      <c r="AX76" s="1864"/>
      <c r="AY76" s="1864"/>
      <c r="AZ76" s="1864"/>
      <c r="BA76" s="1864"/>
      <c r="BB76" s="1864"/>
      <c r="BC76" s="1864"/>
      <c r="BD76" s="1864"/>
      <c r="BE76" s="1864"/>
      <c r="BF76" s="1864"/>
    </row>
    <row s="2948" customFormat="1" customHeight="1" ht="11.25">
      <c r="A77" s="1174"/>
      <c r="B77" s="1174"/>
      <c r="C77" s="1174"/>
      <c r="D77" s="1168"/>
      <c r="E77" s="1178"/>
      <c r="F77" s="2406"/>
      <c r="G77" s="2356"/>
      <c r="H77" s="2356"/>
      <c r="I77" s="2410"/>
      <c r="J77" s="2334"/>
      <c r="K77" s="2411"/>
      <c r="L77" s="2404"/>
      <c r="M77" s="1982"/>
      <c r="N77" s="2412"/>
      <c r="O77" s="2369"/>
      <c r="P77" s="2366"/>
      <c r="Q77" s="2367"/>
      <c r="R77" s="2367"/>
      <c r="S77" s="2409"/>
      <c r="T77" s="2367"/>
      <c r="U77" s="2367"/>
      <c r="V77" s="2367"/>
      <c r="W77" s="2367"/>
      <c r="X77" s="2367"/>
      <c r="Y77" s="2367"/>
      <c r="Z77" s="1184"/>
      <c r="AA77" s="1185"/>
      <c r="AB77" s="1259" t="s">
        <v>1148</v>
      </c>
      <c r="AC77" s="1189"/>
      <c r="AD77" s="1189"/>
      <c r="AE77" s="1191"/>
      <c r="AF77" s="2408"/>
      <c r="AG77" s="2404"/>
      <c r="AH77" s="2404"/>
      <c r="AI77" s="2408"/>
      <c r="AJ77" s="2404"/>
      <c r="AK77" s="2404"/>
      <c r="AL77" s="1181"/>
      <c r="AM77" s="1864"/>
      <c r="AN77" s="1864"/>
      <c r="AO77" s="1864"/>
      <c r="AP77" s="1864"/>
      <c r="AQ77" s="1864"/>
      <c r="AR77" s="1864"/>
      <c r="AS77" s="1864"/>
      <c r="AT77" s="1864"/>
      <c r="AU77" s="1864"/>
      <c r="AV77" s="1864"/>
      <c r="AW77" s="1864"/>
      <c r="AX77" s="1864"/>
      <c r="AY77" s="1864"/>
      <c r="AZ77" s="1864"/>
      <c r="BA77" s="1864"/>
      <c r="BB77" s="1864"/>
      <c r="BC77" s="1864"/>
      <c r="BD77" s="1864"/>
      <c r="BE77" s="1864"/>
      <c r="BF77" s="1864"/>
    </row>
    <row s="2948" customFormat="1" customHeight="1" ht="11.25">
      <c r="A78" s="1174"/>
      <c r="B78" s="1174"/>
      <c r="C78" s="1174"/>
      <c r="D78" s="1168"/>
      <c r="E78" s="1178"/>
      <c r="F78" s="2406"/>
      <c r="G78" s="2356"/>
      <c r="H78" s="2356"/>
      <c r="I78" s="2410"/>
      <c r="J78" s="2334"/>
      <c r="K78" s="2411"/>
      <c r="L78" s="2404"/>
      <c r="M78" s="1982"/>
      <c r="N78" s="1185"/>
      <c r="O78" s="1185"/>
      <c r="P78" s="1176" t="s">
        <v>1149</v>
      </c>
      <c r="Q78" s="1185"/>
      <c r="R78" s="1185"/>
      <c r="S78" s="1185"/>
      <c r="T78" s="1185"/>
      <c r="U78" s="1185"/>
      <c r="V78" s="1185"/>
      <c r="W78" s="1185"/>
      <c r="X78" s="1185"/>
      <c r="Y78" s="1185"/>
      <c r="Z78" s="1185"/>
      <c r="AA78" s="1185"/>
      <c r="AB78" s="1185"/>
      <c r="AC78" s="1185"/>
      <c r="AD78" s="1185"/>
      <c r="AE78" s="1192"/>
      <c r="AF78" s="2408"/>
      <c r="AG78" s="2404"/>
      <c r="AH78" s="2404"/>
      <c r="AI78" s="2408"/>
      <c r="AJ78" s="2404"/>
      <c r="AK78" s="2404"/>
      <c r="AL78" s="1181"/>
      <c r="AM78" s="1864"/>
      <c r="AN78" s="1864"/>
      <c r="AO78" s="1864"/>
      <c r="AP78" s="1864"/>
      <c r="AQ78" s="1864"/>
      <c r="AR78" s="1864"/>
      <c r="AS78" s="1864"/>
      <c r="AT78" s="1864"/>
      <c r="AU78" s="1864"/>
      <c r="AV78" s="1864"/>
      <c r="AW78" s="1864"/>
      <c r="AX78" s="1864"/>
      <c r="AY78" s="1864"/>
      <c r="AZ78" s="1864"/>
      <c r="BA78" s="1864"/>
      <c r="BB78" s="1864"/>
      <c r="BC78" s="1864"/>
      <c r="BD78" s="1864"/>
      <c r="BE78" s="1864"/>
      <c r="BF78" s="1864"/>
    </row>
    <row s="2948" customFormat="1" customHeight="1" ht="12">
      <c r="A79" s="1174"/>
      <c r="B79" s="1174"/>
      <c r="C79" s="1174"/>
      <c r="D79" s="1168"/>
      <c r="E79" s="1178"/>
      <c r="F79" s="2407"/>
      <c r="G79" s="1200"/>
      <c r="H79" s="1200"/>
      <c r="I79" s="2405" t="s">
        <v>1150</v>
      </c>
      <c r="J79" s="2405"/>
      <c r="K79" s="2405"/>
      <c r="L79" s="1182"/>
      <c r="M79" s="1182"/>
      <c r="N79" s="1183"/>
      <c r="O79" s="1183"/>
      <c r="P79" s="1183"/>
      <c r="Q79" s="1183"/>
      <c r="R79" s="1183"/>
      <c r="S79" s="1183"/>
      <c r="T79" s="1183"/>
      <c r="U79" s="1183"/>
      <c r="V79" s="1183"/>
      <c r="W79" s="1183"/>
      <c r="X79" s="1183"/>
      <c r="Y79" s="1183"/>
      <c r="Z79" s="1183"/>
      <c r="AA79" s="1183"/>
      <c r="AB79" s="1183"/>
      <c r="AC79" s="1183"/>
      <c r="AD79" s="1183"/>
      <c r="AE79" s="1183"/>
      <c r="AF79" s="1183"/>
      <c r="AG79" s="1182"/>
      <c r="AH79" s="1182"/>
      <c r="AI79" s="1183"/>
      <c r="AJ79" s="1182"/>
      <c r="AK79" s="1193"/>
      <c r="AL79" s="1181"/>
      <c r="AM79" s="1864"/>
      <c r="AN79" s="1864"/>
      <c r="AO79" s="1864"/>
      <c r="AP79" s="1864"/>
      <c r="AQ79" s="1864"/>
      <c r="AR79" s="1864"/>
      <c r="AS79" s="1864"/>
      <c r="AT79" s="1864"/>
      <c r="AU79" s="1864"/>
      <c r="AV79" s="1864"/>
      <c r="AW79" s="1864"/>
      <c r="AX79" s="1864"/>
      <c r="AY79" s="1864"/>
      <c r="AZ79" s="1864"/>
      <c r="BA79" s="1864"/>
      <c r="BB79" s="1864"/>
      <c r="BC79" s="1864"/>
      <c r="BD79" s="1864"/>
      <c r="BE79" s="1864"/>
      <c r="BF79" s="1864"/>
    </row>
    <row r="81" s="4600" customFormat="1" customHeight="1" ht="11.25">
      <c r="A81" s="1856" t="s">
        <v>1151</v>
      </c>
    </row>
    <row r="83" s="2948" customFormat="1" customHeight="1" ht="11.25">
      <c r="A83" s="1174"/>
      <c r="B83" s="1174"/>
      <c r="C83" s="1174"/>
      <c r="D83" s="1168"/>
      <c r="E83" s="1178"/>
      <c r="F83" s="1870"/>
      <c r="G83" s="1871"/>
      <c r="H83" s="1871"/>
      <c r="I83" s="1804"/>
      <c r="J83" s="1804"/>
      <c r="K83" s="1872"/>
      <c r="L83" s="1804"/>
      <c r="M83" s="1871"/>
      <c r="N83" s="2368"/>
      <c r="O83" s="2369">
        <v>1</v>
      </c>
      <c r="P83" s="2364" t="s">
        <v>57</v>
      </c>
      <c r="Q83" s="2367" t="s">
        <v>24</v>
      </c>
      <c r="R83" s="2367" t="s">
        <v>24</v>
      </c>
      <c r="S83" s="2367" t="s">
        <v>24</v>
      </c>
      <c r="T83" s="2367" t="s">
        <v>24</v>
      </c>
      <c r="U83" s="2367" t="s">
        <v>24</v>
      </c>
      <c r="V83" s="2367" t="s">
        <v>24</v>
      </c>
      <c r="W83" s="2367" t="s">
        <v>24</v>
      </c>
      <c r="X83" s="2367" t="s">
        <v>24</v>
      </c>
      <c r="Y83" s="2367"/>
      <c r="Z83" s="1184"/>
      <c r="AA83" s="1185"/>
      <c r="AB83" s="1185"/>
      <c r="AC83" s="1189"/>
      <c r="AD83" s="1189"/>
      <c r="AE83" s="1189"/>
      <c r="AF83" s="1873"/>
      <c r="AG83" s="1799"/>
      <c r="AH83" s="1799"/>
      <c r="AI83" s="1873"/>
      <c r="AJ83" s="1799"/>
      <c r="AK83" s="1799"/>
      <c r="AL83" s="1181"/>
      <c r="AM83" s="1864"/>
      <c r="AN83" s="1864"/>
      <c r="AO83" s="1864"/>
      <c r="AP83" s="1864"/>
      <c r="AQ83" s="1864"/>
      <c r="AR83" s="1864"/>
      <c r="AS83" s="1864"/>
      <c r="AT83" s="1864"/>
      <c r="AU83" s="1864"/>
      <c r="AV83" s="1864"/>
      <c r="AW83" s="1864"/>
      <c r="AX83" s="1864"/>
      <c r="AY83" s="1864"/>
      <c r="AZ83" s="1864"/>
      <c r="BA83" s="1864"/>
      <c r="BB83" s="1864"/>
      <c r="BC83" s="1864"/>
      <c r="BD83" s="1864"/>
      <c r="BE83" s="1864"/>
      <c r="BF83" s="1864"/>
    </row>
    <row s="2948" customFormat="1" customHeight="1" ht="11.25">
      <c r="A84" s="1174"/>
      <c r="B84" s="1174"/>
      <c r="C84" s="1174"/>
      <c r="D84" s="1168"/>
      <c r="E84" s="1178"/>
      <c r="F84" s="1870"/>
      <c r="G84" s="1871"/>
      <c r="H84" s="1871"/>
      <c r="I84" s="1805"/>
      <c r="J84" s="1805"/>
      <c r="K84" s="1872"/>
      <c r="L84" s="1805"/>
      <c r="M84" s="1871"/>
      <c r="N84" s="2368"/>
      <c r="O84" s="2369"/>
      <c r="P84" s="2365"/>
      <c r="Q84" s="2367"/>
      <c r="R84" s="2367"/>
      <c r="S84" s="2409"/>
      <c r="T84" s="2367"/>
      <c r="U84" s="2367"/>
      <c r="V84" s="2367"/>
      <c r="W84" s="2367"/>
      <c r="X84" s="2367"/>
      <c r="Y84" s="2367"/>
      <c r="Z84" s="1869"/>
      <c r="AA84" s="1835">
        <v>1</v>
      </c>
      <c r="AB84" s="1188"/>
      <c r="AC84" s="1177"/>
      <c r="AD84" s="1188">
        <f>AB84</f>
        <v>0</v>
      </c>
      <c r="AE84" s="730"/>
      <c r="AF84" s="1872"/>
      <c r="AG84" s="1799"/>
      <c r="AH84" s="1799"/>
      <c r="AI84" s="1872"/>
      <c r="AJ84" s="1799"/>
      <c r="AK84" s="1799"/>
      <c r="AL84" s="1181"/>
      <c r="AM84" s="1864"/>
      <c r="AN84" s="1864"/>
      <c r="AO84" s="1864"/>
      <c r="AP84" s="1864"/>
      <c r="AQ84" s="1864"/>
      <c r="AR84" s="1864"/>
      <c r="AS84" s="1864"/>
      <c r="AT84" s="1864"/>
      <c r="AU84" s="1864"/>
      <c r="AV84" s="1864"/>
      <c r="AW84" s="1864"/>
      <c r="AX84" s="1864"/>
      <c r="AY84" s="1864"/>
      <c r="AZ84" s="1864"/>
      <c r="BA84" s="1864"/>
      <c r="BB84" s="1864"/>
      <c r="BC84" s="1864"/>
      <c r="BD84" s="1864"/>
      <c r="BE84" s="1864"/>
      <c r="BF84" s="1864"/>
    </row>
    <row s="2948" customFormat="1" customHeight="1" ht="11.25">
      <c r="A85" s="1174"/>
      <c r="B85" s="1174"/>
      <c r="C85" s="1174"/>
      <c r="D85" s="1168"/>
      <c r="E85" s="1178"/>
      <c r="F85" s="1870"/>
      <c r="G85" s="1871"/>
      <c r="H85" s="1871"/>
      <c r="I85" s="1806"/>
      <c r="J85" s="1806"/>
      <c r="K85" s="1872"/>
      <c r="L85" s="1806"/>
      <c r="M85" s="1871"/>
      <c r="N85" s="2368"/>
      <c r="O85" s="2369"/>
      <c r="P85" s="2366"/>
      <c r="Q85" s="2367"/>
      <c r="R85" s="2367"/>
      <c r="S85" s="2409"/>
      <c r="T85" s="2367"/>
      <c r="U85" s="2367"/>
      <c r="V85" s="2367"/>
      <c r="W85" s="2367"/>
      <c r="X85" s="2367"/>
      <c r="Y85" s="2367"/>
      <c r="Z85" s="1184"/>
      <c r="AA85" s="1185"/>
      <c r="AB85" s="1259" t="s">
        <v>1148</v>
      </c>
      <c r="AC85" s="1189"/>
      <c r="AD85" s="1189"/>
      <c r="AE85" s="1189"/>
      <c r="AF85" s="1874"/>
      <c r="AG85" s="1799"/>
      <c r="AH85" s="1799"/>
      <c r="AI85" s="1874"/>
      <c r="AJ85" s="1799"/>
      <c r="AK85" s="1799"/>
      <c r="AL85" s="1181"/>
      <c r="AM85" s="1864"/>
      <c r="AN85" s="1864"/>
      <c r="AO85" s="1864"/>
      <c r="AP85" s="1864"/>
      <c r="AQ85" s="1864"/>
      <c r="AR85" s="1864"/>
      <c r="AS85" s="1864"/>
      <c r="AT85" s="1864"/>
      <c r="AU85" s="1864"/>
      <c r="AV85" s="1864"/>
      <c r="AW85" s="1864"/>
      <c r="AX85" s="1864"/>
      <c r="AY85" s="1864"/>
      <c r="AZ85" s="1864"/>
      <c r="BA85" s="1864"/>
      <c r="BB85" s="1864"/>
      <c r="BC85" s="1864"/>
      <c r="BD85" s="1864"/>
      <c r="BE85" s="1864"/>
      <c r="BF85" s="1864"/>
    </row>
    <row r="87" s="4600" customFormat="1" customHeight="1" ht="11.25">
      <c r="A87" s="1856" t="s">
        <v>1152</v>
      </c>
    </row>
    <row r="89" s="2948" customFormat="1" customHeight="1" ht="11.25">
      <c r="A89" s="1174"/>
      <c r="B89" s="1174"/>
      <c r="C89" s="1174"/>
      <c r="D89" s="1168"/>
      <c r="E89" s="1178"/>
      <c r="F89" s="1871"/>
      <c r="G89" s="1871"/>
      <c r="H89" s="1871"/>
      <c r="I89" s="1871"/>
      <c r="J89" s="1871"/>
      <c r="K89" s="1871"/>
      <c r="L89" s="1871"/>
      <c r="M89" s="1871"/>
      <c r="N89" s="1871"/>
      <c r="O89" s="1871"/>
      <c r="P89" s="1871"/>
      <c r="Q89" s="1871"/>
      <c r="R89" s="1871"/>
      <c r="S89" s="1871"/>
      <c r="T89" s="1871"/>
      <c r="U89" s="1871"/>
      <c r="V89" s="1871"/>
      <c r="W89" s="1871"/>
      <c r="X89" s="1871"/>
      <c r="Y89" s="1871"/>
      <c r="Z89" s="1875"/>
      <c r="AA89" s="1855">
        <v>1</v>
      </c>
      <c r="AB89" s="1188"/>
      <c r="AC89" s="1177"/>
      <c r="AD89" s="1188">
        <f>AB89</f>
        <v>0</v>
      </c>
      <c r="AE89" s="1177"/>
      <c r="AF89" s="1872"/>
      <c r="AG89" s="1799"/>
      <c r="AH89" s="1799"/>
      <c r="AI89" s="1872"/>
      <c r="AJ89" s="1799"/>
      <c r="AK89" s="1799"/>
      <c r="AL89" s="1181"/>
      <c r="AM89" s="1864"/>
      <c r="AN89" s="1864"/>
      <c r="AO89" s="1864"/>
      <c r="AP89" s="1864"/>
      <c r="AQ89" s="1864"/>
      <c r="AR89" s="1864"/>
      <c r="AS89" s="1864"/>
      <c r="AT89" s="1864"/>
      <c r="AU89" s="1864"/>
      <c r="AV89" s="1864"/>
      <c r="AW89" s="1864"/>
      <c r="AX89" s="1864"/>
      <c r="AY89" s="1864"/>
      <c r="AZ89" s="1864"/>
      <c r="BA89" s="1864"/>
      <c r="BB89" s="1864"/>
      <c r="BC89" s="1864"/>
      <c r="BD89" s="1864"/>
      <c r="BE89" s="1864"/>
      <c r="BF89" s="1864"/>
    </row>
    <row r="91" s="4600" customFormat="1" customHeight="1" ht="11.25">
      <c r="A91" s="1856" t="s">
        <v>1153</v>
      </c>
    </row>
    <row r="93" s="2948" customFormat="1" customHeight="1" ht="11.25">
      <c r="A93" s="1174"/>
      <c r="B93" s="1174"/>
      <c r="C93" s="1174"/>
      <c r="D93" s="1168"/>
      <c r="E93" s="1178"/>
      <c r="F93" s="1870"/>
      <c r="G93" s="1871"/>
      <c r="H93" s="2356" t="s">
        <v>110</v>
      </c>
      <c r="I93" s="2410"/>
      <c r="J93" s="2334"/>
      <c r="K93" s="2411"/>
      <c r="L93" s="2404" t="s">
        <v>57</v>
      </c>
      <c r="M93" s="1982"/>
      <c r="N93" s="1187"/>
      <c r="O93" s="1186" t="s">
        <v>371</v>
      </c>
      <c r="P93" s="1187"/>
      <c r="Q93" s="1187"/>
      <c r="R93" s="1187"/>
      <c r="S93" s="1187"/>
      <c r="T93" s="1187"/>
      <c r="U93" s="1187"/>
      <c r="V93" s="1187"/>
      <c r="W93" s="1187"/>
      <c r="X93" s="1187"/>
      <c r="Y93" s="1187"/>
      <c r="Z93" s="1187"/>
      <c r="AA93" s="1187"/>
      <c r="AB93" s="1187"/>
      <c r="AC93" s="1187"/>
      <c r="AD93" s="1187"/>
      <c r="AE93" s="1187"/>
      <c r="AF93" s="2408"/>
      <c r="AG93" s="2404"/>
      <c r="AH93" s="2404"/>
      <c r="AI93" s="2408"/>
      <c r="AJ93" s="2404"/>
      <c r="AK93" s="2404"/>
      <c r="AL93" s="1181"/>
      <c r="AM93" s="1864"/>
      <c r="AN93" s="1864"/>
      <c r="AO93" s="1864"/>
      <c r="AP93" s="1864"/>
      <c r="AQ93" s="1864"/>
      <c r="AR93" s="1864"/>
      <c r="AS93" s="1864"/>
      <c r="AT93" s="1864"/>
      <c r="AU93" s="1864"/>
      <c r="AV93" s="1864"/>
      <c r="AW93" s="1864"/>
      <c r="AX93" s="1864"/>
      <c r="AY93" s="1864"/>
      <c r="AZ93" s="1864"/>
      <c r="BA93" s="1864"/>
      <c r="BB93" s="1864"/>
      <c r="BC93" s="1864"/>
      <c r="BD93" s="1864"/>
      <c r="BE93" s="1864"/>
      <c r="BF93" s="1864"/>
    </row>
    <row s="2948" customFormat="1" customHeight="1" ht="11.25">
      <c r="A94" s="1174"/>
      <c r="B94" s="1174"/>
      <c r="C94" s="1174"/>
      <c r="D94" s="1168"/>
      <c r="E94" s="1178"/>
      <c r="F94" s="1870"/>
      <c r="G94" s="1871"/>
      <c r="H94" s="2356"/>
      <c r="I94" s="2410"/>
      <c r="J94" s="2334"/>
      <c r="K94" s="2411"/>
      <c r="L94" s="2404"/>
      <c r="M94" s="1982"/>
      <c r="N94" s="2412"/>
      <c r="O94" s="2369">
        <v>1</v>
      </c>
      <c r="P94" s="2364" t="s">
        <v>57</v>
      </c>
      <c r="Q94" s="2367" t="s">
        <v>24</v>
      </c>
      <c r="R94" s="2367" t="s">
        <v>24</v>
      </c>
      <c r="S94" s="2367" t="s">
        <v>24</v>
      </c>
      <c r="T94" s="2367" t="s">
        <v>24</v>
      </c>
      <c r="U94" s="2367" t="s">
        <v>24</v>
      </c>
      <c r="V94" s="2367" t="s">
        <v>24</v>
      </c>
      <c r="W94" s="2367" t="s">
        <v>24</v>
      </c>
      <c r="X94" s="2367" t="s">
        <v>24</v>
      </c>
      <c r="Y94" s="2367"/>
      <c r="Z94" s="1184"/>
      <c r="AA94" s="1185"/>
      <c r="AB94" s="1185"/>
      <c r="AC94" s="1189"/>
      <c r="AD94" s="1189"/>
      <c r="AE94" s="1190"/>
      <c r="AF94" s="2408"/>
      <c r="AG94" s="2404"/>
      <c r="AH94" s="2404"/>
      <c r="AI94" s="2408"/>
      <c r="AJ94" s="2404"/>
      <c r="AK94" s="2404"/>
      <c r="AL94" s="1181"/>
      <c r="AM94" s="1864"/>
      <c r="AN94" s="1864"/>
      <c r="AO94" s="1864"/>
      <c r="AP94" s="1864"/>
      <c r="AQ94" s="1864"/>
      <c r="AR94" s="1864"/>
      <c r="AS94" s="1864"/>
      <c r="AT94" s="1864"/>
      <c r="AU94" s="1864"/>
      <c r="AV94" s="1864"/>
      <c r="AW94" s="1864"/>
      <c r="AX94" s="1864"/>
      <c r="AY94" s="1864"/>
      <c r="AZ94" s="1864"/>
      <c r="BA94" s="1864"/>
      <c r="BB94" s="1864"/>
      <c r="BC94" s="1864"/>
      <c r="BD94" s="1864"/>
      <c r="BE94" s="1864"/>
      <c r="BF94" s="1864"/>
    </row>
    <row s="2948" customFormat="1" customHeight="1" ht="11.25">
      <c r="A95" s="1174"/>
      <c r="B95" s="1174"/>
      <c r="C95" s="1174"/>
      <c r="D95" s="1168"/>
      <c r="E95" s="1178"/>
      <c r="F95" s="1870"/>
      <c r="G95" s="1871"/>
      <c r="H95" s="2356"/>
      <c r="I95" s="2410"/>
      <c r="J95" s="2334"/>
      <c r="K95" s="2411"/>
      <c r="L95" s="2404"/>
      <c r="M95" s="1982"/>
      <c r="N95" s="2412"/>
      <c r="O95" s="2369"/>
      <c r="P95" s="2365"/>
      <c r="Q95" s="2367"/>
      <c r="R95" s="2367"/>
      <c r="S95" s="2409"/>
      <c r="T95" s="2367"/>
      <c r="U95" s="2367"/>
      <c r="V95" s="2367"/>
      <c r="W95" s="2367"/>
      <c r="X95" s="2367"/>
      <c r="Y95" s="2367"/>
      <c r="Z95" s="1869"/>
      <c r="AA95" s="1835">
        <v>1</v>
      </c>
      <c r="AB95" s="1188"/>
      <c r="AC95" s="1177"/>
      <c r="AD95" s="1188">
        <f>AB95</f>
        <v>0</v>
      </c>
      <c r="AE95" s="1177"/>
      <c r="AF95" s="2408"/>
      <c r="AG95" s="2404"/>
      <c r="AH95" s="2404"/>
      <c r="AI95" s="2408"/>
      <c r="AJ95" s="2404"/>
      <c r="AK95" s="2404"/>
      <c r="AL95" s="1181"/>
      <c r="AM95" s="1864"/>
      <c r="AN95" s="1864"/>
      <c r="AO95" s="1864"/>
      <c r="AP95" s="1864"/>
      <c r="AQ95" s="1864"/>
      <c r="AR95" s="1864"/>
      <c r="AS95" s="1864"/>
      <c r="AT95" s="1864"/>
      <c r="AU95" s="1864"/>
      <c r="AV95" s="1864"/>
      <c r="AW95" s="1864"/>
      <c r="AX95" s="1864"/>
      <c r="AY95" s="1864"/>
      <c r="AZ95" s="1864"/>
      <c r="BA95" s="1864"/>
      <c r="BB95" s="1864"/>
      <c r="BC95" s="1864"/>
      <c r="BD95" s="1864"/>
      <c r="BE95" s="1864"/>
      <c r="BF95" s="1864"/>
    </row>
    <row s="2948" customFormat="1" customHeight="1" ht="11.25">
      <c r="A96" s="1174"/>
      <c r="B96" s="1174"/>
      <c r="C96" s="1174"/>
      <c r="D96" s="1168"/>
      <c r="E96" s="1178"/>
      <c r="F96" s="1870"/>
      <c r="G96" s="1871"/>
      <c r="H96" s="2356"/>
      <c r="I96" s="2410"/>
      <c r="J96" s="2334"/>
      <c r="K96" s="2411"/>
      <c r="L96" s="2404"/>
      <c r="M96" s="1982"/>
      <c r="N96" s="2412"/>
      <c r="O96" s="2369"/>
      <c r="P96" s="2366"/>
      <c r="Q96" s="2367"/>
      <c r="R96" s="2367"/>
      <c r="S96" s="2409"/>
      <c r="T96" s="2367"/>
      <c r="U96" s="2367"/>
      <c r="V96" s="2367"/>
      <c r="W96" s="2367"/>
      <c r="X96" s="2367"/>
      <c r="Y96" s="2367"/>
      <c r="Z96" s="1184"/>
      <c r="AA96" s="1185"/>
      <c r="AB96" s="1259" t="s">
        <v>1148</v>
      </c>
      <c r="AC96" s="1189"/>
      <c r="AD96" s="1189"/>
      <c r="AE96" s="1191"/>
      <c r="AF96" s="2408"/>
      <c r="AG96" s="2404"/>
      <c r="AH96" s="2404"/>
      <c r="AI96" s="2408"/>
      <c r="AJ96" s="2404"/>
      <c r="AK96" s="2404"/>
      <c r="AL96" s="1181"/>
      <c r="AM96" s="1864"/>
      <c r="AN96" s="1864"/>
      <c r="AO96" s="1864"/>
      <c r="AP96" s="1864"/>
      <c r="AQ96" s="1864"/>
      <c r="AR96" s="1864"/>
      <c r="AS96" s="1864"/>
      <c r="AT96" s="1864"/>
      <c r="AU96" s="1864"/>
      <c r="AV96" s="1864"/>
      <c r="AW96" s="1864"/>
      <c r="AX96" s="1864"/>
      <c r="AY96" s="1864"/>
      <c r="AZ96" s="1864"/>
      <c r="BA96" s="1864"/>
      <c r="BB96" s="1864"/>
      <c r="BC96" s="1864"/>
      <c r="BD96" s="1864"/>
      <c r="BE96" s="1864"/>
      <c r="BF96" s="1864"/>
    </row>
    <row s="2948" customFormat="1" customHeight="1" ht="11.25">
      <c r="A97" s="1174"/>
      <c r="B97" s="1174"/>
      <c r="C97" s="1174"/>
      <c r="D97" s="1168"/>
      <c r="E97" s="1178"/>
      <c r="F97" s="1870"/>
      <c r="G97" s="1871"/>
      <c r="H97" s="2356"/>
      <c r="I97" s="2410"/>
      <c r="J97" s="2334"/>
      <c r="K97" s="2411"/>
      <c r="L97" s="2404"/>
      <c r="M97" s="1982"/>
      <c r="N97" s="1185"/>
      <c r="O97" s="1185"/>
      <c r="P97" s="1176" t="s">
        <v>1149</v>
      </c>
      <c r="Q97" s="1185"/>
      <c r="R97" s="1185"/>
      <c r="S97" s="1185"/>
      <c r="T97" s="1185"/>
      <c r="U97" s="1185"/>
      <c r="V97" s="1185"/>
      <c r="W97" s="1185"/>
      <c r="X97" s="1185"/>
      <c r="Y97" s="1185"/>
      <c r="Z97" s="1185"/>
      <c r="AA97" s="1185"/>
      <c r="AB97" s="1185"/>
      <c r="AC97" s="1185"/>
      <c r="AD97" s="1185"/>
      <c r="AE97" s="1192"/>
      <c r="AF97" s="2408"/>
      <c r="AG97" s="2404"/>
      <c r="AH97" s="2404"/>
      <c r="AI97" s="2408"/>
      <c r="AJ97" s="2404"/>
      <c r="AK97" s="2404"/>
      <c r="AL97" s="1181"/>
      <c r="AM97" s="1864"/>
      <c r="AN97" s="1864"/>
      <c r="AO97" s="1864"/>
      <c r="AP97" s="1864"/>
      <c r="AQ97" s="1864"/>
      <c r="AR97" s="1864"/>
      <c r="AS97" s="1864"/>
      <c r="AT97" s="1864"/>
      <c r="AU97" s="1864"/>
      <c r="AV97" s="1864"/>
      <c r="AW97" s="1864"/>
      <c r="AX97" s="1864"/>
      <c r="AY97" s="1864"/>
      <c r="AZ97" s="1864"/>
      <c r="BA97" s="1864"/>
      <c r="BB97" s="1864"/>
      <c r="BC97" s="1864"/>
      <c r="BD97" s="1864"/>
      <c r="BE97" s="1864"/>
      <c r="BF97" s="1864"/>
    </row>
    <row r="99" s="4600" customFormat="1" customHeight="1" ht="11.25">
      <c r="A99" s="1856" t="s">
        <v>1154</v>
      </c>
    </row>
    <row customHeight="1" ht="17.25"/>
    <row s="4257" customFormat="1" customHeight="1" ht="21">
      <c r="A101" s="1175"/>
      <c r="B101" s="946"/>
      <c r="D101" s="930"/>
      <c r="E101" s="945" t="s">
        <v>24</v>
      </c>
      <c r="F101" s="1129">
        <f>INDEX(IP_MAIN_LIST_NAME_IP,MATCH(A101,IP_MAIN_LIST_IP_ID,0))&amp;" ("&amp;INDEX(IP_MAIN_START_DATE,MATCH(A101,IP_MAIN_LIST_IP_ID,0))&amp;"-"&amp;INDEX(IP_MAIN_END_DATE,MATCH(A101,IP_MAIN_LIST_IP_ID,0))&amp;")"</f>
      </c>
      <c r="G101" s="1213"/>
      <c r="H101" s="1214"/>
      <c r="I101" s="1214"/>
      <c r="J101" s="1214"/>
      <c r="K101" s="1214"/>
      <c r="L101" s="1214"/>
      <c r="M101" s="1214"/>
      <c r="N101" s="1214"/>
      <c r="O101" s="1213"/>
      <c r="P101" s="1213"/>
      <c r="Q101" s="1213"/>
      <c r="R101" s="1213"/>
      <c r="S101" s="1213"/>
      <c r="T101" s="1213"/>
      <c r="U101" s="1215"/>
      <c r="V101" s="1215"/>
      <c r="W101" s="1215"/>
      <c r="X101" s="1215"/>
      <c r="Y101" s="1215"/>
      <c r="Z101" s="1215"/>
      <c r="AA101" s="1215"/>
      <c r="AB101" s="1213"/>
      <c r="AC101" s="1214"/>
      <c r="AD101" s="1214"/>
      <c r="AE101" s="1214"/>
      <c r="AF101" s="1214"/>
      <c r="AG101" s="1214"/>
      <c r="AH101" s="1214"/>
      <c r="AI101" s="1214"/>
      <c r="AJ101" s="1214"/>
      <c r="AK101" s="1214"/>
      <c r="AL101" s="1214"/>
      <c r="AM101" s="1214"/>
      <c r="AN101" s="1214"/>
      <c r="AO101" s="1214"/>
      <c r="AP101" s="1214"/>
      <c r="AQ101" s="1214"/>
      <c r="AR101" s="1214"/>
      <c r="AS101" s="1214"/>
      <c r="AT101" s="1214"/>
      <c r="AU101" s="1214"/>
      <c r="AV101" s="1214"/>
      <c r="AW101" s="1214"/>
      <c r="AX101" s="1214"/>
      <c r="AY101" s="1214"/>
      <c r="AZ101" s="1214"/>
      <c r="BA101" s="1214"/>
      <c r="BB101" s="1214"/>
      <c r="BC101" s="1214"/>
      <c r="BD101" s="1214"/>
      <c r="BE101" s="1214"/>
      <c r="BF101" s="1214"/>
      <c r="BG101" s="1214"/>
      <c r="BH101" s="1214"/>
      <c r="BI101" s="1214"/>
      <c r="BJ101" s="1214"/>
      <c r="BK101" s="1214"/>
      <c r="BL101" s="1214"/>
      <c r="BM101" s="1214"/>
      <c r="BN101" s="1214"/>
      <c r="BO101" s="1214"/>
      <c r="BP101" s="1214"/>
      <c r="BQ101" s="1214"/>
      <c r="BR101" s="1214"/>
      <c r="BS101" s="1214"/>
      <c r="BT101" s="1214"/>
      <c r="BU101" s="1214"/>
      <c r="BV101" s="1214"/>
      <c r="BW101" s="1214"/>
      <c r="BX101" s="1214"/>
      <c r="BY101" s="1214"/>
      <c r="BZ101" s="1214"/>
      <c r="CA101" s="1214"/>
      <c r="CB101" s="1214"/>
      <c r="CC101" s="1214"/>
      <c r="CD101" s="1214"/>
      <c r="CE101" s="1214"/>
      <c r="CF101" s="1214"/>
      <c r="CG101" s="1214"/>
      <c r="CH101" s="1214"/>
      <c r="CI101" s="1214"/>
      <c r="CJ101" s="1214"/>
      <c r="CK101" s="1214"/>
      <c r="CL101" s="1216"/>
      <c r="CM101" s="1216"/>
      <c r="CN101" s="1216"/>
      <c r="CO101" s="1216"/>
      <c r="CP101" s="1216"/>
      <c r="CQ101" s="1216"/>
      <c r="CR101" s="1216"/>
      <c r="CS101" s="1216"/>
      <c r="CT101" s="1216"/>
      <c r="CU101" s="1216"/>
      <c r="CV101" s="1216"/>
      <c r="CW101" s="1216"/>
      <c r="CX101" s="1216"/>
      <c r="CY101" s="1216"/>
      <c r="CZ101" s="1216"/>
      <c r="DA101" s="1216"/>
      <c r="DB101" s="1216"/>
      <c r="DC101" s="1216"/>
      <c r="DD101" s="1216"/>
      <c r="DE101" s="1216"/>
      <c r="DF101" s="1216"/>
      <c r="DG101" s="1216"/>
      <c r="DH101" s="1216"/>
      <c r="DI101" s="1216"/>
      <c r="DJ101" s="1216"/>
      <c r="DK101" s="1216"/>
      <c r="DL101" s="1216"/>
      <c r="DM101" s="1216"/>
      <c r="DN101" s="1216"/>
      <c r="DO101" s="1216"/>
      <c r="DP101" s="1216"/>
      <c r="DQ101" s="1216"/>
      <c r="DR101" s="1216"/>
      <c r="DS101" s="1216"/>
      <c r="DT101" s="1216"/>
      <c r="DU101" s="1216"/>
      <c r="DV101" s="1216"/>
      <c r="DW101" s="1216"/>
      <c r="DX101" s="1216"/>
      <c r="DY101" s="1216"/>
      <c r="DZ101" s="1216"/>
      <c r="EA101" s="1216"/>
      <c r="EB101" s="1216"/>
      <c r="EC101" s="1216"/>
      <c r="ED101" s="1216"/>
      <c r="EE101" s="1216"/>
      <c r="EF101" s="1216"/>
      <c r="EG101" s="1216"/>
      <c r="EH101" s="1216"/>
      <c r="EI101" s="1216"/>
      <c r="EJ101" s="1216"/>
      <c r="EK101" s="1216"/>
      <c r="EL101" s="1216"/>
      <c r="EM101" s="1216"/>
      <c r="EN101" s="1216"/>
      <c r="EO101" s="1216"/>
      <c r="EP101" s="1216"/>
      <c r="EQ101" s="1216"/>
      <c r="ER101" s="1216"/>
      <c r="ES101" s="1216"/>
      <c r="ET101" s="1216"/>
      <c r="EU101" s="1216"/>
      <c r="EV101" s="1216"/>
      <c r="EW101" s="1216"/>
      <c r="EX101" s="1216"/>
      <c r="EY101" s="1216"/>
      <c r="EZ101" s="1216"/>
      <c r="FA101" s="1216"/>
      <c r="FB101" s="1216"/>
      <c r="FC101" s="1216"/>
      <c r="FD101" s="1216"/>
      <c r="FE101" s="1216"/>
      <c r="FF101" s="1216"/>
      <c r="FG101" s="1216"/>
      <c r="FH101" s="1216"/>
      <c r="FI101" s="1216"/>
      <c r="FJ101" s="1216"/>
      <c r="FK101" s="1216"/>
      <c r="FL101" s="1216"/>
      <c r="FM101" s="1216"/>
      <c r="FN101" s="1216"/>
      <c r="FO101" s="1216"/>
      <c r="FP101" s="1216"/>
      <c r="FQ101" s="1216"/>
      <c r="FR101" s="1216"/>
      <c r="FS101" s="1216"/>
      <c r="FT101" s="1216"/>
      <c r="FU101" s="1216"/>
      <c r="FV101" s="1217"/>
      <c r="FW101" s="1211"/>
      <c r="FX101" s="1212"/>
    </row>
    <row s="4257" customFormat="1" customHeight="1" ht="24.75">
      <c r="B102" s="929"/>
      <c r="C102" s="930"/>
      <c r="D102" s="930"/>
      <c r="E102" s="1876"/>
      <c r="F102" s="1218">
        <v>1</v>
      </c>
      <c r="G102" s="1219"/>
      <c r="H102" s="1220"/>
      <c r="I102" s="1228"/>
      <c r="J102" s="1221"/>
      <c r="K102" s="1221"/>
      <c r="L102" s="1221"/>
      <c r="M102" s="1221"/>
      <c r="N102" s="1221"/>
      <c r="O102" s="1222"/>
      <c r="P102" s="1222"/>
      <c r="Q102" s="1222"/>
      <c r="R102" s="1222"/>
      <c r="S102" s="1222"/>
      <c r="T102" s="1222"/>
      <c r="U102" s="1222"/>
      <c r="V102" s="1222"/>
      <c r="W102" s="1222"/>
      <c r="X102" s="1222"/>
      <c r="Y102" s="1222"/>
      <c r="Z102" s="1222"/>
      <c r="AA102" s="1222"/>
      <c r="AB102" s="1222"/>
      <c r="AC102" s="1221"/>
      <c r="AD102" s="1221"/>
      <c r="AE102" s="1221"/>
      <c r="AF102" s="1221"/>
      <c r="AG102" s="1221"/>
      <c r="AH102" s="1221"/>
      <c r="AI102" s="1221"/>
      <c r="AJ102" s="1221"/>
      <c r="AK102" s="1221"/>
      <c r="AL102" s="1221"/>
      <c r="AM102" s="1221"/>
      <c r="AN102" s="1221"/>
      <c r="AO102" s="1221"/>
      <c r="AP102" s="1221"/>
      <c r="AQ102" s="1221"/>
      <c r="AR102" s="1221"/>
      <c r="AS102" s="1221"/>
      <c r="AT102" s="1221"/>
      <c r="AU102" s="1221"/>
      <c r="AV102" s="1221"/>
      <c r="AW102" s="1221"/>
      <c r="AX102" s="1221"/>
      <c r="AY102" s="1221"/>
      <c r="AZ102" s="1221"/>
      <c r="BA102" s="1221"/>
      <c r="BB102" s="1221"/>
      <c r="BC102" s="1221"/>
      <c r="BD102" s="1221"/>
      <c r="BE102" s="1221"/>
      <c r="BF102" s="1221"/>
      <c r="BG102" s="1221"/>
      <c r="BH102" s="1221"/>
      <c r="BI102" s="1221"/>
      <c r="BJ102" s="1221"/>
      <c r="BK102" s="1221"/>
      <c r="BL102" s="1221"/>
      <c r="BM102" s="1221"/>
      <c r="BN102" s="1221"/>
      <c r="BO102" s="1221"/>
      <c r="BP102" s="1221"/>
      <c r="BQ102" s="1221"/>
      <c r="BR102" s="1221"/>
      <c r="BS102" s="1221"/>
      <c r="BT102" s="1223"/>
      <c r="BU102" s="1223"/>
      <c r="BV102" s="1223"/>
      <c r="BW102" s="1223"/>
      <c r="BX102" s="1223"/>
      <c r="BY102" s="1223"/>
      <c r="BZ102" s="1223"/>
      <c r="CA102" s="1223"/>
      <c r="CB102" s="1223"/>
      <c r="CC102" s="1223"/>
      <c r="CD102" s="1223"/>
      <c r="CE102" s="1223"/>
      <c r="CF102" s="1223"/>
      <c r="CG102" s="1223"/>
      <c r="CH102" s="1223"/>
      <c r="CI102" s="1223"/>
      <c r="CJ102" s="1223"/>
      <c r="CK102" s="1223"/>
      <c r="CL102" s="1221"/>
      <c r="CM102" s="1221"/>
      <c r="CN102" s="1221"/>
      <c r="CO102" s="1221"/>
      <c r="CP102" s="1221"/>
      <c r="CQ102" s="1221"/>
      <c r="CR102" s="1221"/>
      <c r="CS102" s="1221"/>
      <c r="CT102" s="1221"/>
      <c r="CU102" s="1221"/>
      <c r="CV102" s="1221"/>
      <c r="CW102" s="1221"/>
      <c r="CX102" s="1221"/>
      <c r="CY102" s="1222"/>
      <c r="CZ102" s="1222"/>
      <c r="DA102" s="1222"/>
      <c r="DB102" s="1222"/>
      <c r="DC102" s="1222"/>
      <c r="DD102" s="1222"/>
      <c r="DE102" s="1222"/>
      <c r="DF102" s="1222"/>
      <c r="DG102" s="1222"/>
      <c r="DH102" s="1222"/>
      <c r="DI102" s="1222"/>
      <c r="DJ102" s="1222"/>
      <c r="DK102" s="1221"/>
      <c r="DL102" s="1221"/>
      <c r="DM102" s="1221"/>
      <c r="DN102" s="1221"/>
      <c r="DO102" s="1221"/>
      <c r="DP102" s="1221"/>
      <c r="DQ102" s="1221"/>
      <c r="DR102" s="1221"/>
      <c r="DS102" s="1221"/>
      <c r="DT102" s="1221"/>
      <c r="DU102" s="1221"/>
      <c r="DV102" s="1221"/>
      <c r="DW102" s="1221"/>
      <c r="DX102" s="1221"/>
      <c r="DY102" s="1221"/>
      <c r="DZ102" s="1221"/>
      <c r="EA102" s="1221"/>
      <c r="EB102" s="1221"/>
      <c r="EC102" s="1221"/>
      <c r="ED102" s="1221"/>
      <c r="EE102" s="1221"/>
      <c r="EF102" s="1221"/>
      <c r="EG102" s="1221"/>
      <c r="EH102" s="1221"/>
      <c r="EI102" s="1221"/>
      <c r="EJ102" s="1221"/>
      <c r="EK102" s="1221"/>
      <c r="EL102" s="1221"/>
      <c r="EM102" s="1221"/>
      <c r="EN102" s="1221"/>
      <c r="EO102" s="1221"/>
      <c r="EP102" s="1221"/>
      <c r="EQ102" s="1221"/>
      <c r="ER102" s="1221"/>
      <c r="ES102" s="1221"/>
      <c r="ET102" s="1221"/>
      <c r="EU102" s="1221"/>
      <c r="EV102" s="1221"/>
      <c r="EW102" s="1221"/>
      <c r="EX102" s="1221"/>
      <c r="EY102" s="1221"/>
      <c r="EZ102" s="1221"/>
      <c r="FA102" s="1221"/>
      <c r="FB102" s="1221"/>
      <c r="FC102" s="1221"/>
      <c r="FD102" s="1221"/>
      <c r="FE102" s="1221"/>
      <c r="FF102" s="1221"/>
      <c r="FG102" s="1221"/>
      <c r="FH102" s="1221"/>
      <c r="FI102" s="1221"/>
      <c r="FJ102" s="1221"/>
      <c r="FK102" s="1221"/>
      <c r="FL102" s="1221"/>
      <c r="FM102" s="1221"/>
      <c r="FN102" s="1221"/>
      <c r="FO102" s="1221"/>
      <c r="FP102" s="1221"/>
      <c r="FQ102" s="1221"/>
      <c r="FR102" s="1221"/>
      <c r="FS102" s="1221"/>
      <c r="FT102" s="1221"/>
      <c r="FU102" s="1221"/>
      <c r="FV102" s="1221"/>
      <c r="FW102" s="1221"/>
      <c r="FX102" s="1212"/>
    </row>
    <row s="4257" customFormat="1" customHeight="1" ht="12">
      <c r="A103" s="930"/>
      <c r="B103" s="929"/>
      <c r="C103" s="930"/>
      <c r="D103" s="930"/>
      <c r="E103" s="930"/>
      <c r="F103" s="1224"/>
      <c r="G103" s="1841" t="s">
        <v>1155</v>
      </c>
      <c r="H103" s="1225"/>
      <c r="I103" s="1225"/>
      <c r="J103" s="1225"/>
      <c r="K103" s="1225"/>
      <c r="L103" s="1225"/>
      <c r="M103" s="1225"/>
      <c r="N103" s="1225"/>
      <c r="O103" s="1225"/>
      <c r="P103" s="1225"/>
      <c r="Q103" s="1225"/>
      <c r="R103" s="1225"/>
      <c r="S103" s="1225"/>
      <c r="T103" s="1225"/>
      <c r="U103" s="1225"/>
      <c r="V103" s="1225"/>
      <c r="W103" s="1225"/>
      <c r="X103" s="1225"/>
      <c r="Y103" s="1225"/>
      <c r="Z103" s="1225"/>
      <c r="AA103" s="1225"/>
      <c r="AB103" s="1225"/>
      <c r="AC103" s="1225"/>
      <c r="AD103" s="1225"/>
      <c r="AE103" s="1225"/>
      <c r="AF103" s="1225"/>
      <c r="AG103" s="1225"/>
      <c r="AH103" s="1225"/>
      <c r="AI103" s="1225"/>
      <c r="AJ103" s="1225"/>
      <c r="AK103" s="1225"/>
      <c r="AL103" s="1225"/>
      <c r="AM103" s="1225"/>
      <c r="AN103" s="1225"/>
      <c r="AO103" s="1225"/>
      <c r="AP103" s="1225"/>
      <c r="AQ103" s="1225"/>
      <c r="AR103" s="1225"/>
      <c r="AS103" s="1225"/>
      <c r="AT103" s="1225"/>
      <c r="AU103" s="1225"/>
      <c r="AV103" s="1225"/>
      <c r="AW103" s="1225"/>
      <c r="AX103" s="1225"/>
      <c r="AY103" s="1225"/>
      <c r="AZ103" s="1225"/>
      <c r="BA103" s="1225"/>
      <c r="BB103" s="1225"/>
      <c r="BC103" s="1225"/>
      <c r="BD103" s="1225"/>
      <c r="BE103" s="1225"/>
      <c r="BF103" s="1225"/>
      <c r="BG103" s="1225"/>
      <c r="BH103" s="1225"/>
      <c r="BI103" s="1225"/>
      <c r="BJ103" s="1225"/>
      <c r="BK103" s="1225"/>
      <c r="BL103" s="1225"/>
      <c r="BM103" s="1225"/>
      <c r="BN103" s="1225"/>
      <c r="BO103" s="1225"/>
      <c r="BP103" s="1225"/>
      <c r="BQ103" s="1225"/>
      <c r="BR103" s="1225"/>
      <c r="BS103" s="1225"/>
      <c r="BT103" s="1225"/>
      <c r="BU103" s="1225"/>
      <c r="BV103" s="1225"/>
      <c r="BW103" s="1225"/>
      <c r="BX103" s="1225"/>
      <c r="BY103" s="1225"/>
      <c r="BZ103" s="1225"/>
      <c r="CA103" s="1225"/>
      <c r="CB103" s="1225"/>
      <c r="CC103" s="1225"/>
      <c r="CD103" s="1225"/>
      <c r="CE103" s="1225"/>
      <c r="CF103" s="1225"/>
      <c r="CG103" s="1225"/>
      <c r="CH103" s="1225"/>
      <c r="CI103" s="1225"/>
      <c r="CJ103" s="1225"/>
      <c r="CK103" s="1225"/>
      <c r="CL103" s="1225"/>
      <c r="CM103" s="1225"/>
      <c r="CN103" s="1225"/>
      <c r="CO103" s="1225"/>
      <c r="CP103" s="1225"/>
      <c r="CQ103" s="1225"/>
      <c r="CR103" s="1225"/>
      <c r="CS103" s="1225"/>
      <c r="CT103" s="1225"/>
      <c r="CU103" s="1225"/>
      <c r="CV103" s="1225"/>
      <c r="CW103" s="1225"/>
      <c r="CX103" s="1225"/>
      <c r="CY103" s="1225"/>
      <c r="CZ103" s="1225"/>
      <c r="DA103" s="1225"/>
      <c r="DB103" s="1225"/>
      <c r="DC103" s="1225"/>
      <c r="DD103" s="1225"/>
      <c r="DE103" s="1225"/>
      <c r="DF103" s="1225"/>
      <c r="DG103" s="1225"/>
      <c r="DH103" s="1225"/>
      <c r="DI103" s="1225"/>
      <c r="DJ103" s="1225"/>
      <c r="DK103" s="1225"/>
      <c r="DL103" s="1225"/>
      <c r="DM103" s="1225"/>
      <c r="DN103" s="1225"/>
      <c r="DO103" s="1225"/>
      <c r="DP103" s="1225"/>
      <c r="DQ103" s="1225"/>
      <c r="DR103" s="1225"/>
      <c r="DS103" s="1225"/>
      <c r="DT103" s="1225"/>
      <c r="DU103" s="1225"/>
      <c r="DV103" s="1225"/>
      <c r="DW103" s="1225"/>
      <c r="DX103" s="1225"/>
      <c r="DY103" s="1225"/>
      <c r="DZ103" s="1225"/>
      <c r="EA103" s="1225"/>
      <c r="EB103" s="1225"/>
      <c r="EC103" s="1225"/>
      <c r="ED103" s="1225"/>
      <c r="EE103" s="1225"/>
      <c r="EF103" s="1225"/>
      <c r="EG103" s="1225"/>
      <c r="EH103" s="1225"/>
      <c r="EI103" s="1225"/>
      <c r="EJ103" s="1225"/>
      <c r="EK103" s="1225"/>
      <c r="EL103" s="1225"/>
      <c r="EM103" s="1225"/>
      <c r="EN103" s="1225"/>
      <c r="EO103" s="1225"/>
      <c r="EP103" s="1225"/>
      <c r="EQ103" s="1225"/>
      <c r="ER103" s="1225"/>
      <c r="ES103" s="1225"/>
      <c r="ET103" s="1225"/>
      <c r="EU103" s="1225"/>
      <c r="EV103" s="1225"/>
      <c r="EW103" s="1225"/>
      <c r="EX103" s="1225"/>
      <c r="EY103" s="1225"/>
      <c r="EZ103" s="1225"/>
      <c r="FA103" s="1225"/>
      <c r="FB103" s="1225"/>
      <c r="FC103" s="1225"/>
      <c r="FD103" s="1225"/>
      <c r="FE103" s="1225"/>
      <c r="FF103" s="1225"/>
      <c r="FG103" s="1225"/>
      <c r="FH103" s="1225"/>
      <c r="FI103" s="1225"/>
      <c r="FJ103" s="1225"/>
      <c r="FK103" s="1225"/>
      <c r="FL103" s="1225"/>
      <c r="FM103" s="1225"/>
      <c r="FN103" s="1225"/>
      <c r="FO103" s="1225"/>
      <c r="FP103" s="1225"/>
      <c r="FQ103" s="1225"/>
      <c r="FR103" s="1225"/>
      <c r="FS103" s="1225"/>
      <c r="FT103" s="1225"/>
      <c r="FU103" s="1225"/>
      <c r="FV103" s="1225"/>
      <c r="FW103" s="1226"/>
      <c r="FX103" s="1227"/>
      <c r="FY103" s="947"/>
      <c r="FZ103" s="947"/>
      <c r="GA103" s="947"/>
      <c r="GB103" s="947"/>
    </row>
    <row r="105" s="4600" customFormat="1" customHeight="1" ht="11.25">
      <c r="A105" s="1856" t="s">
        <v>1156</v>
      </c>
    </row>
    <row r="107" s="2665" customFormat="1" customHeight="1" ht="15">
      <c r="A107" s="629"/>
      <c r="B107" s="630"/>
      <c r="C107" s="630"/>
      <c r="D107" s="2361" t="s">
        <v>110</v>
      </c>
      <c r="E107" s="2225" t="s">
        <v>106</v>
      </c>
      <c r="F107" s="2226"/>
      <c r="G107" s="2227"/>
      <c r="H107" s="2220" t="str">
        <f>IF(A107="","",INDEX(DIFFERENTIATION_UNMERGE_VD,MATCH(A107,DIFFERENTIATION_ID_DIFF,0)))</f>
        <v/>
      </c>
      <c r="I107" s="2220"/>
      <c r="J107" s="2220"/>
      <c r="K107" s="2220"/>
      <c r="L107" s="2220"/>
      <c r="M107" s="2220"/>
      <c r="N107" s="2220"/>
      <c r="O107" s="2220"/>
      <c r="P107" s="2220"/>
      <c r="Q107" s="2220"/>
      <c r="R107" s="2220"/>
      <c r="S107" s="725"/>
      <c r="T107" s="722"/>
      <c r="U107" s="631"/>
      <c r="V107" s="631"/>
      <c r="W107" s="632"/>
      <c r="X107" s="632"/>
      <c r="Y107" s="632"/>
      <c r="Z107" s="632"/>
      <c r="AA107" s="633"/>
      <c r="AB107" s="634"/>
      <c r="AC107" s="2224"/>
      <c r="AD107" s="635"/>
      <c r="AE107" s="636" t="s">
        <v>24</v>
      </c>
      <c r="AF107" s="636"/>
      <c r="AG107" s="637" t="s">
        <v>597</v>
      </c>
      <c r="AH107" s="638">
        <v>3</v>
      </c>
      <c r="AI107" s="631"/>
      <c r="AJ107" s="631"/>
      <c r="AK107" s="631"/>
      <c r="AL107" s="631"/>
      <c r="AM107" s="631"/>
      <c r="AN107" s="631"/>
      <c r="AO107" s="631"/>
      <c r="AP107" s="631"/>
      <c r="AQ107" s="631"/>
      <c r="AR107" s="631"/>
      <c r="AS107" s="631"/>
      <c r="AT107" s="631"/>
      <c r="AU107" s="631"/>
      <c r="AV107" s="631"/>
      <c r="AW107" s="631"/>
      <c r="AX107" s="631"/>
      <c r="AY107" s="631"/>
      <c r="AZ107" s="631"/>
      <c r="BA107" s="631"/>
      <c r="BB107" s="631"/>
      <c r="BC107" s="631"/>
      <c r="BD107" s="631"/>
      <c r="BE107" s="631"/>
      <c r="BF107" s="631"/>
      <c r="BG107" s="631"/>
      <c r="BH107" s="631"/>
      <c r="BI107" s="631"/>
      <c r="BJ107" s="631"/>
      <c r="BK107" s="631"/>
      <c r="BL107" s="631"/>
      <c r="BM107" s="631"/>
      <c r="BN107" s="631"/>
      <c r="BO107" s="631"/>
      <c r="BP107" s="631"/>
      <c r="BQ107" s="631"/>
      <c r="BR107" s="631"/>
      <c r="BS107" s="631"/>
      <c r="BT107" s="631"/>
      <c r="BU107" s="631"/>
      <c r="BV107" s="632"/>
      <c r="BW107" s="632"/>
      <c r="BX107" s="632"/>
      <c r="BY107" s="632"/>
      <c r="BZ107" s="632"/>
      <c r="CA107" s="632"/>
      <c r="CB107" s="632"/>
      <c r="CC107" s="632"/>
      <c r="CD107" s="632"/>
      <c r="CE107" s="632"/>
    </row>
    <row s="2665" customFormat="1" customHeight="1" ht="15">
      <c r="A108" s="629"/>
      <c r="B108" s="630"/>
      <c r="C108" s="630"/>
      <c r="D108" s="2362"/>
      <c r="E108" s="2225" t="s">
        <v>552</v>
      </c>
      <c r="F108" s="2226"/>
      <c r="G108" s="2227"/>
      <c r="H108" s="2220" t="str">
        <f>IF(A107="","",INDEX(DIFFERENTIATION_UNMERGE_AREA,MATCH(A107,DIFFERENTIATION_ID_DIFF,0)))</f>
        <v/>
      </c>
      <c r="I108" s="2220"/>
      <c r="J108" s="2220"/>
      <c r="K108" s="2220"/>
      <c r="L108" s="2220"/>
      <c r="M108" s="2220"/>
      <c r="N108" s="2220"/>
      <c r="O108" s="2220"/>
      <c r="P108" s="2220"/>
      <c r="Q108" s="2220"/>
      <c r="R108" s="2220"/>
      <c r="S108" s="725"/>
      <c r="T108" s="722"/>
      <c r="U108" s="631"/>
      <c r="V108" s="631"/>
      <c r="W108" s="632"/>
      <c r="X108" s="632"/>
      <c r="Y108" s="632"/>
      <c r="Z108" s="632"/>
      <c r="AA108" s="633"/>
      <c r="AB108" s="634"/>
      <c r="AC108" s="2224"/>
      <c r="AD108" s="635"/>
      <c r="AE108" s="636"/>
      <c r="AF108" s="636"/>
      <c r="AG108" s="637"/>
      <c r="AH108" s="638"/>
      <c r="AI108" s="631"/>
      <c r="AJ108" s="631"/>
      <c r="AK108" s="631"/>
      <c r="AL108" s="631"/>
      <c r="AM108" s="631"/>
      <c r="AN108" s="631"/>
      <c r="AO108" s="631"/>
      <c r="AP108" s="631"/>
      <c r="AQ108" s="631"/>
      <c r="AR108" s="631"/>
      <c r="AS108" s="631"/>
      <c r="AT108" s="631"/>
      <c r="AU108" s="631"/>
      <c r="AV108" s="631"/>
      <c r="AW108" s="631"/>
      <c r="AX108" s="631"/>
      <c r="AY108" s="631"/>
      <c r="AZ108" s="631"/>
      <c r="BA108" s="631"/>
      <c r="BB108" s="631"/>
      <c r="BC108" s="631"/>
      <c r="BD108" s="631"/>
      <c r="BE108" s="631"/>
      <c r="BF108" s="631"/>
      <c r="BG108" s="631"/>
      <c r="BH108" s="631"/>
      <c r="BI108" s="631"/>
      <c r="BJ108" s="631"/>
      <c r="BK108" s="631"/>
      <c r="BL108" s="631"/>
      <c r="BM108" s="631"/>
      <c r="BN108" s="631"/>
      <c r="BO108" s="631"/>
      <c r="BP108" s="631"/>
      <c r="BQ108" s="631"/>
      <c r="BR108" s="631"/>
      <c r="BS108" s="631"/>
      <c r="BT108" s="631"/>
      <c r="BU108" s="631"/>
      <c r="BV108" s="632"/>
      <c r="BW108" s="632"/>
      <c r="BX108" s="632"/>
      <c r="BY108" s="632"/>
      <c r="BZ108" s="632"/>
      <c r="CA108" s="632"/>
      <c r="CB108" s="632"/>
      <c r="CC108" s="632"/>
      <c r="CD108" s="632"/>
      <c r="CE108" s="632"/>
    </row>
    <row s="2665" customFormat="1" customHeight="1" ht="15">
      <c r="A109" s="629"/>
      <c r="B109" s="630"/>
      <c r="C109" s="630"/>
      <c r="D109" s="2362"/>
      <c r="E109" s="2225" t="s">
        <v>553</v>
      </c>
      <c r="F109" s="2226"/>
      <c r="G109" s="2227"/>
      <c r="H109" s="2220" t="str">
        <f>IF(A107="","",INDEX(DIFFERENTIATION_UNMERGE_SYSTEM,MATCH(A107,DIFFERENTIATION_ID_DIFF,0)))</f>
        <v/>
      </c>
      <c r="I109" s="2220"/>
      <c r="J109" s="2220"/>
      <c r="K109" s="2220"/>
      <c r="L109" s="2220"/>
      <c r="M109" s="2220"/>
      <c r="N109" s="2220"/>
      <c r="O109" s="2220"/>
      <c r="P109" s="2220"/>
      <c r="Q109" s="2220"/>
      <c r="R109" s="2220"/>
      <c r="S109" s="725"/>
      <c r="T109" s="722"/>
      <c r="U109" s="631"/>
      <c r="V109" s="631"/>
      <c r="W109" s="632"/>
      <c r="X109" s="632"/>
      <c r="Y109" s="632"/>
      <c r="Z109" s="632"/>
      <c r="AA109" s="633"/>
      <c r="AB109" s="634"/>
      <c r="AC109" s="2224"/>
      <c r="AD109" s="635"/>
      <c r="AE109" s="636"/>
      <c r="AF109" s="636"/>
      <c r="AG109" s="637"/>
      <c r="AH109" s="638"/>
      <c r="AI109" s="631"/>
      <c r="AJ109" s="631"/>
      <c r="AK109" s="631"/>
      <c r="AL109" s="631"/>
      <c r="AM109" s="631"/>
      <c r="AN109" s="631"/>
      <c r="AO109" s="631"/>
      <c r="AP109" s="631"/>
      <c r="AQ109" s="631"/>
      <c r="AR109" s="631"/>
      <c r="AS109" s="631"/>
      <c r="AT109" s="631"/>
      <c r="AU109" s="631"/>
      <c r="AV109" s="631"/>
      <c r="AW109" s="631"/>
      <c r="AX109" s="631"/>
      <c r="AY109" s="631"/>
      <c r="AZ109" s="631"/>
      <c r="BA109" s="631"/>
      <c r="BB109" s="631"/>
      <c r="BC109" s="631"/>
      <c r="BD109" s="631"/>
      <c r="BE109" s="631"/>
      <c r="BF109" s="631"/>
      <c r="BG109" s="631"/>
      <c r="BH109" s="631"/>
      <c r="BI109" s="631"/>
      <c r="BJ109" s="631"/>
      <c r="BK109" s="631"/>
      <c r="BL109" s="631"/>
      <c r="BM109" s="631"/>
      <c r="BN109" s="631"/>
      <c r="BO109" s="631"/>
      <c r="BP109" s="631"/>
      <c r="BQ109" s="631"/>
      <c r="BR109" s="631"/>
      <c r="BS109" s="631"/>
      <c r="BT109" s="631"/>
      <c r="BU109" s="631"/>
      <c r="BV109" s="632"/>
      <c r="BW109" s="632"/>
      <c r="BX109" s="632"/>
      <c r="BY109" s="632"/>
      <c r="BZ109" s="632"/>
      <c r="CA109" s="632"/>
      <c r="CB109" s="632"/>
      <c r="CC109" s="632"/>
      <c r="CD109" s="632"/>
      <c r="CE109" s="632"/>
    </row>
    <row s="2665" customFormat="1" customHeight="1" ht="24.75">
      <c r="A110" s="1847"/>
      <c r="B110" s="1168"/>
      <c r="C110" s="418"/>
      <c r="D110" s="2362"/>
      <c r="E110" s="2222" t="s">
        <v>598</v>
      </c>
      <c r="F110" s="2222"/>
      <c r="G110" s="2222"/>
      <c r="H110" s="2222"/>
      <c r="I110" s="2222"/>
      <c r="J110" s="2222"/>
      <c r="K110" s="2222"/>
      <c r="L110" s="2222"/>
      <c r="M110" s="2222"/>
      <c r="N110" s="2222"/>
      <c r="O110" s="2222"/>
      <c r="P110" s="2222"/>
      <c r="Q110" s="564">
        <f>SUMIF(T111:T112,"i",Q111:Q112)</f>
        <v>0</v>
      </c>
      <c r="R110" s="1024"/>
      <c r="S110" s="1839" t="s">
        <v>599</v>
      </c>
      <c r="T110" s="723" t="s">
        <v>600</v>
      </c>
      <c r="U110" s="2223">
        <v>1</v>
      </c>
      <c r="V110" s="2223" t="s">
        <v>563</v>
      </c>
      <c r="W110" s="1168"/>
      <c r="X110" s="1168"/>
      <c r="Y110" s="1168"/>
      <c r="Z110" s="1168"/>
      <c r="AA110" s="1676"/>
      <c r="AB110" s="1168"/>
      <c r="AC110" s="2224"/>
      <c r="AD110" s="635"/>
      <c r="AE110" s="1168"/>
      <c r="AF110" s="1168"/>
      <c r="AG110" s="1676"/>
      <c r="AH110" s="1676"/>
      <c r="AI110" s="1676"/>
      <c r="AJ110" s="1676"/>
      <c r="AK110" s="1676"/>
      <c r="AL110" s="1676"/>
      <c r="AM110" s="1676"/>
      <c r="AN110" s="1676"/>
      <c r="AO110" s="1676"/>
      <c r="AP110" s="1676"/>
      <c r="AQ110" s="1676"/>
      <c r="AR110" s="1676"/>
      <c r="AS110" s="1676"/>
      <c r="AT110" s="1676"/>
      <c r="AU110" s="1676"/>
      <c r="AV110" s="1676"/>
      <c r="AW110" s="1676"/>
      <c r="AX110" s="1676"/>
      <c r="AY110" s="1676"/>
      <c r="AZ110" s="1676"/>
      <c r="BA110" s="1676"/>
      <c r="BB110" s="1676"/>
      <c r="BC110" s="1676"/>
      <c r="BD110" s="1676"/>
      <c r="BE110" s="1676"/>
      <c r="BF110" s="1676"/>
      <c r="BG110" s="1676"/>
      <c r="BH110" s="1676"/>
      <c r="BI110" s="1676"/>
      <c r="BJ110" s="1676"/>
      <c r="BK110" s="1676"/>
      <c r="BL110" s="1676"/>
      <c r="BM110" s="1676"/>
      <c r="BN110" s="1676"/>
      <c r="BO110" s="1676"/>
      <c r="BP110" s="1676"/>
      <c r="BQ110" s="1676"/>
      <c r="BR110" s="1676"/>
      <c r="BS110" s="1676"/>
      <c r="BT110" s="1676"/>
      <c r="BU110" s="1676"/>
      <c r="BV110" s="1168"/>
      <c r="BW110" s="1168"/>
      <c r="BX110" s="1168"/>
      <c r="BY110" s="1168"/>
      <c r="BZ110" s="1168"/>
      <c r="CA110" s="1168"/>
      <c r="CB110" s="1168"/>
      <c r="CC110" s="1168"/>
      <c r="CD110" s="1168"/>
      <c r="CE110" s="1168"/>
    </row>
    <row s="2665" customFormat="1" customHeight="1" ht="11.25" hidden="1">
      <c r="A111" s="1834"/>
      <c r="B111" s="1676"/>
      <c r="C111" s="1676"/>
      <c r="D111" s="2362"/>
      <c r="E111" s="641"/>
      <c r="F111" s="641">
        <v>0</v>
      </c>
      <c r="G111" s="641"/>
      <c r="H111" s="641"/>
      <c r="I111" s="641"/>
      <c r="J111" s="641"/>
      <c r="K111" s="641"/>
      <c r="L111" s="641"/>
      <c r="M111" s="641"/>
      <c r="N111" s="641"/>
      <c r="O111" s="641"/>
      <c r="P111" s="641"/>
      <c r="Q111" s="641"/>
      <c r="R111" s="641"/>
      <c r="S111" s="642"/>
      <c r="T111" s="724"/>
      <c r="U111" s="2223"/>
      <c r="V111" s="2223"/>
      <c r="W111" s="1676"/>
      <c r="X111" s="1676"/>
      <c r="Y111" s="1676"/>
      <c r="Z111" s="1676"/>
      <c r="AA111" s="1676"/>
      <c r="AB111" s="1168"/>
      <c r="AC111" s="2224"/>
      <c r="AD111" s="635"/>
      <c r="AE111" s="1168"/>
      <c r="AF111" s="1168"/>
      <c r="AG111" s="1676"/>
      <c r="AH111" s="1676"/>
      <c r="AI111" s="1676"/>
      <c r="AJ111" s="1676"/>
      <c r="AK111" s="1676"/>
      <c r="AL111" s="1676"/>
      <c r="AM111" s="1676"/>
      <c r="AN111" s="1676"/>
      <c r="AO111" s="1676"/>
      <c r="AP111" s="1676"/>
      <c r="AQ111" s="1676"/>
      <c r="AR111" s="1676"/>
      <c r="AS111" s="1676"/>
      <c r="AT111" s="1676"/>
      <c r="AU111" s="1676"/>
      <c r="AV111" s="1676"/>
      <c r="AW111" s="1676"/>
      <c r="AX111" s="1676"/>
      <c r="AY111" s="1676"/>
      <c r="AZ111" s="1676"/>
      <c r="BA111" s="1676"/>
      <c r="BB111" s="1676"/>
      <c r="BC111" s="1676"/>
      <c r="BD111" s="1676"/>
      <c r="BE111" s="1676"/>
      <c r="BF111" s="1676"/>
      <c r="BG111" s="1676"/>
      <c r="BH111" s="1676"/>
      <c r="BI111" s="1676"/>
      <c r="BJ111" s="1676"/>
      <c r="BK111" s="1676"/>
      <c r="BL111" s="1676"/>
      <c r="BM111" s="1676"/>
      <c r="BN111" s="1676"/>
      <c r="BO111" s="1676"/>
      <c r="BP111" s="1676"/>
      <c r="BQ111" s="1676"/>
      <c r="BR111" s="1676"/>
      <c r="BS111" s="1676"/>
      <c r="BT111" s="1676"/>
      <c r="BU111" s="1676"/>
      <c r="BV111" s="1676"/>
      <c r="BW111" s="1676"/>
      <c r="BX111" s="1676"/>
      <c r="BY111" s="1676"/>
      <c r="BZ111" s="1676"/>
      <c r="CA111" s="1676"/>
      <c r="CB111" s="1676"/>
      <c r="CC111" s="1676"/>
      <c r="CD111" s="1676"/>
      <c r="CE111" s="1676"/>
    </row>
    <row s="2665" customFormat="1" customHeight="1" ht="11.25">
      <c r="A112" s="1847"/>
      <c r="B112" s="1168"/>
      <c r="C112" s="418"/>
      <c r="D112" s="2362"/>
      <c r="E112" s="655" t="s">
        <v>24</v>
      </c>
      <c r="F112" s="1176" t="s">
        <v>24</v>
      </c>
      <c r="G112" s="1176" t="s">
        <v>1157</v>
      </c>
      <c r="H112" s="657" t="s">
        <v>24</v>
      </c>
      <c r="I112" s="657"/>
      <c r="J112" s="657"/>
      <c r="K112" s="657"/>
      <c r="L112" s="657"/>
      <c r="M112" s="657"/>
      <c r="N112" s="657"/>
      <c r="O112" s="657"/>
      <c r="P112" s="657"/>
      <c r="Q112" s="657"/>
      <c r="R112" s="658"/>
      <c r="S112" s="659"/>
      <c r="T112" s="724"/>
      <c r="U112" s="2223"/>
      <c r="V112" s="2223"/>
      <c r="W112" s="1168"/>
      <c r="X112" s="1168"/>
      <c r="Y112" s="1168"/>
      <c r="Z112" s="1168"/>
      <c r="AA112" s="1676"/>
      <c r="AB112" s="1168"/>
      <c r="AC112" s="2224"/>
      <c r="AD112" s="635"/>
      <c r="AE112" s="1168"/>
      <c r="AF112" s="1168"/>
      <c r="AG112" s="1676"/>
      <c r="AH112" s="1676"/>
      <c r="AI112" s="1676"/>
      <c r="AJ112" s="1676"/>
      <c r="AK112" s="1676"/>
      <c r="AL112" s="1676"/>
      <c r="AM112" s="1676"/>
      <c r="AN112" s="1676"/>
      <c r="AO112" s="1676"/>
      <c r="AP112" s="1676"/>
      <c r="AQ112" s="1676"/>
      <c r="AR112" s="1676"/>
      <c r="AS112" s="1676"/>
      <c r="AT112" s="1676"/>
      <c r="AU112" s="1676"/>
      <c r="AV112" s="1676"/>
      <c r="AW112" s="1676"/>
      <c r="AX112" s="1676"/>
      <c r="AY112" s="1676"/>
      <c r="AZ112" s="1676"/>
      <c r="BA112" s="1676"/>
      <c r="BB112" s="1676"/>
      <c r="BC112" s="1676"/>
      <c r="BD112" s="1676"/>
      <c r="BE112" s="1676"/>
      <c r="BF112" s="1676"/>
      <c r="BG112" s="1676"/>
      <c r="BH112" s="1676"/>
      <c r="BI112" s="1676"/>
      <c r="BJ112" s="1676"/>
      <c r="BK112" s="1676"/>
      <c r="BL112" s="1676"/>
      <c r="BM112" s="1676"/>
      <c r="BN112" s="1676"/>
      <c r="BO112" s="1676"/>
      <c r="BP112" s="1676"/>
      <c r="BQ112" s="1676"/>
      <c r="BR112" s="1676"/>
      <c r="BS112" s="1676"/>
      <c r="BT112" s="1676"/>
      <c r="BU112" s="1676"/>
      <c r="BV112" s="1168"/>
      <c r="BW112" s="1168"/>
      <c r="BX112" s="1168"/>
      <c r="BY112" s="1168"/>
      <c r="BZ112" s="1168"/>
      <c r="CA112" s="1168"/>
      <c r="CB112" s="1168"/>
      <c r="CC112" s="1168"/>
      <c r="CD112" s="1168"/>
      <c r="CE112" s="1168"/>
    </row>
    <row s="2665" customFormat="1" customHeight="1" ht="24.75">
      <c r="A113" s="1847"/>
      <c r="B113" s="1168"/>
      <c r="C113" s="418"/>
      <c r="D113" s="2362"/>
      <c r="E113" s="2222" t="s">
        <v>601</v>
      </c>
      <c r="F113" s="2222"/>
      <c r="G113" s="2222"/>
      <c r="H113" s="2222"/>
      <c r="I113" s="2222"/>
      <c r="J113" s="2222"/>
      <c r="K113" s="2222"/>
      <c r="L113" s="2222"/>
      <c r="M113" s="2222"/>
      <c r="N113" s="2222"/>
      <c r="O113" s="2222"/>
      <c r="P113" s="2222"/>
      <c r="Q113" s="564">
        <f>SUMIF(T114:T115,"i",Q114:Q115)</f>
        <v>0</v>
      </c>
      <c r="R113" s="1024"/>
      <c r="S113" s="1839" t="s">
        <v>602</v>
      </c>
      <c r="T113" s="723" t="s">
        <v>600</v>
      </c>
      <c r="U113" s="2223">
        <v>1</v>
      </c>
      <c r="V113" s="2223" t="s">
        <v>563</v>
      </c>
      <c r="W113" s="1168"/>
      <c r="X113" s="1168"/>
      <c r="Y113" s="1168"/>
      <c r="Z113" s="1168"/>
      <c r="AA113" s="1676"/>
      <c r="AB113" s="1168"/>
      <c r="AC113" s="1837"/>
      <c r="AD113" s="635"/>
      <c r="AE113" s="1168"/>
      <c r="AF113" s="1168"/>
      <c r="AG113" s="1676"/>
      <c r="AH113" s="1676"/>
      <c r="AI113" s="1676"/>
      <c r="AJ113" s="1676"/>
      <c r="AK113" s="1676"/>
      <c r="AL113" s="1676"/>
      <c r="AM113" s="1676"/>
      <c r="AN113" s="1676"/>
      <c r="AO113" s="1676"/>
      <c r="AP113" s="1676"/>
      <c r="AQ113" s="1676"/>
      <c r="AR113" s="1676"/>
      <c r="AS113" s="1676"/>
      <c r="AT113" s="1676"/>
      <c r="AU113" s="1676"/>
      <c r="AV113" s="1676"/>
      <c r="AW113" s="1676"/>
      <c r="AX113" s="1676"/>
      <c r="AY113" s="1676"/>
      <c r="AZ113" s="1676"/>
      <c r="BA113" s="1676"/>
      <c r="BB113" s="1676"/>
      <c r="BC113" s="1676"/>
      <c r="BD113" s="1676"/>
      <c r="BE113" s="1676"/>
      <c r="BF113" s="1676"/>
      <c r="BG113" s="1676"/>
      <c r="BH113" s="1676"/>
      <c r="BI113" s="1676"/>
      <c r="BJ113" s="1676"/>
      <c r="BK113" s="1676"/>
      <c r="BL113" s="1676"/>
      <c r="BM113" s="1676"/>
      <c r="BN113" s="1676"/>
      <c r="BO113" s="1676"/>
      <c r="BP113" s="1676"/>
      <c r="BQ113" s="1676"/>
      <c r="BR113" s="1676"/>
      <c r="BS113" s="1676"/>
      <c r="BT113" s="1676"/>
      <c r="BU113" s="1676"/>
      <c r="BV113" s="1168"/>
      <c r="BW113" s="1168"/>
      <c r="BX113" s="1168"/>
      <c r="BY113" s="1168"/>
      <c r="BZ113" s="1168"/>
      <c r="CA113" s="1168"/>
      <c r="CB113" s="1168"/>
      <c r="CC113" s="1168"/>
      <c r="CD113" s="1168"/>
      <c r="CE113" s="1168"/>
    </row>
    <row s="2665" customFormat="1" customHeight="1" ht="11.25" hidden="1">
      <c r="A114" s="1834"/>
      <c r="B114" s="1676"/>
      <c r="C114" s="1676"/>
      <c r="D114" s="2362"/>
      <c r="E114" s="641"/>
      <c r="F114" s="641">
        <v>0</v>
      </c>
      <c r="G114" s="641"/>
      <c r="H114" s="641"/>
      <c r="I114" s="641"/>
      <c r="J114" s="641"/>
      <c r="K114" s="641"/>
      <c r="L114" s="641"/>
      <c r="M114" s="641"/>
      <c r="N114" s="641"/>
      <c r="O114" s="641"/>
      <c r="P114" s="641"/>
      <c r="Q114" s="641"/>
      <c r="R114" s="641"/>
      <c r="S114" s="642"/>
      <c r="T114" s="724"/>
      <c r="U114" s="2223"/>
      <c r="V114" s="2223"/>
      <c r="W114" s="1676"/>
      <c r="X114" s="1676"/>
      <c r="Y114" s="1676"/>
      <c r="Z114" s="1676"/>
      <c r="AA114" s="1676"/>
      <c r="AB114" s="1168"/>
      <c r="AC114" s="1837"/>
      <c r="AD114" s="635"/>
      <c r="AE114" s="1168"/>
      <c r="AF114" s="1168"/>
      <c r="AG114" s="1676"/>
      <c r="AH114" s="1676"/>
      <c r="AI114" s="1676"/>
      <c r="AJ114" s="1676"/>
      <c r="AK114" s="1676"/>
      <c r="AL114" s="1676"/>
      <c r="AM114" s="1676"/>
      <c r="AN114" s="1676"/>
      <c r="AO114" s="1676"/>
      <c r="AP114" s="1676"/>
      <c r="AQ114" s="1676"/>
      <c r="AR114" s="1676"/>
      <c r="AS114" s="1676"/>
      <c r="AT114" s="1676"/>
      <c r="AU114" s="1676"/>
      <c r="AV114" s="1676"/>
      <c r="AW114" s="1676"/>
      <c r="AX114" s="1676"/>
      <c r="AY114" s="1676"/>
      <c r="AZ114" s="1676"/>
      <c r="BA114" s="1676"/>
      <c r="BB114" s="1676"/>
      <c r="BC114" s="1676"/>
      <c r="BD114" s="1676"/>
      <c r="BE114" s="1676"/>
      <c r="BF114" s="1676"/>
      <c r="BG114" s="1676"/>
      <c r="BH114" s="1676"/>
      <c r="BI114" s="1676"/>
      <c r="BJ114" s="1676"/>
      <c r="BK114" s="1676"/>
      <c r="BL114" s="1676"/>
      <c r="BM114" s="1676"/>
      <c r="BN114" s="1676"/>
      <c r="BO114" s="1676"/>
      <c r="BP114" s="1676"/>
      <c r="BQ114" s="1676"/>
      <c r="BR114" s="1676"/>
      <c r="BS114" s="1676"/>
      <c r="BT114" s="1676"/>
      <c r="BU114" s="1676"/>
      <c r="BV114" s="1676"/>
      <c r="BW114" s="1676"/>
      <c r="BX114" s="1676"/>
      <c r="BY114" s="1676"/>
      <c r="BZ114" s="1676"/>
      <c r="CA114" s="1676"/>
      <c r="CB114" s="1676"/>
      <c r="CC114" s="1676"/>
      <c r="CD114" s="1676"/>
      <c r="CE114" s="1676"/>
    </row>
    <row s="2665" customFormat="1" customHeight="1" ht="11.25">
      <c r="A115" s="1847"/>
      <c r="B115" s="1168"/>
      <c r="C115" s="418"/>
      <c r="D115" s="2363"/>
      <c r="E115" s="655" t="s">
        <v>24</v>
      </c>
      <c r="F115" s="1176" t="s">
        <v>24</v>
      </c>
      <c r="G115" s="1176" t="s">
        <v>1157</v>
      </c>
      <c r="H115" s="657" t="s">
        <v>24</v>
      </c>
      <c r="I115" s="657"/>
      <c r="J115" s="657"/>
      <c r="K115" s="657"/>
      <c r="L115" s="657"/>
      <c r="M115" s="657"/>
      <c r="N115" s="657"/>
      <c r="O115" s="657"/>
      <c r="P115" s="657"/>
      <c r="Q115" s="657"/>
      <c r="R115" s="658"/>
      <c r="S115" s="659"/>
      <c r="T115" s="724"/>
      <c r="U115" s="2223"/>
      <c r="V115" s="2223"/>
      <c r="W115" s="1168"/>
      <c r="X115" s="1168"/>
      <c r="Y115" s="1168"/>
      <c r="Z115" s="1168"/>
      <c r="AA115" s="1676"/>
      <c r="AB115" s="1168"/>
      <c r="AC115" s="1837"/>
      <c r="AD115" s="635"/>
      <c r="AE115" s="1168"/>
      <c r="AF115" s="1168"/>
      <c r="AG115" s="1676"/>
      <c r="AH115" s="1676"/>
      <c r="AI115" s="1676"/>
      <c r="AJ115" s="1676"/>
      <c r="AK115" s="1676"/>
      <c r="AL115" s="1676"/>
      <c r="AM115" s="1676"/>
      <c r="AN115" s="1676"/>
      <c r="AO115" s="1676"/>
      <c r="AP115" s="1676"/>
      <c r="AQ115" s="1676"/>
      <c r="AR115" s="1676"/>
      <c r="AS115" s="1676"/>
      <c r="AT115" s="1676"/>
      <c r="AU115" s="1676"/>
      <c r="AV115" s="1676"/>
      <c r="AW115" s="1676"/>
      <c r="AX115" s="1676"/>
      <c r="AY115" s="1676"/>
      <c r="AZ115" s="1676"/>
      <c r="BA115" s="1676"/>
      <c r="BB115" s="1676"/>
      <c r="BC115" s="1676"/>
      <c r="BD115" s="1676"/>
      <c r="BE115" s="1676"/>
      <c r="BF115" s="1676"/>
      <c r="BG115" s="1676"/>
      <c r="BH115" s="1676"/>
      <c r="BI115" s="1676"/>
      <c r="BJ115" s="1676"/>
      <c r="BK115" s="1676"/>
      <c r="BL115" s="1676"/>
      <c r="BM115" s="1676"/>
      <c r="BN115" s="1676"/>
      <c r="BO115" s="1676"/>
      <c r="BP115" s="1676"/>
      <c r="BQ115" s="1676"/>
      <c r="BR115" s="1676"/>
      <c r="BS115" s="1676"/>
      <c r="BT115" s="1676"/>
      <c r="BU115" s="1676"/>
      <c r="BV115" s="1168"/>
      <c r="BW115" s="1168"/>
      <c r="BX115" s="1168"/>
      <c r="BY115" s="1168"/>
      <c r="BZ115" s="1168"/>
      <c r="CA115" s="1168"/>
      <c r="CB115" s="1168"/>
      <c r="CC115" s="1168"/>
      <c r="CD115" s="1168"/>
      <c r="CE115" s="1168"/>
    </row>
    <row r="117" s="4600" customFormat="1" customHeight="1" ht="11.25">
      <c r="A117" s="1856" t="s">
        <v>1158</v>
      </c>
    </row>
    <row r="119" s="2665" customFormat="1" customHeight="1" ht="15">
      <c r="A119" s="629"/>
      <c r="B119" s="630"/>
      <c r="C119" s="630"/>
      <c r="D119" s="2361" t="s">
        <v>110</v>
      </c>
      <c r="E119" s="2225" t="s">
        <v>106</v>
      </c>
      <c r="F119" s="2226"/>
      <c r="G119" s="2227"/>
      <c r="H119" s="2220" t="str">
        <f>IF(A119="","",INDEX(DIFFERENTIATION_UNMERGE_VD,MATCH(A119,DIFFERENTIATION_ID_DIFF,0)))</f>
        <v/>
      </c>
      <c r="I119" s="2220"/>
      <c r="J119" s="2220"/>
      <c r="K119" s="2220"/>
      <c r="L119" s="2220"/>
      <c r="M119" s="2220"/>
      <c r="N119" s="2220"/>
      <c r="O119" s="2220"/>
      <c r="P119" s="2220"/>
      <c r="Q119" s="2220"/>
      <c r="R119" s="2220"/>
      <c r="S119" s="725"/>
      <c r="T119" s="722"/>
      <c r="U119" s="631"/>
      <c r="V119" s="631"/>
      <c r="W119" s="632"/>
      <c r="X119" s="632"/>
      <c r="Y119" s="632"/>
      <c r="Z119" s="632"/>
      <c r="AA119" s="633"/>
      <c r="AB119" s="634"/>
      <c r="AC119" s="2224"/>
      <c r="AD119" s="635"/>
      <c r="AE119" s="636" t="s">
        <v>24</v>
      </c>
      <c r="AF119" s="636"/>
      <c r="AG119" s="637" t="s">
        <v>597</v>
      </c>
      <c r="AH119" s="638">
        <v>3</v>
      </c>
      <c r="AI119" s="631"/>
      <c r="AJ119" s="631"/>
      <c r="AK119" s="631"/>
      <c r="AL119" s="631"/>
      <c r="AM119" s="631"/>
      <c r="AN119" s="631"/>
      <c r="AO119" s="631"/>
      <c r="AP119" s="631"/>
      <c r="AQ119" s="631"/>
      <c r="AR119" s="631"/>
      <c r="AS119" s="631"/>
      <c r="AT119" s="631"/>
      <c r="AU119" s="631"/>
      <c r="AV119" s="631"/>
      <c r="AW119" s="631"/>
      <c r="AX119" s="631"/>
      <c r="AY119" s="631"/>
      <c r="AZ119" s="631"/>
      <c r="BA119" s="631"/>
      <c r="BB119" s="631"/>
      <c r="BC119" s="631"/>
      <c r="BD119" s="631"/>
      <c r="BE119" s="631"/>
      <c r="BF119" s="631"/>
      <c r="BG119" s="631"/>
      <c r="BH119" s="631"/>
      <c r="BI119" s="631"/>
      <c r="BJ119" s="631"/>
      <c r="BK119" s="631"/>
      <c r="BL119" s="631"/>
      <c r="BM119" s="631"/>
      <c r="BN119" s="631"/>
      <c r="BO119" s="631"/>
      <c r="BP119" s="631"/>
      <c r="BQ119" s="631"/>
      <c r="BR119" s="631"/>
      <c r="BS119" s="631"/>
      <c r="BT119" s="631"/>
      <c r="BU119" s="631"/>
      <c r="BV119" s="632"/>
      <c r="BW119" s="632"/>
      <c r="BX119" s="632"/>
      <c r="BY119" s="632"/>
      <c r="BZ119" s="632"/>
      <c r="CA119" s="632"/>
      <c r="CB119" s="632"/>
      <c r="CC119" s="632"/>
      <c r="CD119" s="632"/>
      <c r="CE119" s="632"/>
    </row>
    <row s="2665" customFormat="1" customHeight="1" ht="15">
      <c r="A120" s="629"/>
      <c r="B120" s="630"/>
      <c r="C120" s="630"/>
      <c r="D120" s="2362"/>
      <c r="E120" s="2225" t="s">
        <v>552</v>
      </c>
      <c r="F120" s="2226"/>
      <c r="G120" s="2227"/>
      <c r="H120" s="2220" t="str">
        <f>IF(A119="","",INDEX(DIFFERENTIATION_UNMERGE_AREA,MATCH(A119,DIFFERENTIATION_ID_DIFF,0)))</f>
        <v/>
      </c>
      <c r="I120" s="2220"/>
      <c r="J120" s="2220"/>
      <c r="K120" s="2220"/>
      <c r="L120" s="2220"/>
      <c r="M120" s="2220"/>
      <c r="N120" s="2220"/>
      <c r="O120" s="2220"/>
      <c r="P120" s="2220"/>
      <c r="Q120" s="2220"/>
      <c r="R120" s="2220"/>
      <c r="S120" s="725"/>
      <c r="T120" s="722"/>
      <c r="U120" s="631"/>
      <c r="V120" s="631"/>
      <c r="W120" s="632"/>
      <c r="X120" s="632"/>
      <c r="Y120" s="632"/>
      <c r="Z120" s="632"/>
      <c r="AA120" s="633"/>
      <c r="AB120" s="634"/>
      <c r="AC120" s="2224"/>
      <c r="AD120" s="635"/>
      <c r="AE120" s="636"/>
      <c r="AF120" s="636"/>
      <c r="AG120" s="637"/>
      <c r="AH120" s="638"/>
      <c r="AI120" s="631"/>
      <c r="AJ120" s="631"/>
      <c r="AK120" s="631"/>
      <c r="AL120" s="631"/>
      <c r="AM120" s="631"/>
      <c r="AN120" s="631"/>
      <c r="AO120" s="631"/>
      <c r="AP120" s="631"/>
      <c r="AQ120" s="631"/>
      <c r="AR120" s="631"/>
      <c r="AS120" s="631"/>
      <c r="AT120" s="631"/>
      <c r="AU120" s="631"/>
      <c r="AV120" s="631"/>
      <c r="AW120" s="631"/>
      <c r="AX120" s="631"/>
      <c r="AY120" s="631"/>
      <c r="AZ120" s="631"/>
      <c r="BA120" s="631"/>
      <c r="BB120" s="631"/>
      <c r="BC120" s="631"/>
      <c r="BD120" s="631"/>
      <c r="BE120" s="631"/>
      <c r="BF120" s="631"/>
      <c r="BG120" s="631"/>
      <c r="BH120" s="631"/>
      <c r="BI120" s="631"/>
      <c r="BJ120" s="631"/>
      <c r="BK120" s="631"/>
      <c r="BL120" s="631"/>
      <c r="BM120" s="631"/>
      <c r="BN120" s="631"/>
      <c r="BO120" s="631"/>
      <c r="BP120" s="631"/>
      <c r="BQ120" s="631"/>
      <c r="BR120" s="631"/>
      <c r="BS120" s="631"/>
      <c r="BT120" s="631"/>
      <c r="BU120" s="631"/>
      <c r="BV120" s="632"/>
      <c r="BW120" s="632"/>
      <c r="BX120" s="632"/>
      <c r="BY120" s="632"/>
      <c r="BZ120" s="632"/>
      <c r="CA120" s="632"/>
      <c r="CB120" s="632"/>
      <c r="CC120" s="632"/>
      <c r="CD120" s="632"/>
      <c r="CE120" s="632"/>
    </row>
    <row s="2665" customFormat="1" customHeight="1" ht="15">
      <c r="A121" s="629"/>
      <c r="B121" s="630"/>
      <c r="C121" s="630"/>
      <c r="D121" s="2362"/>
      <c r="E121" s="2225" t="s">
        <v>553</v>
      </c>
      <c r="F121" s="2226"/>
      <c r="G121" s="2227"/>
      <c r="H121" s="2220" t="str">
        <f>IF(A119="","",INDEX(DIFFERENTIATION_UNMERGE_SYSTEM,MATCH(A119,DIFFERENTIATION_ID_DIFF,0)))</f>
        <v/>
      </c>
      <c r="I121" s="2220"/>
      <c r="J121" s="2220"/>
      <c r="K121" s="2220"/>
      <c r="L121" s="2220"/>
      <c r="M121" s="2220"/>
      <c r="N121" s="2220"/>
      <c r="O121" s="2220"/>
      <c r="P121" s="2220"/>
      <c r="Q121" s="2220"/>
      <c r="R121" s="2220"/>
      <c r="S121" s="725"/>
      <c r="T121" s="722"/>
      <c r="U121" s="631"/>
      <c r="V121" s="631"/>
      <c r="W121" s="632"/>
      <c r="X121" s="632"/>
      <c r="Y121" s="632"/>
      <c r="Z121" s="632"/>
      <c r="AA121" s="633"/>
      <c r="AB121" s="634"/>
      <c r="AC121" s="2224"/>
      <c r="AD121" s="635"/>
      <c r="AE121" s="636"/>
      <c r="AF121" s="636"/>
      <c r="AG121" s="637"/>
      <c r="AH121" s="638"/>
      <c r="AI121" s="631"/>
      <c r="AJ121" s="631"/>
      <c r="AK121" s="631"/>
      <c r="AL121" s="631"/>
      <c r="AM121" s="631"/>
      <c r="AN121" s="631"/>
      <c r="AO121" s="631"/>
      <c r="AP121" s="631"/>
      <c r="AQ121" s="631"/>
      <c r="AR121" s="631"/>
      <c r="AS121" s="631"/>
      <c r="AT121" s="631"/>
      <c r="AU121" s="631"/>
      <c r="AV121" s="631"/>
      <c r="AW121" s="631"/>
      <c r="AX121" s="631"/>
      <c r="AY121" s="631"/>
      <c r="AZ121" s="631"/>
      <c r="BA121" s="631"/>
      <c r="BB121" s="631"/>
      <c r="BC121" s="631"/>
      <c r="BD121" s="631"/>
      <c r="BE121" s="631"/>
      <c r="BF121" s="631"/>
      <c r="BG121" s="631"/>
      <c r="BH121" s="631"/>
      <c r="BI121" s="631"/>
      <c r="BJ121" s="631"/>
      <c r="BK121" s="631"/>
      <c r="BL121" s="631"/>
      <c r="BM121" s="631"/>
      <c r="BN121" s="631"/>
      <c r="BO121" s="631"/>
      <c r="BP121" s="631"/>
      <c r="BQ121" s="631"/>
      <c r="BR121" s="631"/>
      <c r="BS121" s="631"/>
      <c r="BT121" s="631"/>
      <c r="BU121" s="631"/>
      <c r="BV121" s="632"/>
      <c r="BW121" s="632"/>
      <c r="BX121" s="632"/>
      <c r="BY121" s="632"/>
      <c r="BZ121" s="632"/>
      <c r="CA121" s="632"/>
      <c r="CB121" s="632"/>
      <c r="CC121" s="632"/>
      <c r="CD121" s="632"/>
      <c r="CE121" s="632"/>
    </row>
    <row s="2665" customFormat="1" customHeight="1" ht="24.75">
      <c r="A122" s="1847"/>
      <c r="B122" s="1168"/>
      <c r="C122" s="418"/>
      <c r="D122" s="2362"/>
      <c r="E122" s="2222" t="s">
        <v>598</v>
      </c>
      <c r="F122" s="2222"/>
      <c r="G122" s="2222"/>
      <c r="H122" s="2222"/>
      <c r="I122" s="2222"/>
      <c r="J122" s="2222"/>
      <c r="K122" s="2222"/>
      <c r="L122" s="2222"/>
      <c r="M122" s="2222"/>
      <c r="N122" s="2222"/>
      <c r="O122" s="2222"/>
      <c r="P122" s="2222"/>
      <c r="Q122" s="564">
        <f>SUMIF(T123:T124,"i",Q123:Q124)</f>
        <v>0</v>
      </c>
      <c r="R122" s="1024"/>
      <c r="S122" s="1839" t="s">
        <v>599</v>
      </c>
      <c r="T122" s="723" t="s">
        <v>600</v>
      </c>
      <c r="U122" s="2223">
        <v>1</v>
      </c>
      <c r="V122" s="2223" t="s">
        <v>563</v>
      </c>
      <c r="W122" s="1168"/>
      <c r="X122" s="1168"/>
      <c r="Y122" s="1168"/>
      <c r="Z122" s="1168"/>
      <c r="AA122" s="1676"/>
      <c r="AB122" s="1168"/>
      <c r="AC122" s="2224"/>
      <c r="AD122" s="635"/>
      <c r="AE122" s="1168"/>
      <c r="AF122" s="1168"/>
      <c r="AG122" s="1676"/>
      <c r="AH122" s="1676"/>
      <c r="AI122" s="1676"/>
      <c r="AJ122" s="1676"/>
      <c r="AK122" s="1676"/>
      <c r="AL122" s="1676"/>
      <c r="AM122" s="1676"/>
      <c r="AN122" s="1676"/>
      <c r="AO122" s="1676"/>
      <c r="AP122" s="1676"/>
      <c r="AQ122" s="1676"/>
      <c r="AR122" s="1676"/>
      <c r="AS122" s="1676"/>
      <c r="AT122" s="1676"/>
      <c r="AU122" s="1676"/>
      <c r="AV122" s="1676"/>
      <c r="AW122" s="1676"/>
      <c r="AX122" s="1676"/>
      <c r="AY122" s="1676"/>
      <c r="AZ122" s="1676"/>
      <c r="BA122" s="1676"/>
      <c r="BB122" s="1676"/>
      <c r="BC122" s="1676"/>
      <c r="BD122" s="1676"/>
      <c r="BE122" s="1676"/>
      <c r="BF122" s="1676"/>
      <c r="BG122" s="1676"/>
      <c r="BH122" s="1676"/>
      <c r="BI122" s="1676"/>
      <c r="BJ122" s="1676"/>
      <c r="BK122" s="1676"/>
      <c r="BL122" s="1676"/>
      <c r="BM122" s="1676"/>
      <c r="BN122" s="1676"/>
      <c r="BO122" s="1676"/>
      <c r="BP122" s="1676"/>
      <c r="BQ122" s="1676"/>
      <c r="BR122" s="1676"/>
      <c r="BS122" s="1676"/>
      <c r="BT122" s="1676"/>
      <c r="BU122" s="1676"/>
      <c r="BV122" s="1168"/>
      <c r="BW122" s="1168"/>
      <c r="BX122" s="1168"/>
      <c r="BY122" s="1168"/>
      <c r="BZ122" s="1168"/>
      <c r="CA122" s="1168"/>
      <c r="CB122" s="1168"/>
      <c r="CC122" s="1168"/>
      <c r="CD122" s="1168"/>
      <c r="CE122" s="1168"/>
    </row>
    <row s="2665" customFormat="1" customHeight="1" ht="11.25" hidden="1">
      <c r="A123" s="1834"/>
      <c r="B123" s="1676"/>
      <c r="C123" s="1676"/>
      <c r="D123" s="2362"/>
      <c r="E123" s="641"/>
      <c r="F123" s="641">
        <v>0</v>
      </c>
      <c r="G123" s="641"/>
      <c r="H123" s="641"/>
      <c r="I123" s="641"/>
      <c r="J123" s="641"/>
      <c r="K123" s="641"/>
      <c r="L123" s="641"/>
      <c r="M123" s="641"/>
      <c r="N123" s="641"/>
      <c r="O123" s="641"/>
      <c r="P123" s="641"/>
      <c r="Q123" s="641"/>
      <c r="R123" s="641"/>
      <c r="S123" s="642"/>
      <c r="T123" s="724"/>
      <c r="U123" s="2223"/>
      <c r="V123" s="2223"/>
      <c r="W123" s="1676"/>
      <c r="X123" s="1676"/>
      <c r="Y123" s="1676"/>
      <c r="Z123" s="1676"/>
      <c r="AA123" s="1676"/>
      <c r="AB123" s="1168"/>
      <c r="AC123" s="2224"/>
      <c r="AD123" s="635"/>
      <c r="AE123" s="1168"/>
      <c r="AF123" s="1168"/>
      <c r="AG123" s="1676"/>
      <c r="AH123" s="1676"/>
      <c r="AI123" s="1676"/>
      <c r="AJ123" s="1676"/>
      <c r="AK123" s="1676"/>
      <c r="AL123" s="1676"/>
      <c r="AM123" s="1676"/>
      <c r="AN123" s="1676"/>
      <c r="AO123" s="1676"/>
      <c r="AP123" s="1676"/>
      <c r="AQ123" s="1676"/>
      <c r="AR123" s="1676"/>
      <c r="AS123" s="1676"/>
      <c r="AT123" s="1676"/>
      <c r="AU123" s="1676"/>
      <c r="AV123" s="1676"/>
      <c r="AW123" s="1676"/>
      <c r="AX123" s="1676"/>
      <c r="AY123" s="1676"/>
      <c r="AZ123" s="1676"/>
      <c r="BA123" s="1676"/>
      <c r="BB123" s="1676"/>
      <c r="BC123" s="1676"/>
      <c r="BD123" s="1676"/>
      <c r="BE123" s="1676"/>
      <c r="BF123" s="1676"/>
      <c r="BG123" s="1676"/>
      <c r="BH123" s="1676"/>
      <c r="BI123" s="1676"/>
      <c r="BJ123" s="1676"/>
      <c r="BK123" s="1676"/>
      <c r="BL123" s="1676"/>
      <c r="BM123" s="1676"/>
      <c r="BN123" s="1676"/>
      <c r="BO123" s="1676"/>
      <c r="BP123" s="1676"/>
      <c r="BQ123" s="1676"/>
      <c r="BR123" s="1676"/>
      <c r="BS123" s="1676"/>
      <c r="BT123" s="1676"/>
      <c r="BU123" s="1676"/>
      <c r="BV123" s="1676"/>
      <c r="BW123" s="1676"/>
      <c r="BX123" s="1676"/>
      <c r="BY123" s="1676"/>
      <c r="BZ123" s="1676"/>
      <c r="CA123" s="1676"/>
      <c r="CB123" s="1676"/>
      <c r="CC123" s="1676"/>
      <c r="CD123" s="1676"/>
      <c r="CE123" s="1676"/>
    </row>
    <row s="2665" customFormat="1" customHeight="1" ht="11.25">
      <c r="A124" s="1847"/>
      <c r="B124" s="1168"/>
      <c r="C124" s="418"/>
      <c r="D124" s="2362"/>
      <c r="E124" s="655" t="s">
        <v>24</v>
      </c>
      <c r="F124" s="1176" t="s">
        <v>24</v>
      </c>
      <c r="G124" s="1176" t="s">
        <v>1157</v>
      </c>
      <c r="H124" s="657" t="s">
        <v>24</v>
      </c>
      <c r="I124" s="657"/>
      <c r="J124" s="657"/>
      <c r="K124" s="657"/>
      <c r="L124" s="657"/>
      <c r="M124" s="657"/>
      <c r="N124" s="657"/>
      <c r="O124" s="657"/>
      <c r="P124" s="657"/>
      <c r="Q124" s="657"/>
      <c r="R124" s="658"/>
      <c r="S124" s="659"/>
      <c r="T124" s="724"/>
      <c r="U124" s="2223"/>
      <c r="V124" s="2223"/>
      <c r="W124" s="1168"/>
      <c r="X124" s="1168"/>
      <c r="Y124" s="1168"/>
      <c r="Z124" s="1168"/>
      <c r="AA124" s="1676"/>
      <c r="AB124" s="1168"/>
      <c r="AC124" s="2224"/>
      <c r="AD124" s="635"/>
      <c r="AE124" s="1168"/>
      <c r="AF124" s="1168"/>
      <c r="AG124" s="1676"/>
      <c r="AH124" s="1676"/>
      <c r="AI124" s="1676"/>
      <c r="AJ124" s="1676"/>
      <c r="AK124" s="1676"/>
      <c r="AL124" s="1676"/>
      <c r="AM124" s="1676"/>
      <c r="AN124" s="1676"/>
      <c r="AO124" s="1676"/>
      <c r="AP124" s="1676"/>
      <c r="AQ124" s="1676"/>
      <c r="AR124" s="1676"/>
      <c r="AS124" s="1676"/>
      <c r="AT124" s="1676"/>
      <c r="AU124" s="1676"/>
      <c r="AV124" s="1676"/>
      <c r="AW124" s="1676"/>
      <c r="AX124" s="1676"/>
      <c r="AY124" s="1676"/>
      <c r="AZ124" s="1676"/>
      <c r="BA124" s="1676"/>
      <c r="BB124" s="1676"/>
      <c r="BC124" s="1676"/>
      <c r="BD124" s="1676"/>
      <c r="BE124" s="1676"/>
      <c r="BF124" s="1676"/>
      <c r="BG124" s="1676"/>
      <c r="BH124" s="1676"/>
      <c r="BI124" s="1676"/>
      <c r="BJ124" s="1676"/>
      <c r="BK124" s="1676"/>
      <c r="BL124" s="1676"/>
      <c r="BM124" s="1676"/>
      <c r="BN124" s="1676"/>
      <c r="BO124" s="1676"/>
      <c r="BP124" s="1676"/>
      <c r="BQ124" s="1676"/>
      <c r="BR124" s="1676"/>
      <c r="BS124" s="1676"/>
      <c r="BT124" s="1676"/>
      <c r="BU124" s="1676"/>
      <c r="BV124" s="1168"/>
      <c r="BW124" s="1168"/>
      <c r="BX124" s="1168"/>
      <c r="BY124" s="1168"/>
      <c r="BZ124" s="1168"/>
      <c r="CA124" s="1168"/>
      <c r="CB124" s="1168"/>
      <c r="CC124" s="1168"/>
      <c r="CD124" s="1168"/>
      <c r="CE124" s="1168"/>
    </row>
    <row s="2673" customFormat="1" customHeight="1" ht="5.25" hidden="1">
      <c r="A125" s="1834"/>
      <c r="B125" s="1676"/>
      <c r="C125" s="1676"/>
      <c r="D125" s="2362"/>
      <c r="E125" s="1046"/>
      <c r="F125" s="1046"/>
      <c r="G125" s="1046"/>
      <c r="H125" s="1046"/>
      <c r="I125" s="1046"/>
      <c r="J125" s="1046"/>
      <c r="K125" s="1046"/>
      <c r="L125" s="1046"/>
      <c r="M125" s="1046"/>
      <c r="N125" s="1046"/>
      <c r="O125" s="1046"/>
      <c r="P125" s="1046"/>
      <c r="Q125" s="1047"/>
      <c r="R125" s="1048"/>
      <c r="S125" s="1049"/>
      <c r="T125" s="723" t="s">
        <v>600</v>
      </c>
      <c r="U125" s="2223">
        <v>1</v>
      </c>
      <c r="V125" s="2223" t="s">
        <v>563</v>
      </c>
      <c r="W125" s="1676"/>
      <c r="X125" s="1676"/>
      <c r="Y125" s="1676"/>
      <c r="Z125" s="1676"/>
      <c r="AA125" s="1676"/>
      <c r="AB125" s="1676"/>
      <c r="AC125" s="1044"/>
      <c r="AD125" s="1045"/>
      <c r="AE125" s="1676"/>
      <c r="AF125" s="1676"/>
      <c r="AG125" s="1676"/>
      <c r="AH125" s="1676"/>
      <c r="AI125" s="1676"/>
      <c r="AJ125" s="1676"/>
      <c r="AK125" s="1676"/>
      <c r="AL125" s="1676"/>
      <c r="AM125" s="1676"/>
      <c r="AN125" s="1676"/>
      <c r="AO125" s="1676"/>
      <c r="AP125" s="1676"/>
      <c r="AQ125" s="1676"/>
      <c r="AR125" s="1676"/>
      <c r="AS125" s="1676"/>
      <c r="AT125" s="1676"/>
      <c r="AU125" s="1676"/>
      <c r="AV125" s="1676"/>
      <c r="AW125" s="1676"/>
      <c r="AX125" s="1676"/>
      <c r="AY125" s="1676"/>
      <c r="AZ125" s="1676"/>
      <c r="BA125" s="1676"/>
      <c r="BB125" s="1676"/>
      <c r="BC125" s="1676"/>
      <c r="BD125" s="1676"/>
      <c r="BE125" s="1676"/>
      <c r="BF125" s="1676"/>
      <c r="BG125" s="1676"/>
      <c r="BH125" s="1676"/>
      <c r="BI125" s="1676"/>
      <c r="BJ125" s="1676"/>
      <c r="BK125" s="1676"/>
      <c r="BL125" s="1676"/>
      <c r="BM125" s="1676"/>
      <c r="BN125" s="1676"/>
      <c r="BO125" s="1676"/>
      <c r="BP125" s="1676"/>
      <c r="BQ125" s="1676"/>
      <c r="BR125" s="1676"/>
      <c r="BS125" s="1676"/>
      <c r="BT125" s="1676"/>
      <c r="BU125" s="1676"/>
      <c r="BV125" s="1676"/>
      <c r="BW125" s="1676"/>
      <c r="BX125" s="1676"/>
      <c r="BY125" s="1676"/>
      <c r="BZ125" s="1676"/>
      <c r="CA125" s="1676"/>
      <c r="CB125" s="1676"/>
      <c r="CC125" s="1676"/>
      <c r="CD125" s="1676"/>
      <c r="CE125" s="1676"/>
    </row>
    <row s="2673" customFormat="1" customHeight="1" ht="5.25" hidden="1">
      <c r="A126" s="1834"/>
      <c r="B126" s="1676"/>
      <c r="C126" s="1676"/>
      <c r="D126" s="2362"/>
      <c r="E126" s="641"/>
      <c r="F126" s="641"/>
      <c r="G126" s="641"/>
      <c r="H126" s="641"/>
      <c r="I126" s="641"/>
      <c r="J126" s="641"/>
      <c r="K126" s="641"/>
      <c r="L126" s="641"/>
      <c r="M126" s="641"/>
      <c r="N126" s="641"/>
      <c r="O126" s="641"/>
      <c r="P126" s="641"/>
      <c r="Q126" s="641"/>
      <c r="R126" s="641"/>
      <c r="S126" s="642"/>
      <c r="T126" s="724"/>
      <c r="U126" s="2223"/>
      <c r="V126" s="2223"/>
      <c r="W126" s="1676"/>
      <c r="X126" s="1676"/>
      <c r="Y126" s="1676"/>
      <c r="Z126" s="1676"/>
      <c r="AA126" s="1676"/>
      <c r="AB126" s="1676"/>
      <c r="AC126" s="1044"/>
      <c r="AD126" s="1045"/>
      <c r="AE126" s="1676"/>
      <c r="AF126" s="1676"/>
      <c r="AG126" s="1676"/>
      <c r="AH126" s="1676"/>
      <c r="AI126" s="1676"/>
      <c r="AJ126" s="1676"/>
      <c r="AK126" s="1676"/>
      <c r="AL126" s="1676"/>
      <c r="AM126" s="1676"/>
      <c r="AN126" s="1676"/>
      <c r="AO126" s="1676"/>
      <c r="AP126" s="1676"/>
      <c r="AQ126" s="1676"/>
      <c r="AR126" s="1676"/>
      <c r="AS126" s="1676"/>
      <c r="AT126" s="1676"/>
      <c r="AU126" s="1676"/>
      <c r="AV126" s="1676"/>
      <c r="AW126" s="1676"/>
      <c r="AX126" s="1676"/>
      <c r="AY126" s="1676"/>
      <c r="AZ126" s="1676"/>
      <c r="BA126" s="1676"/>
      <c r="BB126" s="1676"/>
      <c r="BC126" s="1676"/>
      <c r="BD126" s="1676"/>
      <c r="BE126" s="1676"/>
      <c r="BF126" s="1676"/>
      <c r="BG126" s="1676"/>
      <c r="BH126" s="1676"/>
      <c r="BI126" s="1676"/>
      <c r="BJ126" s="1676"/>
      <c r="BK126" s="1676"/>
      <c r="BL126" s="1676"/>
      <c r="BM126" s="1676"/>
      <c r="BN126" s="1676"/>
      <c r="BO126" s="1676"/>
      <c r="BP126" s="1676"/>
      <c r="BQ126" s="1676"/>
      <c r="BR126" s="1676"/>
      <c r="BS126" s="1676"/>
      <c r="BT126" s="1676"/>
      <c r="BU126" s="1676"/>
      <c r="BV126" s="1676"/>
      <c r="BW126" s="1676"/>
      <c r="BX126" s="1676"/>
      <c r="BY126" s="1676"/>
      <c r="BZ126" s="1676"/>
      <c r="CA126" s="1676"/>
      <c r="CB126" s="1676"/>
      <c r="CC126" s="1676"/>
      <c r="CD126" s="1676"/>
      <c r="CE126" s="1676"/>
    </row>
    <row s="2673" customFormat="1" customHeight="1" ht="5.25" hidden="1">
      <c r="A127" s="1834"/>
      <c r="B127" s="1676"/>
      <c r="C127" s="1676"/>
      <c r="D127" s="2363"/>
      <c r="E127" s="1050"/>
      <c r="F127" s="1051"/>
      <c r="G127" s="1051"/>
      <c r="H127" s="1052"/>
      <c r="I127" s="1052"/>
      <c r="J127" s="1052"/>
      <c r="K127" s="1052"/>
      <c r="L127" s="1052"/>
      <c r="M127" s="1052"/>
      <c r="N127" s="1052"/>
      <c r="O127" s="1052"/>
      <c r="P127" s="1052"/>
      <c r="Q127" s="1052"/>
      <c r="R127" s="953"/>
      <c r="S127" s="1053"/>
      <c r="T127" s="724"/>
      <c r="U127" s="2223"/>
      <c r="V127" s="2223"/>
      <c r="W127" s="1676"/>
      <c r="X127" s="1676"/>
      <c r="Y127" s="1676"/>
      <c r="Z127" s="1676"/>
      <c r="AA127" s="1676"/>
      <c r="AB127" s="1676"/>
      <c r="AC127" s="1044"/>
      <c r="AD127" s="1045"/>
      <c r="AE127" s="1676"/>
      <c r="AF127" s="1676"/>
      <c r="AG127" s="1676"/>
      <c r="AH127" s="1676"/>
      <c r="AI127" s="1676"/>
      <c r="AJ127" s="1676"/>
      <c r="AK127" s="1676"/>
      <c r="AL127" s="1676"/>
      <c r="AM127" s="1676"/>
      <c r="AN127" s="1676"/>
      <c r="AO127" s="1676"/>
      <c r="AP127" s="1676"/>
      <c r="AQ127" s="1676"/>
      <c r="AR127" s="1676"/>
      <c r="AS127" s="1676"/>
      <c r="AT127" s="1676"/>
      <c r="AU127" s="1676"/>
      <c r="AV127" s="1676"/>
      <c r="AW127" s="1676"/>
      <c r="AX127" s="1676"/>
      <c r="AY127" s="1676"/>
      <c r="AZ127" s="1676"/>
      <c r="BA127" s="1676"/>
      <c r="BB127" s="1676"/>
      <c r="BC127" s="1676"/>
      <c r="BD127" s="1676"/>
      <c r="BE127" s="1676"/>
      <c r="BF127" s="1676"/>
      <c r="BG127" s="1676"/>
      <c r="BH127" s="1676"/>
      <c r="BI127" s="1676"/>
      <c r="BJ127" s="1676"/>
      <c r="BK127" s="1676"/>
      <c r="BL127" s="1676"/>
      <c r="BM127" s="1676"/>
      <c r="BN127" s="1676"/>
      <c r="BO127" s="1676"/>
      <c r="BP127" s="1676"/>
      <c r="BQ127" s="1676"/>
      <c r="BR127" s="1676"/>
      <c r="BS127" s="1676"/>
      <c r="BT127" s="1676"/>
      <c r="BU127" s="1676"/>
      <c r="BV127" s="1676"/>
      <c r="BW127" s="1676"/>
      <c r="BX127" s="1676"/>
      <c r="BY127" s="1676"/>
      <c r="BZ127" s="1676"/>
      <c r="CA127" s="1676"/>
      <c r="CB127" s="1676"/>
      <c r="CC127" s="1676"/>
      <c r="CD127" s="1676"/>
      <c r="CE127" s="1676"/>
    </row>
    <row customHeight="1" ht="17.25">
      <c r="D128" s="1877"/>
    </row>
    <row s="4600" customFormat="1" customHeight="1" ht="11.25">
      <c r="A129" s="1856" t="s">
        <v>1159</v>
      </c>
    </row>
    <row r="131" s="2665" customFormat="1" customHeight="1" ht="45">
      <c r="A131" s="1847"/>
      <c r="B131" s="1168"/>
      <c r="C131" s="418"/>
      <c r="D131" s="74"/>
      <c r="E131" s="2373"/>
      <c r="F131" s="1982" t="s">
        <v>110</v>
      </c>
      <c r="G131" s="2376" t="s">
        <v>24</v>
      </c>
      <c r="H131" s="277"/>
      <c r="I131" s="643" t="s">
        <v>110</v>
      </c>
      <c r="J131" s="1848" t="s">
        <v>1160</v>
      </c>
      <c r="K131" s="644" t="s">
        <v>534</v>
      </c>
      <c r="L131" s="2073" t="s">
        <v>534</v>
      </c>
      <c r="M131" s="2378"/>
      <c r="N131" s="644" t="s">
        <v>534</v>
      </c>
      <c r="O131" s="644" t="s">
        <v>534</v>
      </c>
      <c r="P131" s="644" t="s">
        <v>534</v>
      </c>
      <c r="Q131" s="645">
        <f>SUM(Q132:Q134)</f>
        <v>0</v>
      </c>
      <c r="R131" s="645">
        <f>IF(R128=0,0,(Q128/R128)*100)</f>
        <v>0</v>
      </c>
      <c r="S131" s="2041"/>
      <c r="T131" s="723" t="s">
        <v>600</v>
      </c>
      <c r="U131" s="74"/>
      <c r="V131" s="74"/>
      <c r="AC131" s="74"/>
    </row>
    <row s="2665" customFormat="1" customHeight="1" ht="11.25">
      <c r="A132" s="1847"/>
      <c r="B132" s="1168"/>
      <c r="C132" s="418"/>
      <c r="D132" s="74"/>
      <c r="E132" s="2374"/>
      <c r="F132" s="1982"/>
      <c r="G132" s="2376"/>
      <c r="H132" s="1971"/>
      <c r="I132" s="2356" t="s">
        <v>924</v>
      </c>
      <c r="J132" s="2370"/>
      <c r="K132" s="2371"/>
      <c r="L132" s="646"/>
      <c r="M132" s="647" t="s">
        <v>110</v>
      </c>
      <c r="N132" s="1836"/>
      <c r="O132" s="648"/>
      <c r="P132" s="649"/>
      <c r="Q132" s="648"/>
      <c r="R132" s="650">
        <v>0</v>
      </c>
      <c r="S132" s="2041"/>
      <c r="T132" s="723"/>
      <c r="U132" s="74"/>
      <c r="V132" s="74"/>
      <c r="AC132" s="74"/>
    </row>
    <row s="2665" customFormat="1" customHeight="1" ht="11.25">
      <c r="A133" s="1847"/>
      <c r="B133" s="1168"/>
      <c r="C133" s="418"/>
      <c r="D133" s="74"/>
      <c r="E133" s="2374"/>
      <c r="F133" s="1982"/>
      <c r="G133" s="2376"/>
      <c r="H133" s="1971"/>
      <c r="I133" s="2356"/>
      <c r="J133" s="2370"/>
      <c r="K133" s="2372"/>
      <c r="L133" s="651"/>
      <c r="M133" s="652"/>
      <c r="N133" s="653" t="s">
        <v>1161</v>
      </c>
      <c r="O133" s="653"/>
      <c r="P133" s="653"/>
      <c r="Q133" s="653"/>
      <c r="R133" s="654"/>
      <c r="S133" s="2041"/>
      <c r="T133" s="723"/>
      <c r="U133" s="74"/>
      <c r="V133" s="74"/>
      <c r="AC133" s="74"/>
    </row>
    <row s="2665" customFormat="1" customHeight="1" ht="11.25">
      <c r="A134" s="1847"/>
      <c r="B134" s="1168"/>
      <c r="C134" s="418"/>
      <c r="D134" s="74"/>
      <c r="E134" s="2375"/>
      <c r="F134" s="1982"/>
      <c r="G134" s="2377"/>
      <c r="H134" s="651" t="s">
        <v>24</v>
      </c>
      <c r="I134" s="652"/>
      <c r="J134" s="653" t="s">
        <v>1162</v>
      </c>
      <c r="K134" s="653"/>
      <c r="L134" s="653"/>
      <c r="M134" s="653"/>
      <c r="N134" s="653"/>
      <c r="O134" s="653"/>
      <c r="P134" s="653"/>
      <c r="Q134" s="653"/>
      <c r="R134" s="654"/>
      <c r="S134" s="2041"/>
      <c r="T134" s="723"/>
      <c r="U134" s="74"/>
      <c r="V134" s="74"/>
      <c r="AC134" s="74"/>
    </row>
    <row r="139" s="2665" customFormat="1" customHeight="1" ht="11.25">
      <c r="A139" s="1847"/>
      <c r="B139" s="1168"/>
      <c r="C139" s="418"/>
      <c r="D139" s="74"/>
      <c r="E139" s="1871"/>
      <c r="F139" s="1871"/>
      <c r="G139" s="1871"/>
      <c r="H139" s="1971"/>
      <c r="I139" s="2356" t="s">
        <v>924</v>
      </c>
      <c r="J139" s="2370"/>
      <c r="K139" s="2371"/>
      <c r="L139" s="646"/>
      <c r="M139" s="647" t="s">
        <v>110</v>
      </c>
      <c r="N139" s="1836"/>
      <c r="O139" s="648"/>
      <c r="P139" s="649"/>
      <c r="Q139" s="648"/>
      <c r="R139" s="650">
        <v>0</v>
      </c>
      <c r="S139" s="74"/>
      <c r="T139" s="723"/>
      <c r="U139" s="74"/>
      <c r="V139" s="74"/>
      <c r="AC139" s="74"/>
    </row>
    <row s="2665" customFormat="1" customHeight="1" ht="11.25">
      <c r="A140" s="1847"/>
      <c r="B140" s="1168"/>
      <c r="C140" s="418"/>
      <c r="D140" s="74"/>
      <c r="E140" s="1871"/>
      <c r="F140" s="1871"/>
      <c r="G140" s="1871"/>
      <c r="H140" s="1971"/>
      <c r="I140" s="2356"/>
      <c r="J140" s="2370"/>
      <c r="K140" s="2372"/>
      <c r="L140" s="651"/>
      <c r="M140" s="652"/>
      <c r="N140" s="653" t="s">
        <v>1161</v>
      </c>
      <c r="O140" s="653"/>
      <c r="P140" s="653"/>
      <c r="Q140" s="653"/>
      <c r="R140" s="654"/>
      <c r="S140" s="74"/>
      <c r="T140" s="723"/>
      <c r="U140" s="74"/>
      <c r="V140" s="74"/>
      <c r="AC140" s="74"/>
    </row>
    <row r="142" s="2665" customFormat="1" customHeight="1" ht="11.25">
      <c r="A142" s="1847"/>
      <c r="B142" s="1168"/>
      <c r="C142" s="418"/>
      <c r="D142" s="74"/>
      <c r="E142" s="1878"/>
      <c r="F142" s="1876"/>
      <c r="G142" s="1876"/>
      <c r="H142" s="1879"/>
      <c r="I142" s="1871"/>
      <c r="J142" s="1872"/>
      <c r="K142" s="1872"/>
      <c r="L142" s="646"/>
      <c r="M142" s="647" t="s">
        <v>110</v>
      </c>
      <c r="N142" s="1836"/>
      <c r="O142" s="648"/>
      <c r="P142" s="649"/>
      <c r="Q142" s="648"/>
      <c r="R142" s="650">
        <v>0</v>
      </c>
      <c r="S142" s="74"/>
      <c r="T142" s="723"/>
      <c r="U142" s="74"/>
      <c r="V142" s="74"/>
      <c r="AC142" s="74"/>
    </row>
    <row r="144" s="4600" customFormat="1" customHeight="1" ht="17.25">
      <c r="A144" s="1856" t="s">
        <v>1163</v>
      </c>
    </row>
    <row customHeight="1" ht="17.25">
      <c r="G145" s="1880"/>
      <c r="H145" s="1880"/>
      <c r="I145" s="1880"/>
      <c r="M145" s="1876"/>
    </row>
    <row s="4794" customFormat="1" customHeight="1" ht="17.25">
      <c r="A146" s="1881"/>
      <c r="C146" s="1883"/>
      <c r="D146" s="2353"/>
      <c r="E146" s="1993"/>
      <c r="F146" s="1995"/>
      <c r="G146" s="2359"/>
      <c r="H146" s="2353"/>
      <c r="I146" s="2353">
        <v>1</v>
      </c>
      <c r="J146" s="2389"/>
      <c r="K146" s="2044" t="s">
        <v>62</v>
      </c>
      <c r="L146" s="1982"/>
      <c r="M146" s="1982" t="s">
        <v>110</v>
      </c>
      <c r="N146" s="2387" t="str">
        <f>IF(Z146="","",INDEX(TERRITORY_MR_LIST,MATCH(Z146,TERRITORY_LIST_ID,0)))</f>
        <v/>
      </c>
      <c r="O146" s="2044" t="s">
        <v>62</v>
      </c>
      <c r="P146" s="1982"/>
      <c r="Q146" s="1982" t="s">
        <v>110</v>
      </c>
      <c r="R146" s="2358" t="s">
        <v>24</v>
      </c>
      <c r="S146" s="1981" t="s">
        <v>62</v>
      </c>
      <c r="T146" s="1852"/>
      <c r="U146" s="1852" t="s">
        <v>110</v>
      </c>
      <c r="V146" s="1884" t="s">
        <v>24</v>
      </c>
      <c r="W146" s="1842"/>
      <c r="Y146" s="1296"/>
      <c r="Z146" s="1296"/>
      <c r="AA146" s="1296"/>
      <c r="AB146" s="1296"/>
      <c r="AC146" s="1296"/>
      <c r="AD146" s="1296"/>
      <c r="AE146" s="1296"/>
      <c r="AF146" s="1296"/>
      <c r="AG146" s="1296"/>
      <c r="AH146" s="1296"/>
      <c r="AI146" s="1296"/>
      <c r="AJ146" s="1296"/>
      <c r="AK146" s="1296"/>
      <c r="AL146" s="1885"/>
      <c r="AM146" s="1885"/>
      <c r="AN146" s="1296"/>
      <c r="AO146" s="1296"/>
      <c r="AP146" s="1296"/>
      <c r="AQ146" s="1296"/>
    </row>
    <row s="4794" customFormat="1" customHeight="1" ht="17.25">
      <c r="A147" s="1881"/>
      <c r="C147" s="1886"/>
      <c r="D147" s="2353"/>
      <c r="E147" s="1993"/>
      <c r="F147" s="1996"/>
      <c r="G147" s="2359"/>
      <c r="H147" s="2353"/>
      <c r="I147" s="2353"/>
      <c r="J147" s="2389"/>
      <c r="K147" s="2045"/>
      <c r="L147" s="1982"/>
      <c r="M147" s="1982"/>
      <c r="N147" s="2387"/>
      <c r="O147" s="2045"/>
      <c r="P147" s="1982"/>
      <c r="Q147" s="1982"/>
      <c r="R147" s="2358"/>
      <c r="S147" s="1981"/>
      <c r="T147" s="310"/>
      <c r="U147" s="311"/>
      <c r="V147" s="311" t="s">
        <v>181</v>
      </c>
      <c r="W147" s="312"/>
      <c r="Y147" s="1288"/>
      <c r="Z147" s="1288"/>
      <c r="AA147" s="1288"/>
      <c r="AB147" s="1288"/>
      <c r="AC147" s="1288"/>
      <c r="AD147" s="1288"/>
      <c r="AE147" s="1288"/>
      <c r="AF147" s="1288"/>
      <c r="AG147" s="1288"/>
      <c r="AH147" s="1288"/>
      <c r="AI147" s="1288"/>
      <c r="AJ147" s="1288"/>
      <c r="AK147" s="1288"/>
    </row>
    <row s="4794" customFormat="1" customHeight="1" ht="17.25">
      <c r="A148" s="1881"/>
      <c r="C148" s="1886"/>
      <c r="D148" s="2354"/>
      <c r="E148" s="2386"/>
      <c r="F148" s="1996"/>
      <c r="G148" s="2360"/>
      <c r="H148" s="2354"/>
      <c r="I148" s="2354"/>
      <c r="J148" s="2390"/>
      <c r="K148" s="2045"/>
      <c r="L148" s="2354"/>
      <c r="M148" s="2354"/>
      <c r="N148" s="2388"/>
      <c r="O148" s="1986"/>
      <c r="P148" s="310"/>
      <c r="Q148" s="311"/>
      <c r="R148" s="311" t="s">
        <v>182</v>
      </c>
      <c r="S148" s="1887"/>
      <c r="T148" s="1887"/>
      <c r="U148" s="1887"/>
      <c r="V148" s="1887"/>
      <c r="W148" s="312"/>
      <c r="Y148" s="1288"/>
      <c r="Z148" s="1288"/>
      <c r="AA148" s="1288"/>
      <c r="AB148" s="1288"/>
      <c r="AC148" s="1288"/>
      <c r="AD148" s="1288"/>
      <c r="AE148" s="1288"/>
      <c r="AF148" s="1288"/>
      <c r="AG148" s="1288"/>
      <c r="AH148" s="1288"/>
      <c r="AI148" s="1288"/>
      <c r="AJ148" s="1288"/>
      <c r="AK148" s="1288"/>
    </row>
    <row s="4794" customFormat="1" customHeight="1" ht="17.25">
      <c r="A149" s="1881"/>
      <c r="C149" s="1886"/>
      <c r="D149" s="2354"/>
      <c r="E149" s="2386"/>
      <c r="F149" s="1996"/>
      <c r="G149" s="2360"/>
      <c r="H149" s="2354"/>
      <c r="I149" s="2354"/>
      <c r="J149" s="2390"/>
      <c r="K149" s="1986"/>
      <c r="L149" s="310"/>
      <c r="M149" s="311"/>
      <c r="N149" s="311" t="s">
        <v>183</v>
      </c>
      <c r="O149" s="311"/>
      <c r="P149" s="311"/>
      <c r="Q149" s="311"/>
      <c r="R149" s="311"/>
      <c r="S149" s="1887"/>
      <c r="T149" s="1887"/>
      <c r="U149" s="1887"/>
      <c r="V149" s="1887"/>
      <c r="W149" s="312"/>
      <c r="Y149" s="1288"/>
      <c r="Z149" s="1288"/>
      <c r="AA149" s="1288"/>
      <c r="AB149" s="1288"/>
      <c r="AC149" s="1288"/>
      <c r="AD149" s="1288"/>
      <c r="AE149" s="1288"/>
      <c r="AF149" s="1288"/>
      <c r="AG149" s="1288"/>
      <c r="AH149" s="1288"/>
      <c r="AI149" s="1288"/>
      <c r="AJ149" s="1288"/>
      <c r="AK149" s="1288"/>
    </row>
    <row s="4794" customFormat="1" customHeight="1" ht="17.25">
      <c r="A150" s="1881"/>
      <c r="C150" s="1886"/>
      <c r="D150" s="2354"/>
      <c r="E150" s="2386"/>
      <c r="F150" s="1997"/>
      <c r="G150" s="2360"/>
      <c r="H150" s="310"/>
      <c r="I150" s="311"/>
      <c r="J150" s="311" t="s">
        <v>184</v>
      </c>
      <c r="K150" s="311"/>
      <c r="L150" s="311"/>
      <c r="M150" s="311"/>
      <c r="N150" s="311"/>
      <c r="O150" s="311"/>
      <c r="P150" s="311"/>
      <c r="Q150" s="311"/>
      <c r="R150" s="311"/>
      <c r="S150" s="1887"/>
      <c r="T150" s="1887"/>
      <c r="U150" s="1887"/>
      <c r="V150" s="1887"/>
      <c r="W150" s="312"/>
      <c r="Y150" s="1288"/>
      <c r="Z150" s="1288"/>
      <c r="AA150" s="1288"/>
      <c r="AB150" s="1288"/>
      <c r="AC150" s="1288"/>
      <c r="AD150" s="1288"/>
      <c r="AE150" s="1288"/>
      <c r="AF150" s="1288"/>
      <c r="AG150" s="1288"/>
      <c r="AH150" s="1288"/>
      <c r="AI150" s="1288"/>
      <c r="AJ150" s="1288"/>
      <c r="AK150" s="1288"/>
    </row>
    <row customHeight="1" ht="17.25">
      <c r="G151" s="1880"/>
      <c r="H151" s="1880"/>
      <c r="I151" s="1880"/>
      <c r="M151" s="1876"/>
    </row>
    <row s="4794" customFormat="1" customHeight="1" ht="17.25">
      <c r="A152" s="1881"/>
      <c r="C152" s="1883"/>
      <c r="D152" s="1871"/>
      <c r="E152" s="1888"/>
      <c r="F152" s="1825"/>
      <c r="G152" s="1889"/>
      <c r="H152" s="2353"/>
      <c r="I152" s="2353">
        <v>1</v>
      </c>
      <c r="J152" s="2389"/>
      <c r="K152" s="2044" t="s">
        <v>62</v>
      </c>
      <c r="L152" s="1982"/>
      <c r="M152" s="1982" t="s">
        <v>110</v>
      </c>
      <c r="N152" s="2387" t="str">
        <f>IF(Z152="","",INDEX(TERRITORY_MR_LIST,MATCH(Z152,TERRITORY_LIST_ID,0)))</f>
        <v/>
      </c>
      <c r="O152" s="2044" t="s">
        <v>62</v>
      </c>
      <c r="P152" s="1982"/>
      <c r="Q152" s="1982" t="s">
        <v>110</v>
      </c>
      <c r="R152" s="2358" t="s">
        <v>24</v>
      </c>
      <c r="S152" s="1981" t="s">
        <v>62</v>
      </c>
      <c r="T152" s="1852"/>
      <c r="U152" s="1852" t="s">
        <v>110</v>
      </c>
      <c r="V152" s="1884" t="s">
        <v>24</v>
      </c>
      <c r="W152" s="1842"/>
      <c r="Y152" s="1296"/>
      <c r="Z152" s="1296"/>
      <c r="AA152" s="1296"/>
      <c r="AB152" s="1296"/>
      <c r="AC152" s="1296"/>
      <c r="AD152" s="1296"/>
      <c r="AE152" s="1296"/>
      <c r="AF152" s="1296"/>
      <c r="AG152" s="1296"/>
      <c r="AH152" s="1296"/>
      <c r="AI152" s="1296"/>
      <c r="AJ152" s="1296"/>
      <c r="AK152" s="1296"/>
      <c r="AL152" s="1885"/>
      <c r="AM152" s="1885"/>
      <c r="AN152" s="1296"/>
      <c r="AO152" s="1296"/>
      <c r="AP152" s="1296"/>
      <c r="AQ152" s="1296"/>
    </row>
    <row s="4794" customFormat="1" customHeight="1" ht="17.25">
      <c r="A153" s="1881"/>
      <c r="C153" s="1886"/>
      <c r="D153" s="1871"/>
      <c r="E153" s="1888"/>
      <c r="F153" s="1825"/>
      <c r="G153" s="1889"/>
      <c r="H153" s="2353"/>
      <c r="I153" s="2353"/>
      <c r="J153" s="2389"/>
      <c r="K153" s="2045"/>
      <c r="L153" s="1982"/>
      <c r="M153" s="1982"/>
      <c r="N153" s="2387"/>
      <c r="O153" s="2045"/>
      <c r="P153" s="1982"/>
      <c r="Q153" s="1982"/>
      <c r="R153" s="2358"/>
      <c r="S153" s="1981"/>
      <c r="T153" s="310"/>
      <c r="U153" s="311"/>
      <c r="V153" s="311" t="s">
        <v>181</v>
      </c>
      <c r="W153" s="312"/>
      <c r="Y153" s="1288"/>
      <c r="Z153" s="1288"/>
      <c r="AA153" s="1288"/>
      <c r="AB153" s="1288"/>
      <c r="AC153" s="1288"/>
      <c r="AD153" s="1288"/>
      <c r="AE153" s="1288"/>
      <c r="AF153" s="1288"/>
      <c r="AG153" s="1288"/>
      <c r="AH153" s="1288"/>
      <c r="AI153" s="1288"/>
      <c r="AJ153" s="1288"/>
      <c r="AK153" s="1288"/>
    </row>
    <row s="4794" customFormat="1" customHeight="1" ht="17.25">
      <c r="A154" s="1881"/>
      <c r="C154" s="1886"/>
      <c r="D154" s="1871"/>
      <c r="E154" s="1888"/>
      <c r="F154" s="1825"/>
      <c r="G154" s="1889"/>
      <c r="H154" s="2354"/>
      <c r="I154" s="2354"/>
      <c r="J154" s="2390"/>
      <c r="K154" s="2045"/>
      <c r="L154" s="2354"/>
      <c r="M154" s="2354"/>
      <c r="N154" s="2388"/>
      <c r="O154" s="1986"/>
      <c r="P154" s="310"/>
      <c r="Q154" s="311"/>
      <c r="R154" s="311" t="s">
        <v>182</v>
      </c>
      <c r="S154" s="1887"/>
      <c r="T154" s="1887"/>
      <c r="U154" s="1887"/>
      <c r="V154" s="1887"/>
      <c r="W154" s="312"/>
      <c r="Y154" s="1288"/>
      <c r="Z154" s="1288"/>
      <c r="AA154" s="1288"/>
      <c r="AB154" s="1288"/>
      <c r="AC154" s="1288"/>
      <c r="AD154" s="1288"/>
      <c r="AE154" s="1288"/>
      <c r="AF154" s="1288"/>
      <c r="AG154" s="1288"/>
      <c r="AH154" s="1288"/>
      <c r="AI154" s="1288"/>
      <c r="AJ154" s="1288"/>
      <c r="AK154" s="1288"/>
    </row>
    <row s="4794" customFormat="1" customHeight="1" ht="17.25">
      <c r="A155" s="1881"/>
      <c r="C155" s="1886"/>
      <c r="D155" s="1871"/>
      <c r="E155" s="1888"/>
      <c r="F155" s="1825"/>
      <c r="G155" s="1889"/>
      <c r="H155" s="2354"/>
      <c r="I155" s="2354"/>
      <c r="J155" s="2390"/>
      <c r="K155" s="1986"/>
      <c r="L155" s="310"/>
      <c r="M155" s="311"/>
      <c r="N155" s="311" t="s">
        <v>183</v>
      </c>
      <c r="O155" s="311"/>
      <c r="P155" s="311"/>
      <c r="Q155" s="311"/>
      <c r="R155" s="311"/>
      <c r="S155" s="1887"/>
      <c r="T155" s="1887"/>
      <c r="U155" s="1887"/>
      <c r="V155" s="1887"/>
      <c r="W155" s="312"/>
      <c r="Y155" s="1288"/>
      <c r="Z155" s="1288"/>
      <c r="AA155" s="1288"/>
      <c r="AB155" s="1288"/>
      <c r="AC155" s="1288"/>
      <c r="AD155" s="1288"/>
      <c r="AE155" s="1288"/>
      <c r="AF155" s="1288"/>
      <c r="AG155" s="1288"/>
      <c r="AH155" s="1288"/>
      <c r="AI155" s="1288"/>
      <c r="AJ155" s="1288"/>
      <c r="AK155" s="1288"/>
    </row>
    <row customHeight="1" ht="17.25">
      <c r="G156" s="1880"/>
      <c r="H156" s="1880"/>
      <c r="I156" s="1880"/>
      <c r="M156" s="1876"/>
    </row>
    <row s="4794" customFormat="1" customHeight="1" ht="17.25">
      <c r="A157" s="1881"/>
      <c r="C157" s="1883"/>
      <c r="D157" s="1871"/>
      <c r="E157" s="1888"/>
      <c r="F157" s="1825"/>
      <c r="G157" s="1889"/>
      <c r="H157" s="1871"/>
      <c r="I157" s="1871"/>
      <c r="J157" s="1890"/>
      <c r="K157" s="1800"/>
      <c r="L157" s="1982"/>
      <c r="M157" s="1982" t="s">
        <v>110</v>
      </c>
      <c r="N157" s="2387" t="str">
        <f>IF(Z157="","",INDEX(TERRITORY_MR_LIST,MATCH(Z157,TERRITORY_LIST_ID,0)))</f>
        <v/>
      </c>
      <c r="O157" s="2044" t="s">
        <v>62</v>
      </c>
      <c r="P157" s="1982"/>
      <c r="Q157" s="1982" t="s">
        <v>110</v>
      </c>
      <c r="R157" s="2358" t="s">
        <v>24</v>
      </c>
      <c r="S157" s="1981" t="s">
        <v>62</v>
      </c>
      <c r="T157" s="1852"/>
      <c r="U157" s="1852" t="s">
        <v>110</v>
      </c>
      <c r="V157" s="1884" t="s">
        <v>24</v>
      </c>
      <c r="W157" s="1842"/>
      <c r="Y157" s="1296"/>
      <c r="Z157" s="1296"/>
      <c r="AA157" s="1296"/>
      <c r="AB157" s="1296"/>
      <c r="AC157" s="1296"/>
      <c r="AD157" s="1296"/>
      <c r="AE157" s="1296"/>
      <c r="AF157" s="1296"/>
      <c r="AG157" s="1296"/>
      <c r="AH157" s="1296"/>
      <c r="AI157" s="1296"/>
      <c r="AJ157" s="1296"/>
      <c r="AK157" s="1296"/>
      <c r="AL157" s="1885"/>
      <c r="AM157" s="1885"/>
      <c r="AN157" s="1296"/>
      <c r="AO157" s="1296"/>
      <c r="AP157" s="1296"/>
      <c r="AQ157" s="1296"/>
    </row>
    <row s="4794" customFormat="1" customHeight="1" ht="17.25">
      <c r="A158" s="1881"/>
      <c r="C158" s="1886"/>
      <c r="D158" s="1871"/>
      <c r="E158" s="1888"/>
      <c r="F158" s="1825"/>
      <c r="G158" s="1889"/>
      <c r="H158" s="1871"/>
      <c r="I158" s="1871"/>
      <c r="J158" s="1890"/>
      <c r="K158" s="1800"/>
      <c r="L158" s="1982"/>
      <c r="M158" s="1982"/>
      <c r="N158" s="2387"/>
      <c r="O158" s="2045"/>
      <c r="P158" s="1982"/>
      <c r="Q158" s="1982"/>
      <c r="R158" s="2358"/>
      <c r="S158" s="1981"/>
      <c r="T158" s="310"/>
      <c r="U158" s="311"/>
      <c r="V158" s="311" t="s">
        <v>181</v>
      </c>
      <c r="W158" s="312"/>
      <c r="Y158" s="1288"/>
      <c r="Z158" s="1288"/>
      <c r="AA158" s="1288"/>
      <c r="AB158" s="1288"/>
      <c r="AC158" s="1288"/>
      <c r="AD158" s="1288"/>
      <c r="AE158" s="1288"/>
      <c r="AF158" s="1288"/>
      <c r="AG158" s="1288"/>
      <c r="AH158" s="1288"/>
      <c r="AI158" s="1288"/>
      <c r="AJ158" s="1288"/>
      <c r="AK158" s="1288"/>
    </row>
    <row s="4794" customFormat="1" customHeight="1" ht="17.25">
      <c r="A159" s="1881"/>
      <c r="C159" s="1886"/>
      <c r="D159" s="1871"/>
      <c r="E159" s="1888"/>
      <c r="F159" s="1825"/>
      <c r="G159" s="1889"/>
      <c r="H159" s="1871"/>
      <c r="I159" s="1871"/>
      <c r="J159" s="1890"/>
      <c r="K159" s="1800"/>
      <c r="L159" s="2354"/>
      <c r="M159" s="2354"/>
      <c r="N159" s="2388"/>
      <c r="O159" s="1986"/>
      <c r="P159" s="310"/>
      <c r="Q159" s="311"/>
      <c r="R159" s="311" t="s">
        <v>182</v>
      </c>
      <c r="S159" s="1887"/>
      <c r="T159" s="1887"/>
      <c r="U159" s="1887"/>
      <c r="V159" s="1887"/>
      <c r="W159" s="312"/>
      <c r="Y159" s="1288"/>
      <c r="Z159" s="1288"/>
      <c r="AA159" s="1288"/>
      <c r="AB159" s="1288"/>
      <c r="AC159" s="1288"/>
      <c r="AD159" s="1288"/>
      <c r="AE159" s="1288"/>
      <c r="AF159" s="1288"/>
      <c r="AG159" s="1288"/>
      <c r="AH159" s="1288"/>
      <c r="AI159" s="1288"/>
      <c r="AJ159" s="1288"/>
      <c r="AK159" s="1288"/>
    </row>
    <row customHeight="1" ht="17.25">
      <c r="G160" s="1880"/>
      <c r="H160" s="1880"/>
      <c r="I160" s="1880"/>
      <c r="M160" s="1876"/>
    </row>
    <row s="4794" customFormat="1" customHeight="1" ht="17.25">
      <c r="A161" s="1881"/>
      <c r="C161" s="1883"/>
      <c r="D161" s="1871"/>
      <c r="E161" s="1888"/>
      <c r="F161" s="1825"/>
      <c r="G161" s="1889"/>
      <c r="H161" s="1871"/>
      <c r="I161" s="1871"/>
      <c r="J161" s="1890"/>
      <c r="K161" s="1800"/>
      <c r="L161" s="1796"/>
      <c r="M161" s="1796"/>
      <c r="N161" s="1891"/>
      <c r="O161" s="1828"/>
      <c r="P161" s="1982"/>
      <c r="Q161" s="1982" t="s">
        <v>110</v>
      </c>
      <c r="R161" s="2358" t="s">
        <v>24</v>
      </c>
      <c r="S161" s="1981" t="s">
        <v>62</v>
      </c>
      <c r="T161" s="1852"/>
      <c r="U161" s="1852" t="s">
        <v>110</v>
      </c>
      <c r="V161" s="1884" t="s">
        <v>24</v>
      </c>
      <c r="W161" s="1842"/>
      <c r="Y161" s="1296"/>
      <c r="Z161" s="1296"/>
      <c r="AA161" s="1296"/>
      <c r="AB161" s="1296"/>
      <c r="AC161" s="1296"/>
      <c r="AD161" s="1296"/>
      <c r="AE161" s="1296"/>
      <c r="AF161" s="1296"/>
      <c r="AG161" s="1296"/>
      <c r="AH161" s="1296"/>
      <c r="AI161" s="1296"/>
      <c r="AJ161" s="1296"/>
      <c r="AK161" s="1296"/>
      <c r="AL161" s="1885"/>
      <c r="AM161" s="1885"/>
      <c r="AN161" s="1296"/>
      <c r="AO161" s="1296"/>
      <c r="AP161" s="1296"/>
      <c r="AQ161" s="1296"/>
    </row>
    <row s="4794" customFormat="1" customHeight="1" ht="17.25">
      <c r="A162" s="1881"/>
      <c r="C162" s="1886"/>
      <c r="D162" s="1871"/>
      <c r="E162" s="1888"/>
      <c r="F162" s="1825"/>
      <c r="G162" s="1889"/>
      <c r="H162" s="1871"/>
      <c r="I162" s="1871"/>
      <c r="J162" s="1890"/>
      <c r="K162" s="1800"/>
      <c r="L162" s="1796"/>
      <c r="M162" s="1796"/>
      <c r="N162" s="1891"/>
      <c r="O162" s="1828"/>
      <c r="P162" s="1982"/>
      <c r="Q162" s="1982"/>
      <c r="R162" s="2358"/>
      <c r="S162" s="1981"/>
      <c r="T162" s="310"/>
      <c r="U162" s="311"/>
      <c r="V162" s="311" t="s">
        <v>181</v>
      </c>
      <c r="W162" s="312"/>
      <c r="Y162" s="1288"/>
      <c r="Z162" s="1288"/>
      <c r="AA162" s="1288"/>
      <c r="AB162" s="1288"/>
      <c r="AC162" s="1288"/>
      <c r="AD162" s="1288"/>
      <c r="AE162" s="1288"/>
      <c r="AF162" s="1288"/>
      <c r="AG162" s="1288"/>
      <c r="AH162" s="1288"/>
      <c r="AI162" s="1288"/>
      <c r="AJ162" s="1288"/>
      <c r="AK162" s="1288"/>
    </row>
    <row customHeight="1" ht="17.25">
      <c r="G163" s="1880"/>
      <c r="H163" s="1880"/>
      <c r="I163" s="1880"/>
      <c r="M163" s="1876"/>
    </row>
    <row s="4794" customFormat="1" customHeight="1" ht="17.25">
      <c r="A164" s="1881"/>
      <c r="C164" s="1883"/>
      <c r="D164" s="1871"/>
      <c r="E164" s="1888"/>
      <c r="F164" s="1825"/>
      <c r="G164" s="1889"/>
      <c r="H164" s="1796"/>
      <c r="I164" s="1796"/>
      <c r="J164" s="1797"/>
      <c r="K164" s="1889"/>
      <c r="L164" s="1796"/>
      <c r="M164" s="1796"/>
      <c r="N164" s="1889"/>
      <c r="O164" s="1889"/>
      <c r="P164" s="1796"/>
      <c r="Q164" s="1796"/>
      <c r="R164" s="1798"/>
      <c r="S164" s="1889"/>
      <c r="T164" s="1852"/>
      <c r="U164" s="1852" t="s">
        <v>110</v>
      </c>
      <c r="V164" s="1884" t="s">
        <v>24</v>
      </c>
      <c r="W164" s="1842"/>
      <c r="Y164" s="1296"/>
      <c r="Z164" s="1296"/>
      <c r="AA164" s="1296"/>
      <c r="AB164" s="1296"/>
      <c r="AC164" s="1296"/>
      <c r="AD164" s="1296"/>
      <c r="AE164" s="1296"/>
      <c r="AF164" s="1296"/>
      <c r="AG164" s="1296"/>
      <c r="AH164" s="1296"/>
      <c r="AI164" s="1296"/>
      <c r="AJ164" s="1296"/>
      <c r="AK164" s="1296"/>
      <c r="AL164" s="1885"/>
      <c r="AM164" s="1885"/>
      <c r="AN164" s="1296"/>
      <c r="AO164" s="1296"/>
      <c r="AP164" s="1296"/>
      <c r="AQ164" s="1296"/>
    </row>
    <row r="166" s="4600" customFormat="1" customHeight="1" ht="17.25">
      <c r="A166" s="1856" t="s">
        <v>1164</v>
      </c>
    </row>
    <row customHeight="1" ht="17.25">
      <c r="G167" s="1880"/>
      <c r="H167" s="1880"/>
      <c r="I167" s="1880"/>
      <c r="M167" s="1876"/>
    </row>
    <row s="4794" customFormat="1" customHeight="1" ht="17.25">
      <c r="A168" s="1881"/>
      <c r="C168" s="1883"/>
      <c r="D168" s="2353"/>
      <c r="E168" s="1993"/>
      <c r="F168" s="1995"/>
      <c r="G168" s="2359"/>
      <c r="H168" s="2353"/>
      <c r="I168" s="2353">
        <v>1</v>
      </c>
      <c r="J168" s="2389"/>
      <c r="K168" s="2044" t="s">
        <v>62</v>
      </c>
      <c r="L168" s="1982"/>
      <c r="M168" s="1982" t="s">
        <v>110</v>
      </c>
      <c r="N168" s="2387" t="str">
        <f>IF(Z168="","",INDEX(TERRITORY_MR_LIST,MATCH(Z168,TERRITORY_LIST_ID,0)))</f>
        <v/>
      </c>
      <c r="O168" s="2044" t="s">
        <v>62</v>
      </c>
      <c r="P168" s="1982"/>
      <c r="Q168" s="1982" t="s">
        <v>110</v>
      </c>
      <c r="R168" s="2358" t="s">
        <v>24</v>
      </c>
      <c r="S168" s="2240" t="s">
        <v>57</v>
      </c>
      <c r="T168" s="1843"/>
      <c r="U168" s="1843" t="s">
        <v>110</v>
      </c>
      <c r="V168" s="1464"/>
      <c r="W168" s="2389"/>
      <c r="Y168" s="1296"/>
      <c r="Z168" s="1296"/>
      <c r="AA168" s="1296"/>
      <c r="AB168" s="1296"/>
      <c r="AC168" s="1296"/>
      <c r="AD168" s="1296"/>
      <c r="AE168" s="1296"/>
      <c r="AF168" s="1296"/>
      <c r="AG168" s="1296"/>
      <c r="AH168" s="1296"/>
      <c r="AI168" s="1296"/>
      <c r="AJ168" s="1296"/>
      <c r="AK168" s="1296"/>
      <c r="AL168" s="1885"/>
      <c r="AM168" s="1885"/>
      <c r="AN168" s="1296"/>
      <c r="AO168" s="1296"/>
      <c r="AP168" s="1296"/>
      <c r="AQ168" s="1296"/>
    </row>
    <row s="4794" customFormat="1" customHeight="1" ht="17.25">
      <c r="A169" s="1881"/>
      <c r="C169" s="1886"/>
      <c r="D169" s="2353"/>
      <c r="E169" s="1993"/>
      <c r="F169" s="1996"/>
      <c r="G169" s="2359"/>
      <c r="H169" s="2353"/>
      <c r="I169" s="2353"/>
      <c r="J169" s="2389"/>
      <c r="K169" s="2045"/>
      <c r="L169" s="1982"/>
      <c r="M169" s="1982"/>
      <c r="N169" s="2387"/>
      <c r="O169" s="2045"/>
      <c r="P169" s="1982"/>
      <c r="Q169" s="1982"/>
      <c r="R169" s="2358"/>
      <c r="S169" s="2240"/>
      <c r="T169" s="1465"/>
      <c r="U169" s="1466"/>
      <c r="V169" s="1466"/>
      <c r="W169" s="2389"/>
      <c r="Y169" s="1288"/>
      <c r="Z169" s="1288"/>
      <c r="AA169" s="1288"/>
      <c r="AB169" s="1288"/>
      <c r="AC169" s="1288"/>
      <c r="AD169" s="1288"/>
      <c r="AE169" s="1288"/>
      <c r="AF169" s="1288"/>
      <c r="AG169" s="1288"/>
      <c r="AH169" s="1288"/>
      <c r="AI169" s="1288"/>
      <c r="AJ169" s="1288"/>
      <c r="AK169" s="1288"/>
    </row>
    <row s="4794" customFormat="1" customHeight="1" ht="17.25">
      <c r="A170" s="1881"/>
      <c r="C170" s="1886"/>
      <c r="D170" s="2354"/>
      <c r="E170" s="2386"/>
      <c r="F170" s="1996"/>
      <c r="G170" s="2360"/>
      <c r="H170" s="2354"/>
      <c r="I170" s="2354"/>
      <c r="J170" s="2390"/>
      <c r="K170" s="2045"/>
      <c r="L170" s="2354"/>
      <c r="M170" s="2354"/>
      <c r="N170" s="2388"/>
      <c r="O170" s="1986"/>
      <c r="P170" s="310"/>
      <c r="Q170" s="311"/>
      <c r="R170" s="311" t="s">
        <v>182</v>
      </c>
      <c r="S170" s="1887"/>
      <c r="T170" s="1887"/>
      <c r="U170" s="1887"/>
      <c r="V170" s="1887"/>
      <c r="W170" s="1463"/>
      <c r="Y170" s="1288"/>
      <c r="Z170" s="1288"/>
      <c r="AA170" s="1288"/>
      <c r="AB170" s="1288"/>
      <c r="AC170" s="1288"/>
      <c r="AD170" s="1288"/>
      <c r="AE170" s="1288"/>
      <c r="AF170" s="1288"/>
      <c r="AG170" s="1288"/>
      <c r="AH170" s="1288"/>
      <c r="AI170" s="1288"/>
      <c r="AJ170" s="1288"/>
      <c r="AK170" s="1288"/>
    </row>
    <row s="4794" customFormat="1" customHeight="1" ht="17.25">
      <c r="A171" s="1881"/>
      <c r="C171" s="1886"/>
      <c r="D171" s="2354"/>
      <c r="E171" s="2386"/>
      <c r="F171" s="1996"/>
      <c r="G171" s="2360"/>
      <c r="H171" s="2354"/>
      <c r="I171" s="2354"/>
      <c r="J171" s="2390"/>
      <c r="K171" s="1986"/>
      <c r="L171" s="310"/>
      <c r="M171" s="311"/>
      <c r="N171" s="311" t="s">
        <v>183</v>
      </c>
      <c r="O171" s="311"/>
      <c r="P171" s="311"/>
      <c r="Q171" s="311"/>
      <c r="R171" s="311"/>
      <c r="S171" s="1887"/>
      <c r="T171" s="1887"/>
      <c r="U171" s="1887"/>
      <c r="V171" s="1887"/>
      <c r="W171" s="312"/>
      <c r="Y171" s="1288"/>
      <c r="Z171" s="1288"/>
      <c r="AA171" s="1288"/>
      <c r="AB171" s="1288"/>
      <c r="AC171" s="1288"/>
      <c r="AD171" s="1288"/>
      <c r="AE171" s="1288"/>
      <c r="AF171" s="1288"/>
      <c r="AG171" s="1288"/>
      <c r="AH171" s="1288"/>
      <c r="AI171" s="1288"/>
      <c r="AJ171" s="1288"/>
      <c r="AK171" s="1288"/>
    </row>
    <row s="4794" customFormat="1" customHeight="1" ht="17.25">
      <c r="A172" s="1881"/>
      <c r="C172" s="1886"/>
      <c r="D172" s="2354"/>
      <c r="E172" s="2386"/>
      <c r="F172" s="1997"/>
      <c r="G172" s="2360"/>
      <c r="H172" s="310"/>
      <c r="I172" s="311"/>
      <c r="J172" s="311" t="s">
        <v>184</v>
      </c>
      <c r="K172" s="311"/>
      <c r="L172" s="311"/>
      <c r="M172" s="311"/>
      <c r="N172" s="311"/>
      <c r="O172" s="311"/>
      <c r="P172" s="311"/>
      <c r="Q172" s="311"/>
      <c r="R172" s="311"/>
      <c r="S172" s="1887"/>
      <c r="T172" s="1887"/>
      <c r="U172" s="1887"/>
      <c r="V172" s="1887"/>
      <c r="W172" s="312"/>
      <c r="Y172" s="1288"/>
      <c r="Z172" s="1288"/>
      <c r="AA172" s="1288"/>
      <c r="AB172" s="1288"/>
      <c r="AC172" s="1288"/>
      <c r="AD172" s="1288"/>
      <c r="AE172" s="1288"/>
      <c r="AF172" s="1288"/>
      <c r="AG172" s="1288"/>
      <c r="AH172" s="1288"/>
      <c r="AI172" s="1288"/>
      <c r="AJ172" s="1288"/>
      <c r="AK172" s="1288"/>
    </row>
    <row customHeight="1" ht="17.25">
      <c r="A173" s="1892"/>
    </row>
    <row s="4794" customFormat="1" customHeight="1" ht="17.25">
      <c r="A174" s="1881"/>
      <c r="C174" s="1883"/>
      <c r="D174" s="1871"/>
      <c r="E174" s="1888"/>
      <c r="F174" s="1825"/>
      <c r="G174" s="1889"/>
      <c r="H174" s="2353"/>
      <c r="I174" s="2353">
        <v>1</v>
      </c>
      <c r="J174" s="2389"/>
      <c r="K174" s="2044" t="s">
        <v>62</v>
      </c>
      <c r="L174" s="1982"/>
      <c r="M174" s="1982" t="s">
        <v>110</v>
      </c>
      <c r="N174" s="2387" t="str">
        <f>IF(Z174="","",INDEX(TERRITORY_MR_LIST,MATCH(Z174,TERRITORY_LIST_ID,0)))</f>
        <v/>
      </c>
      <c r="O174" s="2044" t="s">
        <v>62</v>
      </c>
      <c r="P174" s="1982"/>
      <c r="Q174" s="1982" t="s">
        <v>110</v>
      </c>
      <c r="R174" s="2358" t="s">
        <v>24</v>
      </c>
      <c r="S174" s="2240" t="s">
        <v>57</v>
      </c>
      <c r="T174" s="1843"/>
      <c r="U174" s="1843" t="s">
        <v>110</v>
      </c>
      <c r="V174" s="1464"/>
      <c r="W174" s="2389"/>
      <c r="Y174" s="1296"/>
      <c r="Z174" s="1296"/>
      <c r="AA174" s="1296"/>
      <c r="AB174" s="1296"/>
      <c r="AC174" s="1296"/>
      <c r="AD174" s="1296"/>
      <c r="AE174" s="1296"/>
      <c r="AF174" s="1296"/>
      <c r="AG174" s="1296"/>
      <c r="AH174" s="1296"/>
      <c r="AI174" s="1296"/>
      <c r="AJ174" s="1296"/>
      <c r="AK174" s="1296"/>
      <c r="AL174" s="1885"/>
      <c r="AM174" s="1885"/>
      <c r="AN174" s="1296"/>
      <c r="AO174" s="1296"/>
      <c r="AP174" s="1296"/>
      <c r="AQ174" s="1296"/>
    </row>
    <row s="4794" customFormat="1" customHeight="1" ht="17.25">
      <c r="A175" s="1881"/>
      <c r="C175" s="1886"/>
      <c r="D175" s="1871"/>
      <c r="E175" s="1888"/>
      <c r="F175" s="1825"/>
      <c r="G175" s="1889"/>
      <c r="H175" s="2353"/>
      <c r="I175" s="2353"/>
      <c r="J175" s="2389"/>
      <c r="K175" s="2045"/>
      <c r="L175" s="1982"/>
      <c r="M175" s="1982"/>
      <c r="N175" s="2387"/>
      <c r="O175" s="2045"/>
      <c r="P175" s="1982"/>
      <c r="Q175" s="1982"/>
      <c r="R175" s="2358"/>
      <c r="S175" s="2240"/>
      <c r="T175" s="1465"/>
      <c r="U175" s="1466"/>
      <c r="V175" s="1466"/>
      <c r="W175" s="2389"/>
      <c r="Y175" s="1288"/>
      <c r="Z175" s="1288"/>
      <c r="AA175" s="1288"/>
      <c r="AB175" s="1288"/>
      <c r="AC175" s="1288"/>
      <c r="AD175" s="1288"/>
      <c r="AE175" s="1288"/>
      <c r="AF175" s="1288"/>
      <c r="AG175" s="1288"/>
      <c r="AH175" s="1288"/>
      <c r="AI175" s="1288"/>
      <c r="AJ175" s="1288"/>
      <c r="AK175" s="1288"/>
    </row>
    <row s="4794" customFormat="1" customHeight="1" ht="17.25">
      <c r="A176" s="1881"/>
      <c r="C176" s="1886"/>
      <c r="D176" s="1871"/>
      <c r="E176" s="1888"/>
      <c r="F176" s="1825"/>
      <c r="G176" s="1889"/>
      <c r="H176" s="2354"/>
      <c r="I176" s="2354"/>
      <c r="J176" s="2390"/>
      <c r="K176" s="2045"/>
      <c r="L176" s="2354"/>
      <c r="M176" s="2354"/>
      <c r="N176" s="2388"/>
      <c r="O176" s="1986"/>
      <c r="P176" s="310"/>
      <c r="Q176" s="311"/>
      <c r="R176" s="311" t="s">
        <v>182</v>
      </c>
      <c r="S176" s="1887"/>
      <c r="T176" s="1887"/>
      <c r="U176" s="1887"/>
      <c r="V176" s="1887"/>
      <c r="W176" s="1463"/>
      <c r="Y176" s="1288"/>
      <c r="Z176" s="1288"/>
      <c r="AA176" s="1288"/>
      <c r="AB176" s="1288"/>
      <c r="AC176" s="1288"/>
      <c r="AD176" s="1288"/>
      <c r="AE176" s="1288"/>
      <c r="AF176" s="1288"/>
      <c r="AG176" s="1288"/>
      <c r="AH176" s="1288"/>
      <c r="AI176" s="1288"/>
      <c r="AJ176" s="1288"/>
      <c r="AK176" s="1288"/>
    </row>
    <row s="4794" customFormat="1" customHeight="1" ht="17.25">
      <c r="A177" s="1881"/>
      <c r="C177" s="1886"/>
      <c r="D177" s="1871"/>
      <c r="E177" s="1888"/>
      <c r="F177" s="1825"/>
      <c r="G177" s="1889"/>
      <c r="H177" s="2354"/>
      <c r="I177" s="2354"/>
      <c r="J177" s="2390"/>
      <c r="K177" s="1986"/>
      <c r="L177" s="310"/>
      <c r="M177" s="311"/>
      <c r="N177" s="311" t="s">
        <v>183</v>
      </c>
      <c r="O177" s="311"/>
      <c r="P177" s="311"/>
      <c r="Q177" s="311"/>
      <c r="R177" s="311"/>
      <c r="S177" s="1887"/>
      <c r="T177" s="1887"/>
      <c r="U177" s="1887"/>
      <c r="V177" s="1887"/>
      <c r="W177" s="312"/>
      <c r="Y177" s="1288"/>
      <c r="Z177" s="1288"/>
      <c r="AA177" s="1288"/>
      <c r="AB177" s="1288"/>
      <c r="AC177" s="1288"/>
      <c r="AD177" s="1288"/>
      <c r="AE177" s="1288"/>
      <c r="AF177" s="1288"/>
      <c r="AG177" s="1288"/>
      <c r="AH177" s="1288"/>
      <c r="AI177" s="1288"/>
      <c r="AJ177" s="1288"/>
      <c r="AK177" s="1288"/>
    </row>
    <row customHeight="1" ht="17.25">
      <c r="A178" s="1892"/>
    </row>
    <row s="4794" customFormat="1" customHeight="1" ht="17.25">
      <c r="A179" s="1881"/>
      <c r="C179" s="1883"/>
      <c r="D179" s="1871"/>
      <c r="E179" s="1888"/>
      <c r="F179" s="1825"/>
      <c r="G179" s="1889"/>
      <c r="H179" s="1871"/>
      <c r="I179" s="1871"/>
      <c r="J179" s="1893"/>
      <c r="K179" s="1889"/>
      <c r="L179" s="1982"/>
      <c r="M179" s="1982" t="s">
        <v>110</v>
      </c>
      <c r="N179" s="2387" t="str">
        <f>IF(Z179="","",INDEX(TERRITORY_MR_LIST,MATCH(Z179,TERRITORY_LIST_ID,0)))</f>
        <v/>
      </c>
      <c r="O179" s="2044" t="s">
        <v>62</v>
      </c>
      <c r="P179" s="1982"/>
      <c r="Q179" s="1982" t="s">
        <v>110</v>
      </c>
      <c r="R179" s="2358" t="s">
        <v>24</v>
      </c>
      <c r="S179" s="2240" t="s">
        <v>57</v>
      </c>
      <c r="T179" s="1843"/>
      <c r="U179" s="1843" t="s">
        <v>110</v>
      </c>
      <c r="V179" s="1464"/>
      <c r="W179" s="2389"/>
      <c r="Y179" s="1296"/>
      <c r="Z179" s="1296"/>
      <c r="AA179" s="1296"/>
      <c r="AB179" s="1296"/>
      <c r="AC179" s="1296"/>
      <c r="AD179" s="1296"/>
      <c r="AE179" s="1296"/>
      <c r="AF179" s="1296"/>
      <c r="AG179" s="1296"/>
      <c r="AH179" s="1296"/>
      <c r="AI179" s="1296"/>
      <c r="AJ179" s="1296"/>
      <c r="AK179" s="1296"/>
      <c r="AL179" s="1885"/>
      <c r="AM179" s="1885"/>
      <c r="AN179" s="1296"/>
      <c r="AO179" s="1296"/>
      <c r="AP179" s="1296"/>
      <c r="AQ179" s="1296"/>
    </row>
    <row s="4794" customFormat="1" customHeight="1" ht="17.25">
      <c r="A180" s="1881"/>
      <c r="C180" s="1886"/>
      <c r="D180" s="1871"/>
      <c r="E180" s="1888"/>
      <c r="F180" s="1825"/>
      <c r="G180" s="1889"/>
      <c r="H180" s="1871"/>
      <c r="I180" s="1871"/>
      <c r="J180" s="1893"/>
      <c r="K180" s="1889"/>
      <c r="L180" s="1982"/>
      <c r="M180" s="1982"/>
      <c r="N180" s="2387"/>
      <c r="O180" s="2045"/>
      <c r="P180" s="1982"/>
      <c r="Q180" s="1982"/>
      <c r="R180" s="2358"/>
      <c r="S180" s="2240"/>
      <c r="T180" s="1465"/>
      <c r="U180" s="1466"/>
      <c r="V180" s="1466"/>
      <c r="W180" s="2389"/>
      <c r="Y180" s="1288"/>
      <c r="Z180" s="1288"/>
      <c r="AA180" s="1288"/>
      <c r="AB180" s="1288"/>
      <c r="AC180" s="1288"/>
      <c r="AD180" s="1288"/>
      <c r="AE180" s="1288"/>
      <c r="AF180" s="1288"/>
      <c r="AG180" s="1288"/>
      <c r="AH180" s="1288"/>
      <c r="AI180" s="1288"/>
      <c r="AJ180" s="1288"/>
      <c r="AK180" s="1288"/>
    </row>
    <row s="4794" customFormat="1" customHeight="1" ht="17.25">
      <c r="A181" s="1881"/>
      <c r="C181" s="1886"/>
      <c r="D181" s="1871"/>
      <c r="E181" s="1888"/>
      <c r="F181" s="1825"/>
      <c r="G181" s="1889"/>
      <c r="H181" s="1871"/>
      <c r="I181" s="1871"/>
      <c r="J181" s="1893"/>
      <c r="K181" s="1889"/>
      <c r="L181" s="2354"/>
      <c r="M181" s="2354"/>
      <c r="N181" s="2388"/>
      <c r="O181" s="1986"/>
      <c r="P181" s="310"/>
      <c r="Q181" s="311"/>
      <c r="R181" s="311" t="s">
        <v>182</v>
      </c>
      <c r="S181" s="1887"/>
      <c r="T181" s="1887"/>
      <c r="U181" s="1887"/>
      <c r="V181" s="1887"/>
      <c r="W181" s="1463"/>
      <c r="Y181" s="1288"/>
      <c r="Z181" s="1288"/>
      <c r="AA181" s="1288"/>
      <c r="AB181" s="1288"/>
      <c r="AC181" s="1288"/>
      <c r="AD181" s="1288"/>
      <c r="AE181" s="1288"/>
      <c r="AF181" s="1288"/>
      <c r="AG181" s="1288"/>
      <c r="AH181" s="1288"/>
      <c r="AI181" s="1288"/>
      <c r="AJ181" s="1288"/>
      <c r="AK181" s="1288"/>
    </row>
    <row customHeight="1" ht="17.25">
      <c r="A182" s="1892"/>
    </row>
    <row s="4794" customFormat="1" customHeight="1" ht="17.25">
      <c r="A183" s="1881"/>
      <c r="C183" s="1883"/>
      <c r="D183" s="1871"/>
      <c r="E183" s="1888"/>
      <c r="F183" s="1825"/>
      <c r="G183" s="1889"/>
      <c r="H183" s="1871"/>
      <c r="I183" s="1871"/>
      <c r="J183" s="1893"/>
      <c r="K183" s="1889"/>
      <c r="L183" s="1871"/>
      <c r="M183" s="1871"/>
      <c r="N183" s="1891"/>
      <c r="O183" s="1828"/>
      <c r="P183" s="1982"/>
      <c r="Q183" s="1982" t="s">
        <v>110</v>
      </c>
      <c r="R183" s="2358" t="s">
        <v>24</v>
      </c>
      <c r="S183" s="2240" t="s">
        <v>57</v>
      </c>
      <c r="T183" s="1843"/>
      <c r="U183" s="1843" t="s">
        <v>110</v>
      </c>
      <c r="V183" s="1464"/>
      <c r="W183" s="2389"/>
      <c r="Y183" s="1296"/>
      <c r="Z183" s="1296"/>
      <c r="AA183" s="1296"/>
      <c r="AB183" s="1296"/>
      <c r="AC183" s="1296"/>
      <c r="AD183" s="1296"/>
      <c r="AE183" s="1296"/>
      <c r="AF183" s="1296"/>
      <c r="AG183" s="1296"/>
      <c r="AH183" s="1296"/>
      <c r="AI183" s="1296"/>
      <c r="AJ183" s="1296"/>
      <c r="AK183" s="1296"/>
      <c r="AL183" s="1885"/>
      <c r="AM183" s="1885"/>
      <c r="AN183" s="1296"/>
      <c r="AO183" s="1296"/>
      <c r="AP183" s="1296"/>
      <c r="AQ183" s="1296"/>
    </row>
    <row s="4794" customFormat="1" customHeight="1" ht="17.25">
      <c r="A184" s="1881"/>
      <c r="C184" s="1886"/>
      <c r="D184" s="1871"/>
      <c r="E184" s="1888"/>
      <c r="F184" s="1825"/>
      <c r="G184" s="1889"/>
      <c r="H184" s="1871"/>
      <c r="I184" s="1871"/>
      <c r="J184" s="1893"/>
      <c r="K184" s="1889"/>
      <c r="L184" s="1871"/>
      <c r="M184" s="1871"/>
      <c r="N184" s="1891"/>
      <c r="O184" s="1828"/>
      <c r="P184" s="1982"/>
      <c r="Q184" s="1982"/>
      <c r="R184" s="2358"/>
      <c r="S184" s="2240"/>
      <c r="T184" s="1465"/>
      <c r="U184" s="1466"/>
      <c r="V184" s="1466"/>
      <c r="W184" s="2389"/>
      <c r="Y184" s="1288"/>
      <c r="Z184" s="1288"/>
      <c r="AA184" s="1288"/>
      <c r="AB184" s="1288"/>
      <c r="AC184" s="1288"/>
      <c r="AD184" s="1288"/>
      <c r="AE184" s="1288"/>
      <c r="AF184" s="1288"/>
      <c r="AG184" s="1288"/>
      <c r="AH184" s="1288"/>
      <c r="AI184" s="1288"/>
      <c r="AJ184" s="1288"/>
      <c r="AK184" s="1288"/>
    </row>
    <row customHeight="1" ht="17.25">
      <c r="A185" s="1892"/>
    </row>
    <row customHeight="1" ht="16.5">
      <c r="A186" s="1881"/>
      <c r="B186" s="1882"/>
      <c r="C186" s="1886"/>
      <c r="D186" s="2379"/>
      <c r="E186" s="2041"/>
      <c r="F186" s="2041"/>
      <c r="G186" s="1971"/>
      <c r="H186" s="2380"/>
      <c r="I186" s="2392"/>
      <c r="J186" s="2002"/>
      <c r="K186" s="1989"/>
      <c r="L186" s="1989"/>
      <c r="M186" s="1989"/>
      <c r="N186" s="2383"/>
      <c r="O186" s="1989"/>
      <c r="P186" s="1989"/>
      <c r="Q186" s="1989"/>
      <c r="R186" s="2391"/>
      <c r="S186" s="1989"/>
      <c r="T186" s="1824"/>
      <c r="U186" s="1824"/>
      <c r="V186" s="1894"/>
      <c r="W186" s="1326"/>
    </row>
    <row customHeight="1" ht="16.5">
      <c r="A187" s="1881"/>
      <c r="B187" s="1882"/>
      <c r="C187" s="1886"/>
      <c r="D187" s="2379"/>
      <c r="E187" s="2041"/>
      <c r="F187" s="2041"/>
      <c r="G187" s="1971"/>
      <c r="H187" s="2381"/>
      <c r="I187" s="2393"/>
      <c r="J187" s="2003"/>
      <c r="K187" s="1990"/>
      <c r="L187" s="1990"/>
      <c r="M187" s="1990"/>
      <c r="N187" s="2384"/>
      <c r="O187" s="1990"/>
      <c r="P187" s="1990"/>
      <c r="Q187" s="1990"/>
      <c r="R187" s="2385"/>
      <c r="S187" s="1990"/>
      <c r="T187" s="1327"/>
      <c r="U187" s="1327"/>
      <c r="V187" s="1327"/>
      <c r="W187" s="1328"/>
    </row>
    <row customHeight="1" ht="17.25">
      <c r="A188" s="1881"/>
      <c r="B188" s="1882"/>
      <c r="C188" s="1886"/>
      <c r="D188" s="2379"/>
      <c r="E188" s="2041"/>
      <c r="F188" s="2041"/>
      <c r="G188" s="1971"/>
      <c r="H188" s="2381"/>
      <c r="I188" s="2393"/>
      <c r="J188" s="2382"/>
      <c r="K188" s="1990"/>
      <c r="L188" s="1990"/>
      <c r="M188" s="1990"/>
      <c r="N188" s="2385"/>
      <c r="O188" s="1990"/>
      <c r="P188" s="1827"/>
      <c r="Q188" s="1327"/>
      <c r="R188" s="1327"/>
      <c r="S188" s="1895"/>
      <c r="T188" s="1895"/>
      <c r="U188" s="1895"/>
      <c r="V188" s="1895"/>
      <c r="W188" s="1328"/>
    </row>
    <row customHeight="1" ht="17.25">
      <c r="A189" s="1881"/>
      <c r="B189" s="1882"/>
      <c r="C189" s="1886"/>
      <c r="D189" s="2379"/>
      <c r="E189" s="2041"/>
      <c r="F189" s="2041"/>
      <c r="G189" s="1971"/>
      <c r="H189" s="2381"/>
      <c r="I189" s="2393"/>
      <c r="J189" s="2382"/>
      <c r="K189" s="1990"/>
      <c r="L189" s="1327"/>
      <c r="M189" s="1327"/>
      <c r="N189" s="1327"/>
      <c r="O189" s="1327"/>
      <c r="P189" s="1327"/>
      <c r="Q189" s="1327"/>
      <c r="R189" s="1327"/>
      <c r="S189" s="1895"/>
      <c r="T189" s="1895"/>
      <c r="U189" s="1895"/>
      <c r="V189" s="1895"/>
      <c r="W189" s="1328"/>
    </row>
    <row customHeight="1" ht="17.25">
      <c r="A190" s="1881"/>
      <c r="B190" s="1882"/>
      <c r="C190" s="1886"/>
      <c r="D190" s="2379"/>
      <c r="E190" s="2041"/>
      <c r="F190" s="2041"/>
      <c r="G190" s="1971"/>
      <c r="H190" s="1329"/>
      <c r="I190" s="1330"/>
      <c r="J190" s="1330"/>
      <c r="K190" s="1330"/>
      <c r="L190" s="1330"/>
      <c r="M190" s="1330"/>
      <c r="N190" s="1330"/>
      <c r="O190" s="1330"/>
      <c r="P190" s="1330"/>
      <c r="Q190" s="1330"/>
      <c r="R190" s="1330"/>
      <c r="S190" s="1896"/>
      <c r="T190" s="1896"/>
      <c r="U190" s="1896"/>
      <c r="V190" s="1896"/>
      <c r="W190" s="1332"/>
    </row>
    <row r="192" s="4600" customFormat="1" customHeight="1" ht="17.25">
      <c r="A192" s="1856" t="s">
        <v>1165</v>
      </c>
    </row>
    <row customHeight="1" ht="17.25">
      <c r="G193" s="1880"/>
      <c r="H193" s="1880"/>
      <c r="I193" s="1880"/>
      <c r="M193" s="1876"/>
    </row>
    <row s="2665" customFormat="1" customHeight="1" ht="15">
      <c r="D194" s="2416"/>
      <c r="E194" s="2036"/>
      <c r="F194" s="2036"/>
      <c r="G194" s="2044"/>
      <c r="H194" s="1604"/>
      <c r="I194" s="2417">
        <v>1</v>
      </c>
      <c r="J194" s="2389"/>
      <c r="K194" s="1619"/>
      <c r="L194" s="2044" t="s">
        <v>62</v>
      </c>
      <c r="M194" s="2044" t="s">
        <v>62</v>
      </c>
      <c r="N194" s="1604"/>
      <c r="O194" s="1982" t="s">
        <v>110</v>
      </c>
      <c r="P194" s="2411"/>
      <c r="Q194" s="1620"/>
      <c r="R194" s="2044" t="s">
        <v>62</v>
      </c>
      <c r="S194" s="2044" t="s">
        <v>62</v>
      </c>
      <c r="T194" s="1897"/>
      <c r="U194" s="1982" t="s">
        <v>110</v>
      </c>
      <c r="V194" s="2413" t="str">
        <f>IF(AK194="","",INDEX(TERRITORY_MR_LIST,MATCH(AK194,TERRITORY_LIST_ID,0)))</f>
        <v/>
      </c>
      <c r="W194" s="1621"/>
      <c r="X194" s="2044" t="s">
        <v>62</v>
      </c>
      <c r="Y194" s="2044" t="s">
        <v>57</v>
      </c>
      <c r="Z194" s="1604"/>
      <c r="AA194" s="1982" t="s">
        <v>110</v>
      </c>
      <c r="AB194" s="2415"/>
      <c r="AC194" s="1622"/>
      <c r="AD194" s="2044" t="s">
        <v>62</v>
      </c>
      <c r="AE194" s="2044" t="s">
        <v>57</v>
      </c>
      <c r="AF194" s="1602"/>
      <c r="AG194" s="1852" t="s">
        <v>110</v>
      </c>
      <c r="AH194" s="1612"/>
      <c r="AI194" s="1842"/>
    </row>
    <row s="2665" customFormat="1" customHeight="1" ht="15">
      <c r="D195" s="2416"/>
      <c r="E195" s="2036"/>
      <c r="F195" s="2036"/>
      <c r="G195" s="2045"/>
      <c r="H195" s="1604"/>
      <c r="I195" s="2417"/>
      <c r="J195" s="2389"/>
      <c r="K195" s="1603"/>
      <c r="L195" s="2045"/>
      <c r="M195" s="2045"/>
      <c r="N195" s="1604"/>
      <c r="O195" s="1982"/>
      <c r="P195" s="2411"/>
      <c r="Q195" s="1600"/>
      <c r="R195" s="2045"/>
      <c r="S195" s="2045"/>
      <c r="T195" s="1897"/>
      <c r="U195" s="1982"/>
      <c r="V195" s="2414"/>
      <c r="W195" s="1601"/>
      <c r="X195" s="2045"/>
      <c r="Y195" s="2045"/>
      <c r="Z195" s="1604"/>
      <c r="AA195" s="1982"/>
      <c r="AB195" s="2342"/>
      <c r="AC195" s="1605"/>
      <c r="AD195" s="1986"/>
      <c r="AE195" s="1986"/>
      <c r="AF195" s="1606"/>
      <c r="AG195" s="1607"/>
      <c r="AH195" s="2419" t="s">
        <v>1166</v>
      </c>
      <c r="AI195" s="2420"/>
    </row>
    <row s="2665" customFormat="1" customHeight="1" ht="15">
      <c r="D196" s="2416"/>
      <c r="E196" s="2036"/>
      <c r="F196" s="2036"/>
      <c r="G196" s="2045"/>
      <c r="H196" s="1604"/>
      <c r="I196" s="2417"/>
      <c r="J196" s="2389"/>
      <c r="K196" s="1603"/>
      <c r="L196" s="2045"/>
      <c r="M196" s="2045"/>
      <c r="N196" s="1604"/>
      <c r="O196" s="1982"/>
      <c r="P196" s="2411"/>
      <c r="Q196" s="1600"/>
      <c r="R196" s="2045"/>
      <c r="S196" s="2045"/>
      <c r="T196" s="1897"/>
      <c r="U196" s="1982"/>
      <c r="V196" s="2414"/>
      <c r="W196" s="1601"/>
      <c r="X196" s="2045"/>
      <c r="Y196" s="2045"/>
      <c r="Z196" s="1643"/>
      <c r="AA196" s="1609"/>
      <c r="AB196" s="2421" t="s">
        <v>1167</v>
      </c>
      <c r="AC196" s="2421"/>
      <c r="AD196" s="2421"/>
      <c r="AE196" s="2421"/>
      <c r="AF196" s="2421"/>
      <c r="AG196" s="2421"/>
      <c r="AH196" s="2421"/>
      <c r="AI196" s="2422"/>
    </row>
    <row s="2665" customFormat="1" customHeight="1" ht="15">
      <c r="D197" s="2416"/>
      <c r="E197" s="2036"/>
      <c r="F197" s="2036"/>
      <c r="G197" s="2045"/>
      <c r="H197" s="1604"/>
      <c r="I197" s="2417"/>
      <c r="J197" s="2389"/>
      <c r="K197" s="1603"/>
      <c r="L197" s="2045"/>
      <c r="M197" s="2045"/>
      <c r="N197" s="1604"/>
      <c r="O197" s="1982"/>
      <c r="P197" s="2423"/>
      <c r="Q197" s="1600"/>
      <c r="R197" s="2045"/>
      <c r="S197" s="2045"/>
      <c r="T197" s="1898"/>
      <c r="U197" s="1644"/>
      <c r="V197" s="2419" t="s">
        <v>104</v>
      </c>
      <c r="W197" s="2419"/>
      <c r="X197" s="2419"/>
      <c r="Y197" s="2419"/>
      <c r="Z197" s="2419"/>
      <c r="AA197" s="2419"/>
      <c r="AB197" s="2419"/>
      <c r="AC197" s="2419"/>
      <c r="AD197" s="2419"/>
      <c r="AE197" s="2419"/>
      <c r="AF197" s="2419"/>
      <c r="AG197" s="2419"/>
      <c r="AH197" s="2419"/>
      <c r="AI197" s="2420"/>
    </row>
    <row s="2665" customFormat="1" customHeight="1" ht="11.25">
      <c r="D198" s="2416"/>
      <c r="E198" s="2036"/>
      <c r="F198" s="2036"/>
      <c r="G198" s="2045"/>
      <c r="H198" s="1608"/>
      <c r="I198" s="2417"/>
      <c r="J198" s="2418"/>
      <c r="K198" s="1603"/>
      <c r="L198" s="2045"/>
      <c r="M198" s="2045"/>
      <c r="N198" s="1608"/>
      <c r="O198" s="1609"/>
      <c r="P198" s="2419" t="s">
        <v>1168</v>
      </c>
      <c r="Q198" s="2419"/>
      <c r="R198" s="2419"/>
      <c r="S198" s="2419"/>
      <c r="T198" s="2419"/>
      <c r="U198" s="2419"/>
      <c r="V198" s="2419"/>
      <c r="W198" s="2419"/>
      <c r="X198" s="2419"/>
      <c r="Y198" s="2419"/>
      <c r="Z198" s="2419"/>
      <c r="AA198" s="2419"/>
      <c r="AB198" s="2419"/>
      <c r="AC198" s="2419"/>
      <c r="AD198" s="2419"/>
      <c r="AE198" s="2419"/>
      <c r="AF198" s="2419"/>
      <c r="AG198" s="2419"/>
      <c r="AH198" s="2419"/>
      <c r="AI198" s="2420"/>
    </row>
    <row s="2935" customFormat="1" customHeight="1" ht="11.25">
      <c r="D199" s="2416"/>
      <c r="E199" s="2036"/>
      <c r="F199" s="2036"/>
      <c r="G199" s="1986"/>
      <c r="H199" s="1610"/>
      <c r="I199" s="1611"/>
      <c r="J199" s="2419" t="s">
        <v>184</v>
      </c>
      <c r="K199" s="2419"/>
      <c r="L199" s="2419"/>
      <c r="M199" s="2419"/>
      <c r="N199" s="2419"/>
      <c r="O199" s="2419"/>
      <c r="P199" s="2419"/>
      <c r="Q199" s="2419"/>
      <c r="R199" s="2419"/>
      <c r="S199" s="2419"/>
      <c r="T199" s="2419"/>
      <c r="U199" s="2419"/>
      <c r="V199" s="2419"/>
      <c r="W199" s="2419"/>
      <c r="X199" s="2419"/>
      <c r="Y199" s="2419"/>
      <c r="Z199" s="2419"/>
      <c r="AA199" s="2419"/>
      <c r="AB199" s="2419"/>
      <c r="AC199" s="2419"/>
      <c r="AD199" s="2419"/>
      <c r="AE199" s="2419"/>
      <c r="AF199" s="2419"/>
      <c r="AG199" s="2419"/>
      <c r="AH199" s="2419"/>
      <c r="AI199" s="2420"/>
      <c r="BK199" s="1614"/>
    </row>
    <row customHeight="1" ht="17.25">
      <c r="G200" s="1880"/>
      <c r="I200" s="1880"/>
      <c r="J200" s="1880"/>
      <c r="N200" s="1876"/>
    </row>
    <row s="2665" customFormat="1" customHeight="1" ht="15">
      <c r="D201" s="2416"/>
      <c r="E201" s="2036"/>
      <c r="F201" s="2036"/>
      <c r="G201" s="2041"/>
      <c r="H201" s="1639"/>
      <c r="I201" s="2046"/>
      <c r="J201" s="2002"/>
      <c r="K201" s="1826"/>
      <c r="L201" s="1989"/>
      <c r="M201" s="1989"/>
      <c r="N201" s="1624"/>
      <c r="O201" s="1989"/>
      <c r="P201" s="2002"/>
      <c r="Q201" s="1830"/>
      <c r="R201" s="1989"/>
      <c r="S201" s="1989"/>
      <c r="T201" s="1899"/>
      <c r="U201" s="1989"/>
      <c r="V201" s="2002"/>
      <c r="W201" s="1627"/>
      <c r="X201" s="1989"/>
      <c r="Y201" s="1989"/>
      <c r="Z201" s="1624"/>
      <c r="AA201" s="1989"/>
      <c r="AB201" s="2002"/>
      <c r="AC201" s="1628"/>
      <c r="AD201" s="1989"/>
      <c r="AE201" s="1989"/>
      <c r="AF201" s="1824"/>
      <c r="AG201" s="1824"/>
      <c r="AH201" s="1629"/>
      <c r="AI201" s="1326"/>
    </row>
    <row s="2665" customFormat="1" customHeight="1" ht="15">
      <c r="D202" s="2416"/>
      <c r="E202" s="2036"/>
      <c r="F202" s="2036"/>
      <c r="G202" s="2041"/>
      <c r="H202" s="1640"/>
      <c r="I202" s="2047"/>
      <c r="J202" s="2003"/>
      <c r="K202" s="1650"/>
      <c r="L202" s="1990"/>
      <c r="M202" s="1990"/>
      <c r="N202" s="1630"/>
      <c r="O202" s="1990"/>
      <c r="P202" s="2003"/>
      <c r="Q202" s="1831"/>
      <c r="R202" s="1990"/>
      <c r="S202" s="1990"/>
      <c r="T202" s="1900"/>
      <c r="U202" s="1990"/>
      <c r="V202" s="2003"/>
      <c r="W202" s="1633"/>
      <c r="X202" s="1990"/>
      <c r="Y202" s="1990"/>
      <c r="Z202" s="1630"/>
      <c r="AA202" s="1990"/>
      <c r="AB202" s="2003"/>
      <c r="AC202" s="1634"/>
      <c r="AD202" s="1990"/>
      <c r="AE202" s="1990"/>
      <c r="AF202" s="1829"/>
      <c r="AG202" s="1829"/>
      <c r="AH202" s="2050"/>
      <c r="AI202" s="2051"/>
    </row>
    <row s="2665" customFormat="1" customHeight="1" ht="15">
      <c r="D203" s="2416"/>
      <c r="E203" s="2036"/>
      <c r="F203" s="2036"/>
      <c r="G203" s="2041"/>
      <c r="H203" s="1640"/>
      <c r="I203" s="2047"/>
      <c r="J203" s="2003"/>
      <c r="K203" s="1650"/>
      <c r="L203" s="1990"/>
      <c r="M203" s="1990"/>
      <c r="N203" s="1630"/>
      <c r="O203" s="1990"/>
      <c r="P203" s="2003"/>
      <c r="Q203" s="1831"/>
      <c r="R203" s="1990"/>
      <c r="S203" s="1990"/>
      <c r="T203" s="1900"/>
      <c r="U203" s="1990"/>
      <c r="V203" s="2003"/>
      <c r="W203" s="1633"/>
      <c r="X203" s="1990"/>
      <c r="Y203" s="1990"/>
      <c r="Z203" s="1827"/>
      <c r="AA203" s="1829"/>
      <c r="AB203" s="2050"/>
      <c r="AC203" s="2050"/>
      <c r="AD203" s="2050"/>
      <c r="AE203" s="2050"/>
      <c r="AF203" s="2050"/>
      <c r="AG203" s="2050"/>
      <c r="AH203" s="2050"/>
      <c r="AI203" s="2051"/>
    </row>
    <row s="2665" customFormat="1" customHeight="1" ht="15">
      <c r="D204" s="2416"/>
      <c r="E204" s="2036"/>
      <c r="F204" s="2036"/>
      <c r="G204" s="2041"/>
      <c r="H204" s="1640"/>
      <c r="I204" s="2047"/>
      <c r="J204" s="2003"/>
      <c r="K204" s="1650"/>
      <c r="L204" s="1990"/>
      <c r="M204" s="1990"/>
      <c r="N204" s="1630"/>
      <c r="O204" s="1990"/>
      <c r="P204" s="2003"/>
      <c r="Q204" s="1831"/>
      <c r="R204" s="1990"/>
      <c r="S204" s="1990"/>
      <c r="T204" s="1901"/>
      <c r="U204" s="1637"/>
      <c r="V204" s="2050"/>
      <c r="W204" s="2050"/>
      <c r="X204" s="2050"/>
      <c r="Y204" s="2050"/>
      <c r="Z204" s="2050"/>
      <c r="AA204" s="2050"/>
      <c r="AB204" s="2050"/>
      <c r="AC204" s="2050"/>
      <c r="AD204" s="2050"/>
      <c r="AE204" s="2050"/>
      <c r="AF204" s="2050"/>
      <c r="AG204" s="2050"/>
      <c r="AH204" s="2050"/>
      <c r="AI204" s="2051"/>
    </row>
    <row s="2665" customFormat="1" customHeight="1" ht="11.25">
      <c r="D205" s="2416"/>
      <c r="E205" s="2036"/>
      <c r="F205" s="2036"/>
      <c r="G205" s="2041"/>
      <c r="H205" s="1641"/>
      <c r="I205" s="2047"/>
      <c r="J205" s="2003"/>
      <c r="K205" s="1650"/>
      <c r="L205" s="1990"/>
      <c r="M205" s="1990"/>
      <c r="N205" s="1829"/>
      <c r="O205" s="1829"/>
      <c r="P205" s="2050"/>
      <c r="Q205" s="2050"/>
      <c r="R205" s="2050"/>
      <c r="S205" s="2050"/>
      <c r="T205" s="2050"/>
      <c r="U205" s="2050"/>
      <c r="V205" s="2050"/>
      <c r="W205" s="2050"/>
      <c r="X205" s="2050"/>
      <c r="Y205" s="2050"/>
      <c r="Z205" s="2050"/>
      <c r="AA205" s="2050"/>
      <c r="AB205" s="2050"/>
      <c r="AC205" s="2050"/>
      <c r="AD205" s="2050"/>
      <c r="AE205" s="2050"/>
      <c r="AF205" s="2050"/>
      <c r="AG205" s="2050"/>
      <c r="AH205" s="2050"/>
      <c r="AI205" s="2051"/>
    </row>
    <row s="2935" customFormat="1" customHeight="1" ht="11.25">
      <c r="D206" s="2416"/>
      <c r="E206" s="2036"/>
      <c r="F206" s="2036"/>
      <c r="G206" s="2052"/>
      <c r="H206" s="1638"/>
      <c r="I206" s="1642"/>
      <c r="J206" s="2048"/>
      <c r="K206" s="2048"/>
      <c r="L206" s="2048"/>
      <c r="M206" s="2048"/>
      <c r="N206" s="2048"/>
      <c r="O206" s="2048"/>
      <c r="P206" s="2048"/>
      <c r="Q206" s="2048"/>
      <c r="R206" s="2048"/>
      <c r="S206" s="2048"/>
      <c r="T206" s="2048"/>
      <c r="U206" s="2048"/>
      <c r="V206" s="2048"/>
      <c r="W206" s="2048"/>
      <c r="X206" s="2048"/>
      <c r="Y206" s="2048"/>
      <c r="Z206" s="2048"/>
      <c r="AA206" s="2048"/>
      <c r="AB206" s="2048"/>
      <c r="AC206" s="2048"/>
      <c r="AD206" s="2048"/>
      <c r="AE206" s="2048"/>
      <c r="AF206" s="2048"/>
      <c r="AG206" s="2048"/>
      <c r="AH206" s="2048"/>
      <c r="AI206" s="2049"/>
      <c r="BK206" s="1614"/>
    </row>
    <row customHeight="1" ht="17.25">
      <c r="A207" s="1892"/>
    </row>
  </sheetData>
  <sheetProtection formatColumns="0" formatRows="0" sort="0" autoFilter="0" insertRows="0" insertColumns="1" deleteRows="0" deleteColumns="0"/>
  <mergeCells count="285">
    <mergeCell ref="P183:P184"/>
    <mergeCell ref="Q183:Q184"/>
    <mergeCell ref="R183:R184"/>
    <mergeCell ref="S183:S184"/>
    <mergeCell ref="W183:W184"/>
    <mergeCell ref="W174:W175"/>
    <mergeCell ref="L179:L181"/>
    <mergeCell ref="M179:M181"/>
    <mergeCell ref="N179:N181"/>
    <mergeCell ref="O179:O181"/>
    <mergeCell ref="P179:P180"/>
    <mergeCell ref="Q179:Q180"/>
    <mergeCell ref="R179:R180"/>
    <mergeCell ref="S179:S180"/>
    <mergeCell ref="W179:W180"/>
    <mergeCell ref="P161:P162"/>
    <mergeCell ref="Q161:Q162"/>
    <mergeCell ref="R161:R162"/>
    <mergeCell ref="S161:S162"/>
    <mergeCell ref="H174:H177"/>
    <mergeCell ref="I174:I177"/>
    <mergeCell ref="J174:J177"/>
    <mergeCell ref="K174:K177"/>
    <mergeCell ref="L174:L176"/>
    <mergeCell ref="M174:M176"/>
    <mergeCell ref="N174:N176"/>
    <mergeCell ref="O174:O176"/>
    <mergeCell ref="P174:P175"/>
    <mergeCell ref="Q174:Q175"/>
    <mergeCell ref="R174:R175"/>
    <mergeCell ref="S174:S175"/>
    <mergeCell ref="S168:S169"/>
    <mergeCell ref="O152:O154"/>
    <mergeCell ref="P152:P153"/>
    <mergeCell ref="Q152:Q153"/>
    <mergeCell ref="R152:R153"/>
    <mergeCell ref="S152:S153"/>
    <mergeCell ref="L157:L159"/>
    <mergeCell ref="M157:M159"/>
    <mergeCell ref="N157:N159"/>
    <mergeCell ref="O157:O159"/>
    <mergeCell ref="P157:P158"/>
    <mergeCell ref="Q157:Q158"/>
    <mergeCell ref="R157:R158"/>
    <mergeCell ref="S157:S158"/>
    <mergeCell ref="AF93:AF97"/>
    <mergeCell ref="AG93:AG97"/>
    <mergeCell ref="AH93:AH97"/>
    <mergeCell ref="AI93:AI97"/>
    <mergeCell ref="AJ93:AJ97"/>
    <mergeCell ref="AK93:AK97"/>
    <mergeCell ref="N94:N96"/>
    <mergeCell ref="O94:O96"/>
    <mergeCell ref="P94:P96"/>
    <mergeCell ref="Q94:Q96"/>
    <mergeCell ref="R94:R96"/>
    <mergeCell ref="S94:S96"/>
    <mergeCell ref="T94:T96"/>
    <mergeCell ref="U94:U96"/>
    <mergeCell ref="V94:V96"/>
    <mergeCell ref="W94:W96"/>
    <mergeCell ref="X94:X96"/>
    <mergeCell ref="Y94:Y96"/>
    <mergeCell ref="S83:S85"/>
    <mergeCell ref="T83:T85"/>
    <mergeCell ref="U83:U85"/>
    <mergeCell ref="V83:V85"/>
    <mergeCell ref="W83:W85"/>
    <mergeCell ref="X83:X85"/>
    <mergeCell ref="Y83:Y85"/>
    <mergeCell ref="H93:H97"/>
    <mergeCell ref="I93:I97"/>
    <mergeCell ref="J93:J97"/>
    <mergeCell ref="K93:K97"/>
    <mergeCell ref="L93:L97"/>
    <mergeCell ref="M93:M97"/>
    <mergeCell ref="AB201:AB202"/>
    <mergeCell ref="AD201:AD202"/>
    <mergeCell ref="AE201:AE202"/>
    <mergeCell ref="AH202:AI202"/>
    <mergeCell ref="AB203:AI203"/>
    <mergeCell ref="V204:AI204"/>
    <mergeCell ref="P205:AI205"/>
    <mergeCell ref="J206:AI206"/>
    <mergeCell ref="AD194:AD195"/>
    <mergeCell ref="AE194:AE195"/>
    <mergeCell ref="AH195:AI195"/>
    <mergeCell ref="AB196:AI196"/>
    <mergeCell ref="V197:AI197"/>
    <mergeCell ref="P198:AI198"/>
    <mergeCell ref="J199:AI199"/>
    <mergeCell ref="P201:P204"/>
    <mergeCell ref="R201:R204"/>
    <mergeCell ref="S201:S204"/>
    <mergeCell ref="U201:U203"/>
    <mergeCell ref="V201:V203"/>
    <mergeCell ref="X201:X203"/>
    <mergeCell ref="Y201:Y203"/>
    <mergeCell ref="AA201:AA202"/>
    <mergeCell ref="P194:P197"/>
    <mergeCell ref="D201:D206"/>
    <mergeCell ref="E201:E206"/>
    <mergeCell ref="F201:F206"/>
    <mergeCell ref="G201:G206"/>
    <mergeCell ref="I201:I205"/>
    <mergeCell ref="J201:J205"/>
    <mergeCell ref="L201:L205"/>
    <mergeCell ref="M201:M205"/>
    <mergeCell ref="O201:O204"/>
    <mergeCell ref="R194:R197"/>
    <mergeCell ref="S194:S197"/>
    <mergeCell ref="U194:U196"/>
    <mergeCell ref="V194:V196"/>
    <mergeCell ref="X194:X196"/>
    <mergeCell ref="Y194:Y196"/>
    <mergeCell ref="AA194:AA195"/>
    <mergeCell ref="AB194:AB195"/>
    <mergeCell ref="D194:D199"/>
    <mergeCell ref="E194:E199"/>
    <mergeCell ref="F194:F199"/>
    <mergeCell ref="G194:G199"/>
    <mergeCell ref="I194:I198"/>
    <mergeCell ref="J194:J198"/>
    <mergeCell ref="L194:L198"/>
    <mergeCell ref="M194:M198"/>
    <mergeCell ref="O194:O197"/>
    <mergeCell ref="W168:W169"/>
    <mergeCell ref="D168:D172"/>
    <mergeCell ref="E168:E172"/>
    <mergeCell ref="F168:F172"/>
    <mergeCell ref="G168:G172"/>
    <mergeCell ref="H168:H171"/>
    <mergeCell ref="I168:I171"/>
    <mergeCell ref="J168:J171"/>
    <mergeCell ref="K168:K171"/>
    <mergeCell ref="L168:L170"/>
    <mergeCell ref="AJ74:AJ78"/>
    <mergeCell ref="AK74:AK78"/>
    <mergeCell ref="I79:K79"/>
    <mergeCell ref="F74:F79"/>
    <mergeCell ref="AF74:AF78"/>
    <mergeCell ref="AG74:AG78"/>
    <mergeCell ref="AH74:AH78"/>
    <mergeCell ref="AI74:AI78"/>
    <mergeCell ref="S75:S77"/>
    <mergeCell ref="T75:T77"/>
    <mergeCell ref="U75:U77"/>
    <mergeCell ref="V75:V77"/>
    <mergeCell ref="W75:W77"/>
    <mergeCell ref="X75:X77"/>
    <mergeCell ref="Y75:Y77"/>
    <mergeCell ref="H74:H78"/>
    <mergeCell ref="I74:I78"/>
    <mergeCell ref="J74:J78"/>
    <mergeCell ref="K74:K78"/>
    <mergeCell ref="L74:L78"/>
    <mergeCell ref="M74:M78"/>
    <mergeCell ref="N75:N77"/>
    <mergeCell ref="O75:O77"/>
    <mergeCell ref="Y64:Y65"/>
    <mergeCell ref="S64:S65"/>
    <mergeCell ref="T64:T65"/>
    <mergeCell ref="M64:M65"/>
    <mergeCell ref="N64:N65"/>
    <mergeCell ref="O64:O65"/>
    <mergeCell ref="Q64:Q65"/>
    <mergeCell ref="R64:R65"/>
    <mergeCell ref="W64:W65"/>
    <mergeCell ref="X64:X65"/>
    <mergeCell ref="P64:P65"/>
    <mergeCell ref="Q186:Q187"/>
    <mergeCell ref="R186:R187"/>
    <mergeCell ref="S186:S187"/>
    <mergeCell ref="P186:P187"/>
    <mergeCell ref="I186:I189"/>
    <mergeCell ref="F186:F190"/>
    <mergeCell ref="A13:A15"/>
    <mergeCell ref="D23:D25"/>
    <mergeCell ref="E23:E25"/>
    <mergeCell ref="F23:F25"/>
    <mergeCell ref="G23:G24"/>
    <mergeCell ref="H23:H24"/>
    <mergeCell ref="I23:I24"/>
    <mergeCell ref="J23:J24"/>
    <mergeCell ref="G29:G30"/>
    <mergeCell ref="H29:H30"/>
    <mergeCell ref="I29:I30"/>
    <mergeCell ref="J29:J30"/>
    <mergeCell ref="M168:M170"/>
    <mergeCell ref="N168:N170"/>
    <mergeCell ref="O168:O170"/>
    <mergeCell ref="P168:P169"/>
    <mergeCell ref="Q168:Q169"/>
    <mergeCell ref="R168:R169"/>
    <mergeCell ref="D186:D190"/>
    <mergeCell ref="I146:I149"/>
    <mergeCell ref="H186:H189"/>
    <mergeCell ref="J186:J189"/>
    <mergeCell ref="K186:K189"/>
    <mergeCell ref="M186:M188"/>
    <mergeCell ref="O186:O188"/>
    <mergeCell ref="L186:L188"/>
    <mergeCell ref="L146:L148"/>
    <mergeCell ref="N186:N188"/>
    <mergeCell ref="E146:E150"/>
    <mergeCell ref="N146:N148"/>
    <mergeCell ref="J146:J149"/>
    <mergeCell ref="F146:F150"/>
    <mergeCell ref="E186:E190"/>
    <mergeCell ref="H146:H149"/>
    <mergeCell ref="G186:G190"/>
    <mergeCell ref="H152:H155"/>
    <mergeCell ref="I152:I155"/>
    <mergeCell ref="J152:J155"/>
    <mergeCell ref="K152:K155"/>
    <mergeCell ref="L152:L154"/>
    <mergeCell ref="M152:M154"/>
    <mergeCell ref="N152:N154"/>
    <mergeCell ref="AC107:AC112"/>
    <mergeCell ref="E108:G108"/>
    <mergeCell ref="H108:R108"/>
    <mergeCell ref="E109:G109"/>
    <mergeCell ref="E131:E134"/>
    <mergeCell ref="F131:F134"/>
    <mergeCell ref="G131:G134"/>
    <mergeCell ref="L131:M131"/>
    <mergeCell ref="S131:S134"/>
    <mergeCell ref="H132:H133"/>
    <mergeCell ref="I132:I133"/>
    <mergeCell ref="J132:J133"/>
    <mergeCell ref="K132:K133"/>
    <mergeCell ref="H109:R109"/>
    <mergeCell ref="E110:P110"/>
    <mergeCell ref="U110:U112"/>
    <mergeCell ref="V110:V112"/>
    <mergeCell ref="E113:P113"/>
    <mergeCell ref="AC119:AC124"/>
    <mergeCell ref="E120:G120"/>
    <mergeCell ref="H120:R120"/>
    <mergeCell ref="E121:G121"/>
    <mergeCell ref="H121:R121"/>
    <mergeCell ref="E122:P122"/>
    <mergeCell ref="D119:D127"/>
    <mergeCell ref="E119:G119"/>
    <mergeCell ref="H119:R119"/>
    <mergeCell ref="D107:D115"/>
    <mergeCell ref="E107:G107"/>
    <mergeCell ref="H107:R107"/>
    <mergeCell ref="M146:M148"/>
    <mergeCell ref="P75:P77"/>
    <mergeCell ref="Q75:Q77"/>
    <mergeCell ref="R75:R77"/>
    <mergeCell ref="N83:N85"/>
    <mergeCell ref="O83:O85"/>
    <mergeCell ref="P83:P85"/>
    <mergeCell ref="Q83:Q85"/>
    <mergeCell ref="R83:R85"/>
    <mergeCell ref="H139:H140"/>
    <mergeCell ref="I139:I140"/>
    <mergeCell ref="J139:J140"/>
    <mergeCell ref="K139:K140"/>
    <mergeCell ref="F64:F65"/>
    <mergeCell ref="G64:G65"/>
    <mergeCell ref="H64:H65"/>
    <mergeCell ref="I64:I65"/>
    <mergeCell ref="J64:J65"/>
    <mergeCell ref="K64:K65"/>
    <mergeCell ref="U113:U115"/>
    <mergeCell ref="V113:V115"/>
    <mergeCell ref="D146:D150"/>
    <mergeCell ref="L64:L65"/>
    <mergeCell ref="G74:G78"/>
    <mergeCell ref="U125:U127"/>
    <mergeCell ref="V125:V127"/>
    <mergeCell ref="O146:O148"/>
    <mergeCell ref="S146:S147"/>
    <mergeCell ref="U64:U65"/>
    <mergeCell ref="V64:V65"/>
    <mergeCell ref="U122:U124"/>
    <mergeCell ref="V122:V124"/>
    <mergeCell ref="P146:P147"/>
    <mergeCell ref="Q146:Q147"/>
    <mergeCell ref="R146:R147"/>
    <mergeCell ref="G146:G150"/>
    <mergeCell ref="K146:K149"/>
  </mergeCells>
  <dataValidations count="19">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4 AC201">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6:N148 N168:N170 N152:N154 N157:N159 N161:N162 N174:N176 N179:N181 N183:N184"/>
    <dataValidation type="list" allowBlank="1" showInputMessage="1" showErrorMessage="1" errorTitle="Ошибка" error="Выберите значение из списка" prompt="Выберите значение из списка" sqref="H102">
      <formula1>QRE_METHOD_LIST</formula1>
    </dataValidation>
    <dataValidation type="list" allowBlank="1" showInputMessage="1" showErrorMessage="1" errorTitle="Ошибка" error="Выберите значение из списка" prompt="Выберите значение из списка" sqref="J132:J133 J139:J140 J142">
      <formula1>kind_of_purchase_method</formula1>
    </dataValidation>
    <dataValidation allowBlank="1" showInputMessage="1" showErrorMessage="1" promptTitle="Ввод" prompt="Для выбора ИП необходимо два раза нажать левую кнопку мыши!" sqref="G64 G69"/>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52"/>
    <dataValidation type="whole" allowBlank="1" showErrorMessage="1" errorTitle="Ошибка" error="Допускается ввод только неотрицательных целых чисел!" sqref="AF83:AF85 AI83:AI85 AF93:AF97 AI93:AI97 AF89 AI89 AF74:AF78 AI74:AI78 N52 P52 U52:V52 Y52:Z52 J52 R52:S52 AC5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52">
      <formula1>kind_of_power_te_unit</formula1>
    </dataValidation>
    <dataValidation allowBlank="1" showInputMessage="1" showErrorMessage="1" prompt="Изменение значения по двойному щелчоку левой кнопки мыши" sqref="J48"/>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74:J77 K64 K69 I89:J89 I93:J96">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8 H56 F60">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6:N188">
      <formula1>DESCRIPTION_TERRITORY</formula1>
    </dataValidation>
    <dataValidation allowBlank="1" showInputMessage="1" showErrorMessage="1" prompt="Выберите виды деятельности, выполнив двойной щелчок левой кнопки мыши по ячейке." sqref="G157:G159 G164 G146:G150 G183:G184 G152:G155 G168:G172 G174:G177 G179:G181 G161:G162"/>
    <dataValidation type="decimal" allowBlank="1" showErrorMessage="1" errorTitle="Ошибка" error="Допускается ввод только неотрицательных чисел!" sqref="Q139 O139 O142 Q142 Q132 O132 AC76 AE76 AC84 AE84 AE89 AE95 AC95 AC89 T52 H52:I52 AB52 X52 K52 M52 O52 Q52">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6 T64 I64:J64 X64 T69 I69:J69 X69"/>
    <dataValidation allowBlank="1" showInputMessage="1" showErrorMessage="1" prompt="Для выбора выполните двойной щелчок левой клавиши мыши по соответствующей ячейке." sqref="K186:K187 O186:O187 S146:S147 S186:S187 O146 K146 F157:F159 S168:S169 O168 K168 F164 K152 S152:S153 O152 F146:F150 K157 S157:S158 O157 O183 K161 S161:S162 O161 F152:F155 K174 S174:S175 O174 F168:F172 F174:F177 S179:S180 O179 F179:F181 F183:F184 S183:S184 F161:F162"/>
    <dataValidation type="textLength" operator="lessThanOrEqual" allowBlank="1" showInputMessage="1" showErrorMessage="1" errorTitle="Ошибка" error="Допускается ввод не более 900 символов!" sqref="L64:M64 E8 J186:J187 R186:R187 U64:W64 V186:W186 AB64 G13 M34 E39 E43:F43 R183:R184 E56:F56 E60 G60 Q64:S64 M74 K74:K77 V146:W146 J146:J147 R146:R147 V168:W168 J168:J169 R168:R169 AI194 J194:J198 P194:P197 AI201 J201:J205 P201:P204 E4 L69:M69 U69:W69 AB69 Q69:S69 V164:W164 J164 R164 K83:K85 M93 K93:K96 K89 V152:W152 J152:J153 R152:R153 V157:W157 J157:J158 R157:R158 V161:W161 J161:J162 R161:R162 V174:W174 J174:J175 R174:R175 V179:W179 J179:J180 R179:R180 V183:W183 J183:J184 E52">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FFF442B3-951D-F76D-777A-21E81205FF04}" mc:Ignorable="x14ac xr xr2 xr3">
  <sheetPr>
    <tabColor rgb="FFFFCC99"/>
  </sheetPr>
  <dimension ref="A1:CD118"/>
  <sheetViews>
    <sheetView topLeftCell="A1" showGridLines="0" workbookViewId="0">
      <selection activeCell="A1" sqref="A1"/>
    </sheetView>
  </sheetViews>
  <sheetFormatPr defaultColWidth="9.140625" customHeight="1" defaultRowHeight="11.25"/>
  <cols>
    <col min="1" max="1" style="4982" width="32.57421875" customWidth="1"/>
    <col min="2" max="2" style="4983" width="11.00390625" customWidth="1"/>
    <col min="3" max="3" style="4983" width="9.140625"/>
    <col min="4" max="4" style="4983" width="26.57421875" customWidth="1"/>
    <col min="5" max="5" style="4897" width="27.7109375" customWidth="1"/>
    <col min="6" max="6" style="4897" width="23.57421875" customWidth="1"/>
    <col min="7" max="7" style="4897" width="31.421875" customWidth="1"/>
    <col min="8" max="8" style="4897" width="40.8515625" customWidth="1"/>
    <col min="9" max="9" style="4897" width="14.57421875" customWidth="1"/>
    <col min="10" max="10" style="4897" width="26.8515625" customWidth="1"/>
    <col min="11" max="11" style="4897" width="50.00390625" customWidth="1"/>
    <col min="12" max="12" style="4897" width="52.421875" customWidth="1"/>
    <col min="13" max="13" style="4897" width="10.7109375" customWidth="1"/>
    <col min="14" max="14" style="4897" width="55.140625" customWidth="1"/>
    <col min="15" max="15" style="4897" width="31.8515625" customWidth="1"/>
    <col min="16" max="16" style="4897" width="23.8515625" customWidth="1"/>
    <col min="17" max="17" style="4897" width="46.57421875" customWidth="1"/>
    <col min="18" max="18" style="4897" width="24.00390625" customWidth="1"/>
    <col min="19" max="19" style="4897" width="20.57421875" customWidth="1"/>
    <col min="20" max="20" style="4897" width="22.00390625" customWidth="1"/>
    <col min="21" max="22" style="4897" width="26.421875" customWidth="1"/>
    <col min="23" max="23" style="4897" width="8.28125" hidden="1" customWidth="1"/>
    <col min="24" max="24" style="4897" width="59.7109375" customWidth="1"/>
    <col min="25" max="25" style="4897" width="49.140625" customWidth="1"/>
    <col min="26" max="26" style="4897" width="11.140625" customWidth="1"/>
    <col min="27" max="30" style="4897" width="29.00390625" customWidth="1"/>
    <col min="31" max="31" style="4897" width="9.140625"/>
    <col min="32" max="32" style="4897" width="34.7109375" customWidth="1"/>
    <col min="33" max="33" style="4897" width="9.140625"/>
    <col min="34" max="35" style="4897" width="34.421875" customWidth="1"/>
    <col min="36" max="36" style="4897" width="9.140625"/>
    <col min="37" max="37" style="4897" width="24.57421875" customWidth="1"/>
    <col min="38" max="38" style="4897" width="9.140625"/>
    <col min="39" max="39" style="4897" width="26.140625" customWidth="1"/>
    <col min="40" max="40" style="4897" width="1.7109375" customWidth="1"/>
    <col min="41" max="41" style="4897" width="9.140625"/>
    <col min="42" max="43" style="4897" width="47.8515625" customWidth="1"/>
    <col min="44" max="44" style="4897" width="1.7109375" customWidth="1"/>
    <col min="45" max="45" style="4897" width="21.421875" customWidth="1"/>
    <col min="46" max="46" style="4897" width="1.7109375" customWidth="1"/>
    <col min="47" max="47" style="4897" width="31.28125" customWidth="1"/>
    <col min="48" max="48" style="4897" width="1.7109375" customWidth="1"/>
    <col min="49" max="50" style="4984" width="9.140625"/>
    <col min="51" max="51" style="4897" width="3.7109375" customWidth="1"/>
    <col min="52" max="52" style="4897" width="55.00390625" customWidth="1"/>
    <col min="53" max="53" style="4897" width="9.140625"/>
    <col min="54" max="54" style="4897" width="35.140625" customWidth="1"/>
    <col min="55" max="55" style="4897" width="9.140625"/>
    <col min="56" max="56" style="4897" width="1.7109375" customWidth="1"/>
    <col min="57" max="57" style="4985" width="12.57421875" customWidth="1"/>
    <col min="58" max="58" style="4985" width="14.28125" customWidth="1"/>
    <col min="59" max="59" style="4897" width="30.7109375" customWidth="1"/>
    <col min="60" max="60" style="4892" width="40.7109375" customWidth="1"/>
    <col min="61" max="61" style="4892" width="15.00390625" customWidth="1"/>
    <col min="62" max="62" style="4892" width="40.7109375" customWidth="1"/>
    <col min="63" max="63" style="4892" width="2.7109375" customWidth="1"/>
    <col min="64" max="64" style="4892" width="44.7109375" customWidth="1"/>
    <col min="65" max="65" style="4892" width="2.7109375" customWidth="1"/>
    <col min="66" max="66" style="4892" width="40.7109375" customWidth="1"/>
    <col min="67" max="68" style="4897" width="9.140625"/>
    <col min="69" max="69" style="4897" width="18.140625" customWidth="1"/>
    <col min="70" max="70" style="4897" width="57.8515625" customWidth="1"/>
    <col min="71" max="71" style="4952" width="1.7109375" customWidth="1"/>
    <col min="72" max="72" style="4897" width="22.57421875" customWidth="1"/>
    <col min="73" max="73" style="4897" width="57.8515625" customWidth="1"/>
    <col min="74" max="74" style="4897" width="1.7109375" customWidth="1"/>
    <col min="75" max="75" style="4897" width="22.57421875" customWidth="1"/>
    <col min="76" max="76" style="4897" width="57.8515625" customWidth="1"/>
    <col min="77" max="77" style="4897" width="1.7109375" customWidth="1"/>
    <col min="78" max="78" style="4897" width="22.57421875" customWidth="1"/>
    <col min="79" max="79" style="4897" width="57.8515625" customWidth="1"/>
    <col min="80" max="81" style="4897" width="9.140625"/>
    <col min="82" max="82" style="4897" width="49.57421875" customWidth="1"/>
  </cols>
  <sheetData>
    <row s="4887" customFormat="1" customHeight="1" ht="11.25">
      <c r="A1" s="1074" t="s">
        <v>1169</v>
      </c>
      <c r="B1" s="1074" t="s">
        <v>1170</v>
      </c>
      <c r="C1" s="1074" t="s">
        <v>1171</v>
      </c>
      <c r="D1" s="1074" t="s">
        <v>1172</v>
      </c>
      <c r="E1" s="1074" t="s">
        <v>1173</v>
      </c>
      <c r="F1" s="1074" t="s">
        <v>1174</v>
      </c>
      <c r="G1" s="1074" t="s">
        <v>1175</v>
      </c>
      <c r="H1" s="1074" t="s">
        <v>1176</v>
      </c>
      <c r="I1" s="1074" t="s">
        <v>1177</v>
      </c>
      <c r="J1" s="1074" t="s">
        <v>1178</v>
      </c>
      <c r="K1" s="1074" t="s">
        <v>1179</v>
      </c>
      <c r="L1" s="1074" t="s">
        <v>1180</v>
      </c>
      <c r="M1" s="1074"/>
      <c r="N1" s="1074" t="s">
        <v>1181</v>
      </c>
      <c r="O1" s="1074" t="s">
        <v>1182</v>
      </c>
      <c r="P1" s="1074" t="s">
        <v>1183</v>
      </c>
      <c r="Q1" s="1074" t="s">
        <v>1184</v>
      </c>
      <c r="R1" s="1074" t="s">
        <v>1185</v>
      </c>
      <c r="S1" s="1074" t="s">
        <v>1186</v>
      </c>
      <c r="T1" s="1074" t="s">
        <v>1187</v>
      </c>
      <c r="U1" s="1074" t="s">
        <v>1188</v>
      </c>
      <c r="V1" s="1074"/>
      <c r="W1" s="803" t="s">
        <v>1189</v>
      </c>
      <c r="X1" s="1074" t="s">
        <v>1190</v>
      </c>
      <c r="Y1" s="1074" t="s">
        <v>1191</v>
      </c>
      <c r="Z1" s="1074"/>
      <c r="AA1" s="1074" t="s">
        <v>1192</v>
      </c>
      <c r="AB1" s="1074"/>
      <c r="AC1" s="1074" t="s">
        <v>1193</v>
      </c>
      <c r="AD1" s="1074"/>
      <c r="AF1" s="1074" t="s">
        <v>1194</v>
      </c>
      <c r="AH1" s="1074" t="s">
        <v>1195</v>
      </c>
      <c r="AI1" s="1074" t="s">
        <v>1196</v>
      </c>
      <c r="AK1" s="1074" t="s">
        <v>1197</v>
      </c>
      <c r="AM1" s="1074" t="s">
        <v>1198</v>
      </c>
      <c r="AP1" s="1074" t="s">
        <v>1199</v>
      </c>
      <c r="AQ1" s="1074" t="s">
        <v>1200</v>
      </c>
      <c r="AS1" s="1074" t="s">
        <v>1201</v>
      </c>
      <c r="AU1" s="1074" t="s">
        <v>1202</v>
      </c>
      <c r="AW1" s="1074" t="s">
        <v>1203</v>
      </c>
      <c r="AX1" s="1074" t="s">
        <v>1204</v>
      </c>
      <c r="AZ1" s="1160" t="s">
        <v>1205</v>
      </c>
      <c r="BB1" s="1074" t="s">
        <v>1206</v>
      </c>
      <c r="BC1" s="1074"/>
      <c r="BE1" s="1074" t="s">
        <v>1207</v>
      </c>
      <c r="BF1" s="1074" t="s">
        <v>1208</v>
      </c>
      <c r="BH1" s="1076" t="s">
        <v>710</v>
      </c>
      <c r="BI1" s="1077"/>
      <c r="BJ1" s="1078" t="s">
        <v>1209</v>
      </c>
      <c r="BK1" s="1077"/>
      <c r="BL1" s="1079" t="s">
        <v>808</v>
      </c>
      <c r="BM1" s="1077"/>
      <c r="BN1" s="1080" t="s">
        <v>1210</v>
      </c>
      <c r="BS1" s="1457"/>
    </row>
    <row customHeight="1" ht="11.25">
      <c r="A2" s="1081" t="s">
        <v>1211</v>
      </c>
      <c r="B2" s="1082">
        <v>2000</v>
      </c>
      <c r="C2" s="1082">
        <v>2022</v>
      </c>
      <c r="D2" s="1082" t="s">
        <v>62</v>
      </c>
      <c r="E2" s="1083" t="s">
        <v>1212</v>
      </c>
      <c r="F2" s="1083" t="s">
        <v>1213</v>
      </c>
      <c r="G2" s="1083" t="s">
        <v>1214</v>
      </c>
      <c r="H2" s="1084" t="s">
        <v>55</v>
      </c>
      <c r="I2" s="1083" t="s">
        <v>110</v>
      </c>
      <c r="J2" s="1083" t="s">
        <v>1215</v>
      </c>
      <c r="K2" s="1085" t="s">
        <v>1216</v>
      </c>
      <c r="L2" s="1086"/>
      <c r="M2" s="1085">
        <v>1</v>
      </c>
      <c r="N2" s="1170" t="s">
        <v>1217</v>
      </c>
      <c r="O2" s="1084" t="s">
        <v>456</v>
      </c>
      <c r="P2" s="1087" t="s">
        <v>1218</v>
      </c>
      <c r="Q2" s="1088" t="s">
        <v>1219</v>
      </c>
      <c r="R2" s="129" t="s">
        <v>1220</v>
      </c>
      <c r="S2" s="129" t="s">
        <v>1221</v>
      </c>
      <c r="T2" s="1089" t="s">
        <v>1222</v>
      </c>
      <c r="U2" s="1086" t="s">
        <v>1223</v>
      </c>
      <c r="V2" s="1090">
        <v>1</v>
      </c>
      <c r="W2" s="1091"/>
      <c r="X2" s="1091" t="s">
        <v>1224</v>
      </c>
      <c r="Y2" s="1082" t="s">
        <v>1225</v>
      </c>
      <c r="Z2" s="1092"/>
      <c r="AA2" s="1082" t="s">
        <v>1226</v>
      </c>
      <c r="AB2" s="1093" t="s">
        <v>1226</v>
      </c>
      <c r="AC2" s="1082" t="s">
        <v>1227</v>
      </c>
      <c r="AD2" s="1093" t="s">
        <v>1227</v>
      </c>
      <c r="AF2" s="1084" t="s">
        <v>1223</v>
      </c>
      <c r="AH2" s="1083" t="s">
        <v>1228</v>
      </c>
      <c r="AI2" s="1083" t="s">
        <v>1228</v>
      </c>
      <c r="AK2" s="1083" t="s">
        <v>1229</v>
      </c>
      <c r="AM2" s="1083" t="s">
        <v>1230</v>
      </c>
      <c r="AP2" s="1094" t="s">
        <v>1224</v>
      </c>
      <c r="AQ2" s="1095" t="s">
        <v>1224</v>
      </c>
      <c r="AS2" s="1082" t="s">
        <v>1231</v>
      </c>
      <c r="AU2" s="1128" t="s">
        <v>1232</v>
      </c>
      <c r="AW2" s="1128" t="s">
        <v>1233</v>
      </c>
      <c r="AX2" s="1128" t="s">
        <v>1233</v>
      </c>
      <c r="AZ2" s="1128" t="s">
        <v>1234</v>
      </c>
      <c r="BB2" s="1128" t="s">
        <v>1235</v>
      </c>
      <c r="BC2" s="1128" t="s">
        <v>1236</v>
      </c>
      <c r="BE2" s="1128">
        <v>2000</v>
      </c>
      <c r="BF2" s="1128" t="s">
        <v>1237</v>
      </c>
    </row>
    <row customHeight="1" ht="11.25">
      <c r="A3" s="1081" t="s">
        <v>1238</v>
      </c>
      <c r="B3" s="1082">
        <v>2001</v>
      </c>
      <c r="C3" s="1082">
        <v>2023</v>
      </c>
      <c r="D3" s="1082" t="s">
        <v>57</v>
      </c>
      <c r="E3" s="1083" t="s">
        <v>1239</v>
      </c>
      <c r="F3" s="1083" t="s">
        <v>1240</v>
      </c>
      <c r="G3" s="1083" t="s">
        <v>1241</v>
      </c>
      <c r="H3" s="1084" t="s">
        <v>1242</v>
      </c>
      <c r="I3" s="1083" t="s">
        <v>111</v>
      </c>
      <c r="J3" s="1083" t="s">
        <v>544</v>
      </c>
      <c r="K3" s="1085" t="s">
        <v>1243</v>
      </c>
      <c r="L3" s="1086">
        <f>_xlfn.IFERROR(MATCH(K3,OFFER_METHOD,0),0)</f>
        <v>0</v>
      </c>
      <c r="M3" s="1085">
        <v>2</v>
      </c>
      <c r="N3" s="1170" t="s">
        <v>1244</v>
      </c>
      <c r="O3" s="1084" t="s">
        <v>1245</v>
      </c>
      <c r="P3" s="1087" t="s">
        <v>33</v>
      </c>
      <c r="Q3" s="1088" t="s">
        <v>1246</v>
      </c>
      <c r="R3" s="129" t="s">
        <v>457</v>
      </c>
      <c r="S3" s="129" t="s">
        <v>1247</v>
      </c>
      <c r="T3" s="1089" t="s">
        <v>1248</v>
      </c>
      <c r="U3" s="1086" t="s">
        <v>1249</v>
      </c>
      <c r="V3" s="1090">
        <v>2</v>
      </c>
      <c r="W3" s="1091"/>
      <c r="X3" s="1091" t="s">
        <v>1250</v>
      </c>
      <c r="Y3" s="1082" t="s">
        <v>1225</v>
      </c>
      <c r="Z3" s="1092"/>
      <c r="AA3" s="1082" t="s">
        <v>1251</v>
      </c>
      <c r="AB3" s="1093" t="s">
        <v>1251</v>
      </c>
      <c r="AC3" s="1082" t="s">
        <v>1252</v>
      </c>
      <c r="AD3" s="1093" t="s">
        <v>1252</v>
      </c>
      <c r="AF3" s="1084" t="s">
        <v>1249</v>
      </c>
      <c r="AH3" s="1083" t="s">
        <v>1253</v>
      </c>
      <c r="AI3" s="1083" t="s">
        <v>1254</v>
      </c>
      <c r="AK3" s="1083" t="s">
        <v>1255</v>
      </c>
      <c r="AM3" s="1083" t="s">
        <v>1256</v>
      </c>
      <c r="AP3" s="1094" t="s">
        <v>1257</v>
      </c>
      <c r="AQ3" s="1095" t="s">
        <v>1257</v>
      </c>
      <c r="AS3" s="1082" t="s">
        <v>1258</v>
      </c>
      <c r="AU3" s="1128" t="s">
        <v>1259</v>
      </c>
      <c r="AW3" s="1128" t="s">
        <v>1260</v>
      </c>
      <c r="AX3" s="1128" t="s">
        <v>1260</v>
      </c>
      <c r="AZ3" s="1128" t="s">
        <v>53</v>
      </c>
      <c r="BB3" s="1128" t="s">
        <v>1261</v>
      </c>
      <c r="BC3" s="1128" t="s">
        <v>1236</v>
      </c>
      <c r="BE3" s="1128">
        <v>2001</v>
      </c>
      <c r="BF3" s="1128" t="s">
        <v>1262</v>
      </c>
      <c r="BH3" s="1074" t="s">
        <v>1263</v>
      </c>
      <c r="BJ3" s="1074" t="s">
        <v>1264</v>
      </c>
      <c r="BL3" s="1074" t="s">
        <v>1265</v>
      </c>
      <c r="BN3" s="1074" t="s">
        <v>1266</v>
      </c>
      <c r="BR3" s="1074" t="s">
        <v>1267</v>
      </c>
      <c r="BS3" s="1458"/>
      <c r="BT3" s="1077"/>
      <c r="BU3" s="1074" t="s">
        <v>1268</v>
      </c>
      <c r="BV3" s="1077"/>
      <c r="BW3" s="1730"/>
      <c r="BX3" s="1732" t="s">
        <v>1269</v>
      </c>
      <c r="CA3" s="1074" t="s">
        <v>1270</v>
      </c>
    </row>
    <row customHeight="1" ht="11.25">
      <c r="A4" s="1081" t="s">
        <v>1271</v>
      </c>
      <c r="B4" s="1082">
        <v>2002</v>
      </c>
      <c r="C4" s="1082">
        <v>2024</v>
      </c>
      <c r="E4" s="1083" t="s">
        <v>1272</v>
      </c>
      <c r="F4" s="1083" t="s">
        <v>1273</v>
      </c>
      <c r="H4" s="1084" t="s">
        <v>1274</v>
      </c>
      <c r="I4" s="1083" t="s">
        <v>90</v>
      </c>
      <c r="J4" s="1083" t="s">
        <v>1275</v>
      </c>
      <c r="K4" s="1085" t="s">
        <v>1276</v>
      </c>
      <c r="L4" s="1086">
        <f>_xlfn.IFERROR(MATCH(K4,OFFER_METHOD,0),0)</f>
        <v>0</v>
      </c>
      <c r="M4" s="1085">
        <v>3</v>
      </c>
      <c r="N4" s="1170" t="s">
        <v>1277</v>
      </c>
      <c r="O4" s="1083" t="s">
        <v>1278</v>
      </c>
      <c r="Q4" s="1088" t="s">
        <v>1279</v>
      </c>
      <c r="R4" s="129" t="s">
        <v>1280</v>
      </c>
      <c r="S4" s="129" t="s">
        <v>1281</v>
      </c>
      <c r="T4" s="1089" t="s">
        <v>1282</v>
      </c>
      <c r="U4" s="1086" t="s">
        <v>1283</v>
      </c>
      <c r="V4" s="1090">
        <v>3</v>
      </c>
      <c r="W4" s="1091"/>
      <c r="X4" s="1091" t="s">
        <v>1284</v>
      </c>
      <c r="Y4" s="1082" t="s">
        <v>1225</v>
      </c>
      <c r="Z4" s="1098"/>
      <c r="AC4" s="1082" t="s">
        <v>1285</v>
      </c>
      <c r="AD4" s="1093" t="s">
        <v>1285</v>
      </c>
      <c r="AF4" s="1084" t="s">
        <v>1283</v>
      </c>
      <c r="AH4" s="1084" t="s">
        <v>1286</v>
      </c>
      <c r="AK4" s="1083" t="s">
        <v>1287</v>
      </c>
      <c r="AM4" s="1083" t="s">
        <v>1288</v>
      </c>
      <c r="AP4" s="1094" t="s">
        <v>1250</v>
      </c>
      <c r="AQ4" s="1095" t="s">
        <v>1250</v>
      </c>
      <c r="AS4" s="1082" t="s">
        <v>1289</v>
      </c>
      <c r="AU4" s="1128" t="s">
        <v>1290</v>
      </c>
      <c r="AW4" s="1128" t="s">
        <v>1291</v>
      </c>
      <c r="AX4" s="1128" t="s">
        <v>1291</v>
      </c>
      <c r="AZ4" s="1128" t="s">
        <v>1292</v>
      </c>
      <c r="BB4" s="1128" t="s">
        <v>1293</v>
      </c>
      <c r="BC4" s="1128" t="s">
        <v>1294</v>
      </c>
      <c r="BE4" s="1128">
        <v>2002</v>
      </c>
      <c r="BF4" s="1128" t="s">
        <v>1295</v>
      </c>
      <c r="BH4" s="1075" t="s">
        <v>1296</v>
      </c>
      <c r="BJ4" s="1075" t="s">
        <v>1296</v>
      </c>
      <c r="BL4" s="1075" t="s">
        <v>1296</v>
      </c>
      <c r="BN4" s="1075" t="s">
        <v>1296</v>
      </c>
      <c r="BQ4" s="1462" t="s">
        <v>1297</v>
      </c>
      <c r="BR4" s="1167" t="s">
        <v>1298</v>
      </c>
      <c r="BS4" s="260"/>
      <c r="BT4" s="1462" t="s">
        <v>1299</v>
      </c>
      <c r="BU4" s="1167" t="s">
        <v>1300</v>
      </c>
      <c r="BV4" s="1077"/>
      <c r="BW4" s="1737" t="s">
        <v>1301</v>
      </c>
      <c r="BX4" s="1731" t="s">
        <v>1302</v>
      </c>
      <c r="BZ4" s="1462" t="s">
        <v>1303</v>
      </c>
      <c r="CA4" s="1167" t="s">
        <v>1304</v>
      </c>
    </row>
    <row customHeight="1" ht="11.25">
      <c r="A5" s="1081" t="s">
        <v>1305</v>
      </c>
      <c r="B5" s="1082">
        <v>2003</v>
      </c>
      <c r="C5" s="1082">
        <v>2025</v>
      </c>
      <c r="E5" s="1083" t="s">
        <v>1306</v>
      </c>
      <c r="F5" s="1083" t="s">
        <v>1307</v>
      </c>
      <c r="H5" s="1084" t="s">
        <v>1308</v>
      </c>
      <c r="I5" s="1083" t="s">
        <v>91</v>
      </c>
      <c r="K5" s="1085" t="s">
        <v>1309</v>
      </c>
      <c r="L5" s="1086">
        <f>_xlfn.IFERROR(MATCH(K5,OFFER_METHOD,0),0)</f>
        <v>0</v>
      </c>
      <c r="M5" s="1085">
        <v>4</v>
      </c>
      <c r="N5" s="1099" t="s">
        <v>1310</v>
      </c>
      <c r="O5" s="1083" t="s">
        <v>1311</v>
      </c>
      <c r="Q5" s="1088" t="s">
        <v>1312</v>
      </c>
      <c r="R5" s="129" t="s">
        <v>458</v>
      </c>
      <c r="T5" s="1084" t="s">
        <v>1313</v>
      </c>
      <c r="U5" s="1086" t="s">
        <v>1314</v>
      </c>
      <c r="V5" s="1090">
        <v>4</v>
      </c>
      <c r="W5" s="1091"/>
      <c r="X5" s="1091" t="s">
        <v>167</v>
      </c>
      <c r="Y5" s="1082" t="s">
        <v>1315</v>
      </c>
      <c r="Z5" s="1098">
        <v>1</v>
      </c>
      <c r="AF5" s="1084" t="s">
        <v>1316</v>
      </c>
      <c r="AH5" s="1083" t="s">
        <v>1317</v>
      </c>
      <c r="AK5" s="1083" t="s">
        <v>1318</v>
      </c>
      <c r="AM5" s="1083" t="s">
        <v>1319</v>
      </c>
      <c r="AP5" s="1094" t="s">
        <v>167</v>
      </c>
      <c r="AQ5" s="1095" t="s">
        <v>167</v>
      </c>
      <c r="AU5" s="1128" t="s">
        <v>1320</v>
      </c>
      <c r="AW5" s="1128" t="s">
        <v>1321</v>
      </c>
      <c r="AX5" s="1128" t="s">
        <v>1321</v>
      </c>
      <c r="AZ5" s="1128" t="s">
        <v>1322</v>
      </c>
      <c r="BB5" s="1128" t="s">
        <v>1323</v>
      </c>
      <c r="BC5" s="1128" t="s">
        <v>1324</v>
      </c>
      <c r="BE5" s="1128">
        <v>2003</v>
      </c>
      <c r="BF5" s="1128" t="s">
        <v>1325</v>
      </c>
      <c r="BH5" s="1075" t="s">
        <v>1326</v>
      </c>
      <c r="BJ5" s="1075" t="s">
        <v>1326</v>
      </c>
      <c r="BL5" s="1075" t="s">
        <v>1326</v>
      </c>
      <c r="BN5" s="1075" t="s">
        <v>1327</v>
      </c>
      <c r="BQ5" s="1311">
        <v>4213775</v>
      </c>
      <c r="BR5" s="1075" t="s">
        <v>1224</v>
      </c>
      <c r="BS5" s="1459"/>
      <c r="BT5" s="1311">
        <v>64236871</v>
      </c>
      <c r="BU5" s="1075" t="s">
        <v>222</v>
      </c>
      <c r="BV5" s="1077"/>
      <c r="BW5" s="1735">
        <v>4213767</v>
      </c>
      <c r="BX5" s="1733" t="s">
        <v>1328</v>
      </c>
      <c r="BZ5" s="1311">
        <v>64237509</v>
      </c>
      <c r="CA5" s="1325" t="s">
        <v>1329</v>
      </c>
    </row>
    <row customHeight="1" ht="11.25">
      <c r="A6" s="1081" t="s">
        <v>1330</v>
      </c>
      <c r="B6" s="1082">
        <v>2004</v>
      </c>
      <c r="C6" s="1082">
        <v>2026</v>
      </c>
      <c r="E6" s="1083" t="s">
        <v>1331</v>
      </c>
      <c r="F6" s="1100"/>
      <c r="H6" s="1084" t="s">
        <v>1332</v>
      </c>
      <c r="I6" s="1083" t="s">
        <v>112</v>
      </c>
      <c r="J6" s="1074" t="s">
        <v>1333</v>
      </c>
      <c r="L6" s="1086">
        <f>SUM(kind_of_control_method_filter)</f>
        <v>0</v>
      </c>
      <c r="N6" s="1099" t="s">
        <v>1334</v>
      </c>
      <c r="O6" s="1083" t="s">
        <v>1335</v>
      </c>
      <c r="R6" s="129" t="s">
        <v>1219</v>
      </c>
      <c r="T6" s="1084" t="s">
        <v>1336</v>
      </c>
      <c r="U6" s="1086" t="s">
        <v>1316</v>
      </c>
      <c r="V6" s="1090">
        <v>5</v>
      </c>
      <c r="W6" s="1091"/>
      <c r="X6" s="1082" t="s">
        <v>173</v>
      </c>
      <c r="Y6" s="1082" t="s">
        <v>1337</v>
      </c>
      <c r="Z6" s="1098"/>
      <c r="AA6" s="1101"/>
      <c r="AH6" s="1083" t="s">
        <v>1338</v>
      </c>
      <c r="AK6" s="1083" t="s">
        <v>1339</v>
      </c>
      <c r="AM6" s="1083" t="s">
        <v>1340</v>
      </c>
      <c r="AP6" s="1094" t="s">
        <v>173</v>
      </c>
      <c r="AQ6" s="1095" t="s">
        <v>173</v>
      </c>
      <c r="AU6" s="1128" t="s">
        <v>1341</v>
      </c>
      <c r="AW6" s="1128" t="s">
        <v>1342</v>
      </c>
      <c r="AX6" s="1128" t="s">
        <v>1342</v>
      </c>
      <c r="BB6" s="1128" t="s">
        <v>1343</v>
      </c>
      <c r="BC6" s="1128" t="s">
        <v>1324</v>
      </c>
      <c r="BE6" s="1128">
        <v>2004</v>
      </c>
      <c r="BF6" s="1128" t="s">
        <v>1344</v>
      </c>
      <c r="BH6" s="1075" t="s">
        <v>1345</v>
      </c>
      <c r="BJ6" s="1075" t="s">
        <v>1346</v>
      </c>
      <c r="BL6" s="1075" t="s">
        <v>1346</v>
      </c>
      <c r="BN6" s="1075" t="s">
        <v>1347</v>
      </c>
      <c r="BQ6" s="1311">
        <v>4213784</v>
      </c>
      <c r="BR6" s="1325" t="s">
        <v>1257</v>
      </c>
      <c r="BS6" s="1460"/>
      <c r="BT6" s="1311">
        <v>64236872</v>
      </c>
      <c r="BU6" s="1075" t="s">
        <v>227</v>
      </c>
      <c r="BV6" s="1077"/>
      <c r="BW6" s="1735">
        <v>4213768</v>
      </c>
      <c r="BX6" s="1733" t="s">
        <v>247</v>
      </c>
      <c r="BZ6" s="1311">
        <v>64237510</v>
      </c>
      <c r="CA6" s="1075" t="s">
        <v>1348</v>
      </c>
    </row>
    <row customHeight="1" ht="11.25">
      <c r="A7" s="1081" t="s">
        <v>1349</v>
      </c>
      <c r="B7" s="1082">
        <v>2005</v>
      </c>
      <c r="E7" s="1083" t="s">
        <v>1350</v>
      </c>
      <c r="F7" s="1100"/>
      <c r="H7" s="1084" t="s">
        <v>1351</v>
      </c>
      <c r="I7" s="1083" t="s">
        <v>92</v>
      </c>
      <c r="J7" s="1083" t="s">
        <v>1352</v>
      </c>
      <c r="N7" s="1103" t="s">
        <v>1353</v>
      </c>
      <c r="O7" s="1083" t="s">
        <v>1354</v>
      </c>
      <c r="U7" s="1086" t="s">
        <v>57</v>
      </c>
      <c r="V7" s="370" t="s">
        <v>92</v>
      </c>
      <c r="W7" s="1091"/>
      <c r="X7" s="1082" t="s">
        <v>185</v>
      </c>
      <c r="Y7" s="1082" t="s">
        <v>1315</v>
      </c>
      <c r="Z7" s="1098"/>
      <c r="AA7" s="1101"/>
      <c r="AH7" s="1083" t="s">
        <v>1355</v>
      </c>
      <c r="AK7" s="1083" t="s">
        <v>1356</v>
      </c>
      <c r="AM7" s="1083" t="s">
        <v>1357</v>
      </c>
      <c r="AP7" s="1094" t="s">
        <v>185</v>
      </c>
      <c r="AQ7" s="1095" t="s">
        <v>185</v>
      </c>
      <c r="AU7" s="1128" t="s">
        <v>1358</v>
      </c>
      <c r="AW7" s="1128" t="s">
        <v>1359</v>
      </c>
      <c r="AX7" s="1128" t="s">
        <v>1359</v>
      </c>
      <c r="AZ7" s="1074" t="s">
        <v>1360</v>
      </c>
      <c r="BB7" s="1128" t="s">
        <v>1361</v>
      </c>
      <c r="BC7" s="1128" t="s">
        <v>1324</v>
      </c>
      <c r="BE7" s="1128">
        <v>2005</v>
      </c>
      <c r="BF7" s="1128" t="s">
        <v>1362</v>
      </c>
      <c r="BH7" s="1075" t="s">
        <v>1363</v>
      </c>
      <c r="BJ7" s="1075" t="s">
        <v>1345</v>
      </c>
      <c r="BL7" s="1075" t="s">
        <v>1345</v>
      </c>
      <c r="BN7" s="1075" t="s">
        <v>1364</v>
      </c>
      <c r="BQ7" s="1311">
        <v>4213781</v>
      </c>
      <c r="BR7" s="1075" t="s">
        <v>1250</v>
      </c>
      <c r="BS7" s="1459"/>
      <c r="BT7" s="1311">
        <v>64236873</v>
      </c>
      <c r="BU7" s="1075" t="s">
        <v>232</v>
      </c>
      <c r="BV7" s="1077"/>
      <c r="BW7" s="1735">
        <v>4213769</v>
      </c>
      <c r="BX7" s="1733" t="s">
        <v>1365</v>
      </c>
      <c r="BZ7" s="1311">
        <v>64237511</v>
      </c>
      <c r="CA7" s="1075" t="s">
        <v>262</v>
      </c>
    </row>
    <row customHeight="1" ht="11.25">
      <c r="A8" s="1081" t="s">
        <v>1366</v>
      </c>
      <c r="B8" s="1082">
        <v>2006</v>
      </c>
      <c r="E8" s="1083" t="s">
        <v>1367</v>
      </c>
      <c r="F8" s="1100"/>
      <c r="I8" s="1083" t="s">
        <v>93</v>
      </c>
      <c r="J8" s="1083" t="s">
        <v>1368</v>
      </c>
      <c r="N8" s="1171" t="s">
        <v>1369</v>
      </c>
      <c r="O8" s="1083" t="s">
        <v>1370</v>
      </c>
      <c r="V8" s="370" t="s">
        <v>93</v>
      </c>
      <c r="W8" s="1091"/>
      <c r="X8" s="1082" t="s">
        <v>191</v>
      </c>
      <c r="Y8" s="1082" t="s">
        <v>1315</v>
      </c>
      <c r="Z8" s="1098"/>
      <c r="AA8" s="1101"/>
      <c r="AK8" s="1083" t="s">
        <v>1371</v>
      </c>
      <c r="AP8" s="1094" t="s">
        <v>191</v>
      </c>
      <c r="AQ8" s="1095" t="s">
        <v>191</v>
      </c>
      <c r="AU8" s="1128" t="s">
        <v>1372</v>
      </c>
      <c r="AW8" s="1128" t="s">
        <v>1373</v>
      </c>
      <c r="AX8" s="1128" t="s">
        <v>1373</v>
      </c>
      <c r="AZ8" s="1128" t="s">
        <v>1374</v>
      </c>
      <c r="BB8" s="1128" t="s">
        <v>1375</v>
      </c>
      <c r="BC8" s="1128" t="s">
        <v>1324</v>
      </c>
      <c r="BE8" s="1128">
        <v>2006</v>
      </c>
      <c r="BF8" s="1128" t="s">
        <v>1376</v>
      </c>
      <c r="BH8" s="1075" t="s">
        <v>1377</v>
      </c>
      <c r="BJ8" s="1075" t="s">
        <v>1378</v>
      </c>
      <c r="BL8" s="1075" t="s">
        <v>1378</v>
      </c>
      <c r="BN8" s="1075" t="s">
        <v>1379</v>
      </c>
      <c r="BQ8" s="1311">
        <v>4213776</v>
      </c>
      <c r="BR8" s="1075" t="s">
        <v>167</v>
      </c>
      <c r="BS8" s="1459"/>
      <c r="BT8" s="1311">
        <v>64236874</v>
      </c>
      <c r="BU8" s="1325" t="s">
        <v>1380</v>
      </c>
      <c r="BV8" s="1077"/>
      <c r="BW8" s="1735">
        <v>4213770</v>
      </c>
      <c r="BX8" s="1736" t="s">
        <v>1381</v>
      </c>
      <c r="BZ8" s="1311">
        <v>64237512</v>
      </c>
      <c r="CA8" s="1075" t="s">
        <v>257</v>
      </c>
    </row>
    <row customHeight="1" ht="11.25">
      <c r="A9" s="1081" t="s">
        <v>1382</v>
      </c>
      <c r="B9" s="1082">
        <v>2007</v>
      </c>
      <c r="E9" s="1083" t="s">
        <v>1383</v>
      </c>
      <c r="F9" s="1100"/>
      <c r="G9" s="1074" t="s">
        <v>1384</v>
      </c>
      <c r="H9" s="1074" t="s">
        <v>1385</v>
      </c>
      <c r="I9" s="1083" t="s">
        <v>113</v>
      </c>
      <c r="O9" s="1083" t="s">
        <v>1386</v>
      </c>
      <c r="V9" s="370" t="s">
        <v>113</v>
      </c>
      <c r="W9" s="1091"/>
      <c r="X9" s="1082" t="s">
        <v>197</v>
      </c>
      <c r="Y9" s="1082" t="s">
        <v>1225</v>
      </c>
      <c r="Z9" s="1098">
        <v>1</v>
      </c>
      <c r="AA9" s="1101"/>
      <c r="AK9" s="1083" t="s">
        <v>1387</v>
      </c>
      <c r="AP9" s="1094" t="s">
        <v>1388</v>
      </c>
      <c r="AQ9" s="1095" t="s">
        <v>1388</v>
      </c>
      <c r="AW9" s="1128" t="s">
        <v>1389</v>
      </c>
      <c r="AX9" s="1128" t="s">
        <v>1389</v>
      </c>
      <c r="AZ9" s="1128" t="s">
        <v>1390</v>
      </c>
      <c r="BB9" s="1128" t="s">
        <v>1391</v>
      </c>
      <c r="BC9" s="1128" t="s">
        <v>1324</v>
      </c>
      <c r="BE9" s="1128">
        <v>2007</v>
      </c>
      <c r="BF9" s="1128" t="s">
        <v>1392</v>
      </c>
      <c r="BH9" s="1075" t="s">
        <v>1393</v>
      </c>
      <c r="BJ9" s="1075" t="s">
        <v>1394</v>
      </c>
      <c r="BL9" s="1075" t="s">
        <v>1394</v>
      </c>
      <c r="BN9" s="1075" t="s">
        <v>1395</v>
      </c>
      <c r="BQ9" s="1311">
        <v>4213777</v>
      </c>
      <c r="BR9" s="1075" t="s">
        <v>173</v>
      </c>
      <c r="BS9" s="1459"/>
      <c r="BT9" s="1311">
        <v>64236875</v>
      </c>
      <c r="BU9" s="1075" t="s">
        <v>237</v>
      </c>
      <c r="BV9" s="1077"/>
      <c r="BW9" s="1730"/>
      <c r="BX9" s="1730"/>
    </row>
    <row customHeight="1" ht="11.25">
      <c r="A10" s="1081" t="s">
        <v>1396</v>
      </c>
      <c r="B10" s="1082">
        <v>2008</v>
      </c>
      <c r="E10" s="1083" t="s">
        <v>1397</v>
      </c>
      <c r="F10" s="1100"/>
      <c r="G10" s="1083" t="s">
        <v>1398</v>
      </c>
      <c r="H10" s="1083" t="s">
        <v>1399</v>
      </c>
      <c r="I10" s="1083" t="s">
        <v>149</v>
      </c>
      <c r="J10" s="1074" t="s">
        <v>1400</v>
      </c>
      <c r="K10" s="1074" t="s">
        <v>1401</v>
      </c>
      <c r="O10" s="1083" t="s">
        <v>1402</v>
      </c>
      <c r="V10" s="371" t="s">
        <v>149</v>
      </c>
      <c r="W10" s="1104"/>
      <c r="X10" s="1104" t="s">
        <v>1403</v>
      </c>
      <c r="Y10" s="1105" t="s">
        <v>1404</v>
      </c>
      <c r="Z10" s="1098"/>
      <c r="AP10" s="1094" t="s">
        <v>1403</v>
      </c>
      <c r="AQ10" s="1095" t="s">
        <v>1403</v>
      </c>
      <c r="AW10" s="1128" t="s">
        <v>1405</v>
      </c>
      <c r="AX10" s="1128" t="s">
        <v>1405</v>
      </c>
      <c r="AZ10" s="1128" t="s">
        <v>1406</v>
      </c>
      <c r="BB10" s="1128" t="s">
        <v>1407</v>
      </c>
      <c r="BC10" s="1128" t="s">
        <v>1324</v>
      </c>
      <c r="BE10" s="1128">
        <v>2008</v>
      </c>
      <c r="BF10" s="1128" t="s">
        <v>1408</v>
      </c>
      <c r="BH10" s="1075" t="s">
        <v>1409</v>
      </c>
      <c r="BJ10" s="1075" t="s">
        <v>1410</v>
      </c>
      <c r="BL10" s="1075" t="s">
        <v>1410</v>
      </c>
      <c r="BN10" s="1075" t="s">
        <v>1411</v>
      </c>
      <c r="BQ10" s="1311">
        <v>4213778</v>
      </c>
      <c r="BR10" s="1075" t="s">
        <v>185</v>
      </c>
      <c r="BS10" s="1459"/>
      <c r="BT10" s="1311">
        <v>64236876</v>
      </c>
      <c r="BU10" s="1075" t="s">
        <v>217</v>
      </c>
      <c r="BV10" s="1077"/>
      <c r="BW10" s="1730"/>
      <c r="BX10" s="1730"/>
    </row>
    <row customHeight="1" ht="11.25">
      <c r="A11" s="1081" t="s">
        <v>1412</v>
      </c>
      <c r="B11" s="1082">
        <v>2009</v>
      </c>
      <c r="E11" s="1083" t="s">
        <v>1413</v>
      </c>
      <c r="F11" s="1100"/>
      <c r="G11" s="1083" t="s">
        <v>1414</v>
      </c>
      <c r="H11" s="1083" t="s">
        <v>1415</v>
      </c>
      <c r="I11" s="1083" t="s">
        <v>150</v>
      </c>
      <c r="J11" s="1084" t="s">
        <v>1416</v>
      </c>
      <c r="K11" s="1106" t="s">
        <v>1417</v>
      </c>
      <c r="O11" s="1084" t="s">
        <v>1418</v>
      </c>
      <c r="V11" s="370" t="s">
        <v>150</v>
      </c>
      <c r="W11" s="261"/>
      <c r="X11" s="1091" t="s">
        <v>1388</v>
      </c>
      <c r="Y11" s="1082" t="s">
        <v>1419</v>
      </c>
      <c r="Z11" s="1098"/>
      <c r="AP11" s="1094" t="s">
        <v>197</v>
      </c>
      <c r="AQ11" s="1096" t="s">
        <v>197</v>
      </c>
      <c r="AW11" s="1128" t="s">
        <v>1420</v>
      </c>
      <c r="AX11" s="1128" t="s">
        <v>1420</v>
      </c>
      <c r="AZ11" s="1128" t="s">
        <v>1421</v>
      </c>
      <c r="BB11" s="1128" t="s">
        <v>1422</v>
      </c>
      <c r="BC11" s="1128" t="s">
        <v>1324</v>
      </c>
      <c r="BE11" s="1128">
        <v>2009</v>
      </c>
      <c r="BF11" s="1128" t="s">
        <v>1423</v>
      </c>
      <c r="BH11" s="1075" t="s">
        <v>1424</v>
      </c>
      <c r="BJ11" s="1075" t="s">
        <v>1393</v>
      </c>
      <c r="BL11" s="1075" t="s">
        <v>1393</v>
      </c>
      <c r="BN11" s="1075" t="s">
        <v>1425</v>
      </c>
      <c r="BQ11" s="1311">
        <v>4213780</v>
      </c>
      <c r="BR11" s="1075" t="s">
        <v>191</v>
      </c>
      <c r="BS11" s="1459"/>
      <c r="BW11" s="1730"/>
      <c r="BX11" s="1730"/>
    </row>
    <row customHeight="1" ht="11.25">
      <c r="A12" s="1081" t="s">
        <v>1426</v>
      </c>
      <c r="B12" s="1082">
        <v>2010</v>
      </c>
      <c r="E12" s="1083" t="s">
        <v>1427</v>
      </c>
      <c r="F12" s="1100"/>
      <c r="G12" s="1083" t="s">
        <v>1415</v>
      </c>
      <c r="I12" s="1083" t="s">
        <v>151</v>
      </c>
      <c r="J12" s="1084" t="s">
        <v>1428</v>
      </c>
      <c r="K12" s="1106" t="s">
        <v>1429</v>
      </c>
      <c r="O12" s="1084" t="s">
        <v>1219</v>
      </c>
      <c r="V12" s="370" t="s">
        <v>151</v>
      </c>
      <c r="W12" s="1096"/>
      <c r="X12" s="1091" t="s">
        <v>1430</v>
      </c>
      <c r="Y12" s="1082" t="s">
        <v>1225</v>
      </c>
      <c r="AP12" s="1094"/>
      <c r="AW12" s="1128" t="s">
        <v>150</v>
      </c>
      <c r="AX12" s="1128" t="s">
        <v>150</v>
      </c>
      <c r="AZ12" s="1128" t="s">
        <v>1431</v>
      </c>
      <c r="BB12" s="1128" t="s">
        <v>1432</v>
      </c>
      <c r="BC12" s="1128" t="s">
        <v>1324</v>
      </c>
      <c r="BE12" s="1128">
        <v>2010</v>
      </c>
      <c r="BF12" s="1128" t="s">
        <v>1433</v>
      </c>
      <c r="BH12" s="1075" t="s">
        <v>1434</v>
      </c>
      <c r="BJ12" s="1075" t="s">
        <v>1435</v>
      </c>
      <c r="BL12" s="1075" t="s">
        <v>1435</v>
      </c>
      <c r="BN12" s="1075" t="s">
        <v>1436</v>
      </c>
      <c r="BQ12" s="1311">
        <v>4213779</v>
      </c>
      <c r="BR12" s="1075" t="s">
        <v>1388</v>
      </c>
      <c r="BS12" s="1459"/>
      <c r="BT12" s="1077"/>
      <c r="BU12" s="1077"/>
      <c r="BV12" s="1077"/>
      <c r="BW12" s="1730"/>
      <c r="BX12" s="1730"/>
    </row>
    <row customHeight="1" ht="11.25">
      <c r="A13" s="1081" t="s">
        <v>1437</v>
      </c>
      <c r="B13" s="1082">
        <v>2011</v>
      </c>
      <c r="E13" s="1083" t="s">
        <v>1438</v>
      </c>
      <c r="F13" s="1100"/>
      <c r="I13" s="1083" t="s">
        <v>152</v>
      </c>
      <c r="K13" s="1106" t="s">
        <v>1387</v>
      </c>
      <c r="V13" s="370" t="s">
        <v>152</v>
      </c>
      <c r="W13" s="1096"/>
      <c r="X13" s="1096"/>
      <c r="Y13" s="1096"/>
      <c r="AW13" s="1128" t="s">
        <v>151</v>
      </c>
      <c r="AX13" s="1128" t="s">
        <v>151</v>
      </c>
      <c r="BB13" s="1128" t="s">
        <v>1439</v>
      </c>
      <c r="BC13" s="1128" t="s">
        <v>1440</v>
      </c>
      <c r="BE13" s="1128">
        <v>2011</v>
      </c>
      <c r="BF13" s="1128" t="s">
        <v>1441</v>
      </c>
      <c r="BH13" s="1075" t="s">
        <v>1442</v>
      </c>
      <c r="BJ13" s="1075" t="s">
        <v>1424</v>
      </c>
      <c r="BL13" s="1075" t="s">
        <v>1424</v>
      </c>
      <c r="BN13" s="1075" t="s">
        <v>1443</v>
      </c>
      <c r="BQ13" s="1311">
        <v>4213783</v>
      </c>
      <c r="BR13" s="1075" t="s">
        <v>1403</v>
      </c>
      <c r="BS13" s="1459"/>
      <c r="BT13" s="1077"/>
      <c r="BU13" s="1077"/>
      <c r="BV13" s="1077"/>
      <c r="BW13" s="1734"/>
      <c r="BX13" s="1730"/>
    </row>
    <row customHeight="1" ht="11.25">
      <c r="A14" s="1081" t="s">
        <v>1444</v>
      </c>
      <c r="B14" s="1082">
        <v>2012</v>
      </c>
      <c r="I14" s="1083" t="s">
        <v>153</v>
      </c>
      <c r="J14" s="1074" t="s">
        <v>1445</v>
      </c>
      <c r="N14" s="1074" t="s">
        <v>1446</v>
      </c>
      <c r="V14" s="1090">
        <v>13</v>
      </c>
      <c r="W14" s="1091"/>
      <c r="X14" s="1091" t="s">
        <v>1257</v>
      </c>
      <c r="Y14" s="1082" t="s">
        <v>1225</v>
      </c>
      <c r="AW14" s="1128" t="s">
        <v>152</v>
      </c>
      <c r="AX14" s="1128" t="s">
        <v>152</v>
      </c>
      <c r="AZ14" s="1074" t="s">
        <v>1447</v>
      </c>
      <c r="BB14" s="1128" t="s">
        <v>1448</v>
      </c>
      <c r="BC14" s="1128" t="s">
        <v>1440</v>
      </c>
      <c r="BE14" s="1128">
        <v>2012</v>
      </c>
      <c r="BH14" s="1075" t="s">
        <v>1364</v>
      </c>
      <c r="BJ14" s="1229" t="s">
        <v>1449</v>
      </c>
      <c r="BL14" s="1229" t="s">
        <v>1449</v>
      </c>
      <c r="BN14" s="1075" t="s">
        <v>1450</v>
      </c>
      <c r="BQ14" s="1311">
        <v>4213782</v>
      </c>
      <c r="BR14" s="1075" t="s">
        <v>197</v>
      </c>
      <c r="BS14" s="1459"/>
      <c r="BT14" s="1077"/>
      <c r="BU14" s="1077"/>
      <c r="BV14" s="1077"/>
      <c r="BW14" s="1734"/>
      <c r="BX14" s="1730"/>
    </row>
    <row customHeight="1" ht="19.5">
      <c r="A15" s="1081" t="s">
        <v>1451</v>
      </c>
      <c r="B15" s="1082">
        <v>2013</v>
      </c>
      <c r="E15" s="1738" t="s">
        <v>1452</v>
      </c>
      <c r="G15" s="1074" t="s">
        <v>1453</v>
      </c>
      <c r="H15" s="1074" t="s">
        <v>1454</v>
      </c>
      <c r="I15" s="1085" t="s">
        <v>154</v>
      </c>
      <c r="J15" s="1096" t="s">
        <v>571</v>
      </c>
      <c r="N15" s="1166" t="s">
        <v>1455</v>
      </c>
      <c r="X15" s="1094"/>
      <c r="AW15" s="1128" t="s">
        <v>153</v>
      </c>
      <c r="AX15" s="1128" t="s">
        <v>153</v>
      </c>
      <c r="AZ15" s="1128" t="s">
        <v>1374</v>
      </c>
      <c r="BB15" s="1128" t="s">
        <v>1456</v>
      </c>
      <c r="BC15" s="1128" t="s">
        <v>1440</v>
      </c>
      <c r="BE15" s="1128">
        <v>2013</v>
      </c>
      <c r="BH15" s="1075" t="s">
        <v>1379</v>
      </c>
      <c r="BJ15" s="1229" t="s">
        <v>1457</v>
      </c>
      <c r="BL15" s="1229" t="s">
        <v>1457</v>
      </c>
      <c r="BN15" s="1075" t="s">
        <v>1458</v>
      </c>
      <c r="BR15" s="1077"/>
      <c r="BS15" s="1461"/>
      <c r="BT15" s="1077"/>
      <c r="BU15" s="1077"/>
      <c r="BV15" s="1077"/>
      <c r="BW15" s="1734"/>
      <c r="BX15" s="1730"/>
    </row>
    <row customHeight="1" ht="21">
      <c r="A16" s="1913" t="s">
        <v>1459</v>
      </c>
      <c r="B16" s="1082">
        <v>2014</v>
      </c>
      <c r="E16" s="1739" t="s">
        <v>1460</v>
      </c>
      <c r="G16" s="1083" t="s">
        <v>1461</v>
      </c>
      <c r="H16" s="1083" t="s">
        <v>1462</v>
      </c>
      <c r="I16" s="1085" t="s">
        <v>1463</v>
      </c>
      <c r="J16" s="1096" t="s">
        <v>544</v>
      </c>
      <c r="N16" s="1166" t="s">
        <v>1464</v>
      </c>
      <c r="AW16" s="1128" t="s">
        <v>154</v>
      </c>
      <c r="AX16" s="1128" t="s">
        <v>154</v>
      </c>
      <c r="AZ16" s="1128" t="s">
        <v>1390</v>
      </c>
      <c r="BB16" s="1128" t="s">
        <v>1465</v>
      </c>
      <c r="BC16" s="1128" t="s">
        <v>1440</v>
      </c>
      <c r="BE16" s="1128">
        <v>2014</v>
      </c>
      <c r="BH16" s="1075" t="s">
        <v>1395</v>
      </c>
      <c r="BJ16" s="1229" t="s">
        <v>1466</v>
      </c>
      <c r="BL16" s="1229" t="s">
        <v>1466</v>
      </c>
      <c r="BN16" s="1075" t="s">
        <v>1467</v>
      </c>
      <c r="BR16" s="1077"/>
      <c r="BS16" s="1461"/>
      <c r="BT16" s="1077"/>
      <c r="BU16" s="1077"/>
      <c r="BV16" s="1077"/>
      <c r="BW16" s="1734"/>
      <c r="BX16" s="1730"/>
    </row>
    <row customHeight="1" ht="21">
      <c r="A17" s="1081" t="s">
        <v>1468</v>
      </c>
      <c r="B17" s="1082">
        <v>2015</v>
      </c>
      <c r="G17" s="1083" t="s">
        <v>1415</v>
      </c>
      <c r="H17" s="1083" t="s">
        <v>1415</v>
      </c>
      <c r="I17" s="1083" t="s">
        <v>1469</v>
      </c>
      <c r="N17" s="1166" t="s">
        <v>1470</v>
      </c>
      <c r="X17" s="1094"/>
      <c r="AW17" s="1128" t="s">
        <v>1463</v>
      </c>
      <c r="AX17" s="1128" t="s">
        <v>1463</v>
      </c>
      <c r="AZ17" s="1128" t="s">
        <v>1471</v>
      </c>
      <c r="BB17" s="1128" t="s">
        <v>1472</v>
      </c>
      <c r="BC17" s="1128" t="s">
        <v>1324</v>
      </c>
      <c r="BE17" s="1128">
        <v>2015</v>
      </c>
      <c r="BH17" s="1075" t="s">
        <v>1411</v>
      </c>
      <c r="BJ17" s="1229" t="s">
        <v>1473</v>
      </c>
      <c r="BL17" s="1229" t="s">
        <v>1473</v>
      </c>
      <c r="BN17" s="1075" t="s">
        <v>1474</v>
      </c>
      <c r="BR17" s="1074" t="s">
        <v>1267</v>
      </c>
      <c r="BS17" s="1458"/>
      <c r="BU17" s="1074" t="s">
        <v>1475</v>
      </c>
      <c r="BV17" s="1077"/>
      <c r="BW17" s="1730"/>
      <c r="BX17" s="1732" t="s">
        <v>1476</v>
      </c>
      <c r="CA17" s="1074" t="s">
        <v>1477</v>
      </c>
      <c r="CD17" s="1074" t="s">
        <v>1478</v>
      </c>
    </row>
    <row customHeight="1" ht="21">
      <c r="A18" s="1081" t="s">
        <v>1479</v>
      </c>
      <c r="B18" s="1082">
        <v>2016</v>
      </c>
      <c r="I18" s="1083" t="s">
        <v>1480</v>
      </c>
      <c r="N18" s="1166" t="s">
        <v>1481</v>
      </c>
      <c r="X18" s="1094"/>
      <c r="AW18" s="1128" t="s">
        <v>1469</v>
      </c>
      <c r="AX18" s="1128" t="s">
        <v>1469</v>
      </c>
      <c r="BB18" s="1128" t="s">
        <v>1482</v>
      </c>
      <c r="BC18" s="1128" t="s">
        <v>1324</v>
      </c>
      <c r="BE18" s="1128">
        <v>2016</v>
      </c>
      <c r="BH18" s="1075" t="s">
        <v>1425</v>
      </c>
      <c r="BJ18" s="1229" t="s">
        <v>1483</v>
      </c>
      <c r="BL18" s="1229" t="s">
        <v>1483</v>
      </c>
      <c r="BN18" s="1075" t="s">
        <v>1484</v>
      </c>
      <c r="BQ18" s="1462" t="s">
        <v>1297</v>
      </c>
      <c r="BR18" s="1167" t="s">
        <v>1298</v>
      </c>
      <c r="BS18" s="260"/>
      <c r="BT18" s="1462" t="s">
        <v>1485</v>
      </c>
      <c r="BU18" s="1167" t="s">
        <v>1486</v>
      </c>
      <c r="BV18" s="1077"/>
      <c r="BW18" s="1737" t="s">
        <v>1487</v>
      </c>
      <c r="BX18" s="1731" t="s">
        <v>1488</v>
      </c>
      <c r="BZ18" s="1462" t="s">
        <v>1489</v>
      </c>
      <c r="CA18" s="1167" t="s">
        <v>1490</v>
      </c>
      <c r="CC18" s="1462" t="s">
        <v>1491</v>
      </c>
      <c r="CD18" s="1167" t="s">
        <v>1492</v>
      </c>
    </row>
    <row customHeight="1" ht="21">
      <c r="A19" s="1913" t="s">
        <v>1493</v>
      </c>
      <c r="B19" s="1082">
        <v>2017</v>
      </c>
      <c r="I19" s="1083" t="s">
        <v>1494</v>
      </c>
      <c r="N19" s="1166" t="s">
        <v>1495</v>
      </c>
      <c r="X19" s="1094"/>
      <c r="AW19" s="1128" t="s">
        <v>1480</v>
      </c>
      <c r="AX19" s="1128" t="s">
        <v>1480</v>
      </c>
      <c r="AZ19" s="1074" t="s">
        <v>1496</v>
      </c>
      <c r="BB19" s="1128" t="s">
        <v>1497</v>
      </c>
      <c r="BC19" s="1128" t="s">
        <v>1324</v>
      </c>
      <c r="BE19" s="1128">
        <v>2017</v>
      </c>
      <c r="BH19" s="1075" t="s">
        <v>1498</v>
      </c>
      <c r="BJ19" s="1229" t="s">
        <v>1499</v>
      </c>
      <c r="BL19" s="1229" t="s">
        <v>1499</v>
      </c>
      <c r="BQ19" s="1311">
        <v>4190064</v>
      </c>
      <c r="BR19" s="1075" t="s">
        <v>1500</v>
      </c>
      <c r="BS19" s="1459"/>
      <c r="BT19" s="1311">
        <v>4189671</v>
      </c>
      <c r="BU19" s="1075" t="s">
        <v>1501</v>
      </c>
      <c r="BV19" s="1077"/>
      <c r="BW19" s="1735">
        <v>4189706</v>
      </c>
      <c r="BX19" s="1733" t="s">
        <v>1502</v>
      </c>
      <c r="BZ19" s="1311">
        <v>4189714</v>
      </c>
      <c r="CA19" s="1075" t="s">
        <v>1503</v>
      </c>
      <c r="CC19" s="1311">
        <v>4189708</v>
      </c>
      <c r="CD19" s="1075" t="s">
        <v>1504</v>
      </c>
    </row>
    <row customHeight="1" ht="21">
      <c r="A20" s="1081" t="s">
        <v>1505</v>
      </c>
      <c r="B20" s="1082">
        <v>2018</v>
      </c>
      <c r="I20" s="1083" t="s">
        <v>1506</v>
      </c>
      <c r="N20" s="1166" t="s">
        <v>1507</v>
      </c>
      <c r="AW20" s="1128" t="s">
        <v>1494</v>
      </c>
      <c r="AX20" s="1128" t="s">
        <v>1494</v>
      </c>
      <c r="AZ20" s="1128" t="s">
        <v>1508</v>
      </c>
      <c r="BB20" s="1128" t="s">
        <v>1509</v>
      </c>
      <c r="BC20" s="1128" t="s">
        <v>1440</v>
      </c>
      <c r="BE20" s="1128">
        <v>2018</v>
      </c>
      <c r="BH20" s="1075" t="s">
        <v>1436</v>
      </c>
      <c r="BJ20" s="1075" t="s">
        <v>1364</v>
      </c>
      <c r="BL20" s="1075" t="s">
        <v>1364</v>
      </c>
      <c r="BQ20" s="1311">
        <v>4190065</v>
      </c>
      <c r="BR20" s="1075" t="s">
        <v>1510</v>
      </c>
      <c r="BS20" s="1459"/>
      <c r="BT20" s="1311">
        <v>4189672</v>
      </c>
      <c r="BU20" s="1075" t="s">
        <v>1511</v>
      </c>
      <c r="BV20" s="1077"/>
      <c r="BW20" s="1735">
        <v>4189705</v>
      </c>
      <c r="BX20" s="1733" t="s">
        <v>1512</v>
      </c>
      <c r="BZ20" s="1311">
        <v>4189713</v>
      </c>
      <c r="CA20" s="1075" t="s">
        <v>1512</v>
      </c>
      <c r="CC20" s="1311">
        <v>4189709</v>
      </c>
      <c r="CD20" s="1075" t="s">
        <v>1513</v>
      </c>
    </row>
    <row customHeight="1" ht="21">
      <c r="A21" s="1081" t="s">
        <v>14</v>
      </c>
      <c r="B21" s="1082">
        <v>2019</v>
      </c>
      <c r="I21" s="1083" t="s">
        <v>1514</v>
      </c>
      <c r="N21" s="1166" t="s">
        <v>1515</v>
      </c>
      <c r="AW21" s="1128" t="s">
        <v>1506</v>
      </c>
      <c r="AX21" s="1128" t="s">
        <v>1506</v>
      </c>
      <c r="AZ21" s="1128" t="s">
        <v>1516</v>
      </c>
      <c r="BB21" s="1128" t="s">
        <v>1517</v>
      </c>
      <c r="BC21" s="1128" t="s">
        <v>1324</v>
      </c>
      <c r="BE21" s="1128">
        <v>2019</v>
      </c>
      <c r="BH21" s="1075" t="s">
        <v>1443</v>
      </c>
      <c r="BJ21" s="1075" t="s">
        <v>1379</v>
      </c>
      <c r="BL21" s="1075" t="s">
        <v>1379</v>
      </c>
      <c r="BQ21" s="1311">
        <v>4190066</v>
      </c>
      <c r="BR21" s="1075" t="s">
        <v>1518</v>
      </c>
      <c r="BS21" s="1459"/>
      <c r="BT21" s="1311">
        <v>4189673</v>
      </c>
      <c r="BU21" s="1075" t="s">
        <v>1519</v>
      </c>
      <c r="BV21" s="1077"/>
      <c r="BW21" s="1735">
        <v>4189707</v>
      </c>
      <c r="BX21" s="1733" t="s">
        <v>1520</v>
      </c>
      <c r="BZ21" s="1311">
        <v>4189712</v>
      </c>
      <c r="CA21" s="1075" t="s">
        <v>1521</v>
      </c>
      <c r="CC21" s="1311">
        <v>4189710</v>
      </c>
      <c r="CD21" s="1075" t="s">
        <v>1522</v>
      </c>
    </row>
    <row customHeight="1" ht="21">
      <c r="A22" s="1081" t="s">
        <v>1523</v>
      </c>
      <c r="B22" s="1082">
        <v>2020</v>
      </c>
      <c r="N22" s="1166" t="s">
        <v>1524</v>
      </c>
      <c r="AW22" s="1128" t="s">
        <v>1514</v>
      </c>
      <c r="AX22" s="1128" t="s">
        <v>1514</v>
      </c>
      <c r="AZ22" s="1128" t="s">
        <v>1525</v>
      </c>
      <c r="BB22" s="1128" t="s">
        <v>1526</v>
      </c>
      <c r="BC22" s="1128" t="s">
        <v>1324</v>
      </c>
      <c r="BE22" s="1128">
        <v>2020</v>
      </c>
      <c r="BH22" s="1075" t="s">
        <v>1450</v>
      </c>
      <c r="BJ22" s="1075" t="s">
        <v>1395</v>
      </c>
      <c r="BL22" s="1075" t="s">
        <v>1395</v>
      </c>
      <c r="BQ22" s="1311">
        <v>4190067</v>
      </c>
      <c r="BR22" s="1075" t="s">
        <v>1527</v>
      </c>
      <c r="BS22" s="1459"/>
      <c r="BT22" s="1311">
        <v>4189674</v>
      </c>
      <c r="BU22" s="1075" t="s">
        <v>1528</v>
      </c>
      <c r="BV22" s="1077"/>
      <c r="BW22" s="1077"/>
      <c r="CC22" s="1311">
        <v>4189711</v>
      </c>
      <c r="CD22" s="1075" t="s">
        <v>286</v>
      </c>
    </row>
    <row customHeight="1" ht="21">
      <c r="A23" s="1081" t="s">
        <v>1529</v>
      </c>
      <c r="B23" s="1082">
        <v>2021</v>
      </c>
      <c r="AW23" s="1128" t="s">
        <v>1530</v>
      </c>
      <c r="AX23" s="1128" t="s">
        <v>1530</v>
      </c>
      <c r="AZ23" s="1128" t="s">
        <v>1531</v>
      </c>
      <c r="BB23" s="1128" t="s">
        <v>1532</v>
      </c>
      <c r="BC23" s="1128" t="s">
        <v>1236</v>
      </c>
      <c r="BE23" s="1128">
        <v>2021</v>
      </c>
      <c r="BH23" s="1075" t="s">
        <v>1458</v>
      </c>
      <c r="BJ23" s="1075" t="s">
        <v>1411</v>
      </c>
      <c r="BL23" s="1075" t="s">
        <v>1411</v>
      </c>
      <c r="BQ23" s="1311">
        <v>4190068</v>
      </c>
      <c r="BR23" s="1075" t="s">
        <v>1533</v>
      </c>
      <c r="BS23" s="1459"/>
      <c r="BT23" s="1311">
        <v>4189675</v>
      </c>
      <c r="BU23" s="1075" t="s">
        <v>1534</v>
      </c>
      <c r="BV23" s="1077"/>
      <c r="BW23" s="1077"/>
      <c r="CC23" s="1311">
        <v>5110778</v>
      </c>
      <c r="CD23" s="1075" t="s">
        <v>1535</v>
      </c>
    </row>
    <row customHeight="1" ht="21">
      <c r="A24" s="1081" t="s">
        <v>1536</v>
      </c>
      <c r="B24" s="1082">
        <v>2022</v>
      </c>
      <c r="AW24" s="1128" t="s">
        <v>1537</v>
      </c>
      <c r="AX24" s="1128" t="s">
        <v>1537</v>
      </c>
      <c r="AZ24" s="1128" t="s">
        <v>1538</v>
      </c>
      <c r="BB24" s="1128" t="s">
        <v>1539</v>
      </c>
      <c r="BC24" s="1128" t="s">
        <v>1540</v>
      </c>
      <c r="BE24" s="1128">
        <v>2022</v>
      </c>
      <c r="BH24" s="1075" t="s">
        <v>1467</v>
      </c>
      <c r="BJ24" s="1075" t="s">
        <v>1425</v>
      </c>
      <c r="BL24" s="1075" t="s">
        <v>1425</v>
      </c>
      <c r="BQ24" s="1311">
        <v>4190069</v>
      </c>
      <c r="BR24" s="1075" t="s">
        <v>1541</v>
      </c>
      <c r="BS24" s="1459"/>
      <c r="BT24" s="1311">
        <v>4189676</v>
      </c>
      <c r="BU24" s="1075" t="s">
        <v>1542</v>
      </c>
      <c r="BV24" s="1077"/>
      <c r="BW24" s="1077"/>
      <c r="CC24" s="1311">
        <v>25575374</v>
      </c>
      <c r="CD24" s="1075" t="s">
        <v>1543</v>
      </c>
    </row>
    <row customHeight="1" ht="11.25">
      <c r="A25" s="1081" t="s">
        <v>1544</v>
      </c>
      <c r="B25" s="1082">
        <v>2023</v>
      </c>
      <c r="AW25" s="1128" t="s">
        <v>1545</v>
      </c>
      <c r="AX25" s="1128" t="s">
        <v>1545</v>
      </c>
      <c r="AZ25" s="1128" t="s">
        <v>1546</v>
      </c>
      <c r="BB25" s="1128" t="s">
        <v>1547</v>
      </c>
      <c r="BC25" s="1128" t="s">
        <v>1540</v>
      </c>
      <c r="BE25" s="1128">
        <v>2023</v>
      </c>
      <c r="BH25" s="1075" t="s">
        <v>1474</v>
      </c>
      <c r="BJ25" s="1075" t="s">
        <v>1498</v>
      </c>
      <c r="BL25" s="1075" t="s">
        <v>1498</v>
      </c>
      <c r="BQ25" s="1311">
        <v>4190070</v>
      </c>
      <c r="BR25" s="1075" t="s">
        <v>1548</v>
      </c>
      <c r="BS25" s="1459"/>
      <c r="BT25" s="1311">
        <v>4189677</v>
      </c>
      <c r="BU25" s="1075" t="s">
        <v>1549</v>
      </c>
      <c r="BV25" s="1077"/>
      <c r="BW25" s="1077"/>
    </row>
    <row customHeight="1" ht="11.25">
      <c r="A26" s="1081" t="s">
        <v>1550</v>
      </c>
      <c r="B26" s="1082">
        <v>2024</v>
      </c>
      <c r="J26" s="1771" t="s">
        <v>1551</v>
      </c>
      <c r="AX26" s="1128" t="s">
        <v>1552</v>
      </c>
      <c r="AZ26" s="1128" t="s">
        <v>1418</v>
      </c>
      <c r="BB26" s="1128" t="s">
        <v>1553</v>
      </c>
      <c r="BC26" s="1128" t="s">
        <v>1540</v>
      </c>
      <c r="BE26" s="1128">
        <v>2024</v>
      </c>
      <c r="BH26" s="1075" t="s">
        <v>1484</v>
      </c>
      <c r="BJ26" s="1075" t="s">
        <v>1436</v>
      </c>
      <c r="BL26" s="1075" t="s">
        <v>1436</v>
      </c>
      <c r="BQ26" s="1311">
        <v>4190071</v>
      </c>
      <c r="BR26" s="1075" t="s">
        <v>1554</v>
      </c>
      <c r="BS26" s="1459"/>
      <c r="BV26" s="1077"/>
      <c r="BW26" s="1077"/>
    </row>
    <row customHeight="1" ht="11.25">
      <c r="A27" s="1081" t="s">
        <v>1555</v>
      </c>
      <c r="B27" s="1082">
        <v>2025</v>
      </c>
      <c r="J27" s="162" t="s">
        <v>445</v>
      </c>
      <c r="AX27" s="1128" t="s">
        <v>1556</v>
      </c>
      <c r="BB27" s="1128" t="s">
        <v>1557</v>
      </c>
      <c r="BC27" s="1128" t="s">
        <v>1540</v>
      </c>
      <c r="BE27" s="1128">
        <v>2025</v>
      </c>
      <c r="BH27" s="1077" t="s">
        <v>24</v>
      </c>
      <c r="BJ27" s="1075" t="s">
        <v>1443</v>
      </c>
      <c r="BL27" s="1075" t="s">
        <v>1443</v>
      </c>
      <c r="BN27" s="1077" t="s">
        <v>24</v>
      </c>
      <c r="BQ27" s="1311">
        <v>4190072</v>
      </c>
      <c r="BR27" s="1075" t="s">
        <v>1558</v>
      </c>
      <c r="BS27" s="1459"/>
      <c r="BV27" s="1077"/>
      <c r="BW27" s="1077"/>
    </row>
    <row customHeight="1" ht="11.25">
      <c r="A28" s="1081" t="s">
        <v>1559</v>
      </c>
      <c r="D28" s="1108"/>
      <c r="E28" s="1109"/>
      <c r="F28" s="1109"/>
      <c r="H28" s="1110" t="s">
        <v>1560</v>
      </c>
      <c r="AX28" s="1128" t="s">
        <v>1561</v>
      </c>
      <c r="AZ28" s="1074" t="s">
        <v>1562</v>
      </c>
      <c r="BB28" s="1128" t="s">
        <v>1563</v>
      </c>
      <c r="BC28" s="1128" t="s">
        <v>1564</v>
      </c>
      <c r="BE28" s="1128">
        <v>2026</v>
      </c>
      <c r="BH28" s="1077" t="s">
        <v>24</v>
      </c>
      <c r="BJ28" s="1075" t="s">
        <v>1450</v>
      </c>
      <c r="BL28" s="1075" t="s">
        <v>1450</v>
      </c>
      <c r="BN28" s="1077" t="s">
        <v>24</v>
      </c>
      <c r="BQ28" s="1311">
        <v>4190073</v>
      </c>
      <c r="BR28" s="1075" t="s">
        <v>1565</v>
      </c>
      <c r="BS28" s="1459"/>
      <c r="BV28" s="1077"/>
      <c r="BW28" s="1077"/>
    </row>
    <row customHeight="1" ht="11.25">
      <c r="A29" s="1081" t="s">
        <v>1566</v>
      </c>
      <c r="D29" s="1111" t="s">
        <v>1567</v>
      </c>
      <c r="E29" s="1112" t="str">
        <f>IF(TEMPLATE_GROUP="","",INDEX(StartDateList,MATCH(TEMPLATE_GROUP,CodeTemplateList,0),1))</f>
        <v>44562.54226851852</v>
      </c>
      <c r="F29" s="1112" t="str">
        <f>IF(TEMPLATE_GROUP="","",INDEX(EndDateList,MATCH(TEMPLATE_GROUP,CodeTemplateList,0),1))</f>
        <v>46387.54263888889</v>
      </c>
      <c r="H29" s="1113" t="s">
        <v>1568</v>
      </c>
      <c r="AX29" s="1128" t="s">
        <v>1569</v>
      </c>
      <c r="AZ29" s="1128" t="s">
        <v>1220</v>
      </c>
      <c r="BB29" s="1128" t="s">
        <v>1418</v>
      </c>
      <c r="BC29" s="1098"/>
      <c r="BE29" s="1128">
        <v>2027</v>
      </c>
      <c r="BJ29" s="1075" t="s">
        <v>1458</v>
      </c>
      <c r="BL29" s="1075" t="s">
        <v>1458</v>
      </c>
    </row>
    <row customHeight="1" ht="11.25">
      <c r="A30" s="1081" t="s">
        <v>1570</v>
      </c>
      <c r="D30" s="1114"/>
      <c r="E30" s="1115"/>
      <c r="F30" s="1115"/>
      <c r="AX30" s="1128" t="s">
        <v>1571</v>
      </c>
      <c r="AZ30" s="1128" t="s">
        <v>457</v>
      </c>
      <c r="BE30" s="1128">
        <v>2028</v>
      </c>
      <c r="BJ30" s="1075" t="s">
        <v>1572</v>
      </c>
      <c r="BL30" s="1075" t="s">
        <v>1572</v>
      </c>
    </row>
    <row customHeight="1" ht="12.75">
      <c r="A31" s="1081" t="s">
        <v>1573</v>
      </c>
      <c r="D31" s="1108"/>
      <c r="E31" s="1109"/>
      <c r="F31" s="1109"/>
      <c r="H31" s="1116"/>
      <c r="AX31" s="1128" t="s">
        <v>1574</v>
      </c>
      <c r="AZ31" s="1128" t="s">
        <v>455</v>
      </c>
      <c r="BE31" s="1128">
        <v>2029</v>
      </c>
      <c r="BJ31" s="1075" t="s">
        <v>1575</v>
      </c>
      <c r="BL31" s="1075" t="s">
        <v>1575</v>
      </c>
    </row>
    <row customHeight="1" ht="11.25">
      <c r="A32" s="1081" t="s">
        <v>1576</v>
      </c>
      <c r="D32" s="1111" t="s">
        <v>1577</v>
      </c>
      <c r="E32" s="1112" t="str">
        <f>IF(TEMPLATE_GROUP="","",INDEX(StartDateList,MATCH(TEMPLATE_GROUP,CodeTemplateList,0),1))</f>
        <v>44562.54226851852</v>
      </c>
      <c r="F32" s="1112" t="str">
        <f>IF(TEMPLATE_GROUP="","",INDEX(EndDateList,MATCH(TEMPLATE_GROUP,CodeTemplateList,0),1))</f>
        <v>46387.54263888889</v>
      </c>
      <c r="H32" s="1117" t="s">
        <v>1578</v>
      </c>
      <c r="O32" s="1081" t="s">
        <v>456</v>
      </c>
      <c r="AX32" s="1128" t="s">
        <v>1579</v>
      </c>
      <c r="AZ32" s="1128" t="s">
        <v>458</v>
      </c>
      <c r="BE32" s="1128">
        <v>2030</v>
      </c>
      <c r="BJ32" s="1075" t="s">
        <v>1467</v>
      </c>
      <c r="BL32" s="1075" t="s">
        <v>1467</v>
      </c>
    </row>
    <row customHeight="1" ht="11.25">
      <c r="A33" s="1081" t="s">
        <v>1580</v>
      </c>
      <c r="O33" s="1081" t="s">
        <v>1245</v>
      </c>
      <c r="AX33" s="1128" t="s">
        <v>1581</v>
      </c>
      <c r="AZ33" s="1128" t="s">
        <v>1219</v>
      </c>
      <c r="BE33" s="1128">
        <v>2031</v>
      </c>
      <c r="BJ33" s="1075" t="s">
        <v>1474</v>
      </c>
      <c r="BL33" s="1075" t="s">
        <v>1474</v>
      </c>
    </row>
    <row customHeight="1" ht="11.25">
      <c r="A34" s="1081" t="s">
        <v>1582</v>
      </c>
      <c r="O34" s="1081" t="s">
        <v>1278</v>
      </c>
      <c r="AX34" s="1128" t="s">
        <v>1583</v>
      </c>
      <c r="BE34" s="1128">
        <v>2032</v>
      </c>
      <c r="BJ34" s="1075" t="s">
        <v>1484</v>
      </c>
      <c r="BL34" s="1075" t="s">
        <v>1484</v>
      </c>
    </row>
    <row customHeight="1" ht="11.25">
      <c r="A35" s="1081" t="s">
        <v>1584</v>
      </c>
      <c r="O35" s="1081" t="s">
        <v>1311</v>
      </c>
      <c r="AX35" s="1128" t="s">
        <v>1585</v>
      </c>
      <c r="AZ35" s="1074" t="s">
        <v>1586</v>
      </c>
      <c r="BE35" s="1128">
        <v>2033</v>
      </c>
      <c r="BL35" s="1075" t="s">
        <v>1587</v>
      </c>
    </row>
    <row customHeight="1" ht="11.25">
      <c r="A36" s="1913" t="s">
        <v>1588</v>
      </c>
      <c r="D36" s="1118" t="s">
        <v>1589</v>
      </c>
      <c r="E36" s="1119" t="s">
        <v>710</v>
      </c>
      <c r="F36" s="1120" t="str">
        <f>INDEX(E37:E41,MATCH(TEMPLATE_SPHERE,F37:F41,0))</f>
        <v>теплоснабжения</v>
      </c>
      <c r="G36" s="1120" t="str">
        <f>INDEX(G37:G41,MATCH(TEMPLATE_SPHERE,F37:F41,0))</f>
        <v>теплоснабжение</v>
      </c>
      <c r="O36" s="1081" t="s">
        <v>1335</v>
      </c>
      <c r="AX36" s="1128" t="s">
        <v>1590</v>
      </c>
      <c r="AZ36" s="1128" t="s">
        <v>1219</v>
      </c>
      <c r="BE36" s="1128">
        <v>2034</v>
      </c>
      <c r="BL36" s="1075" t="s">
        <v>1591</v>
      </c>
    </row>
    <row customHeight="1" ht="11.25">
      <c r="A37" s="1081" t="s">
        <v>1592</v>
      </c>
      <c r="E37" s="413" t="s">
        <v>1593</v>
      </c>
      <c r="F37" s="1121" t="s">
        <v>710</v>
      </c>
      <c r="G37" s="413" t="s">
        <v>1594</v>
      </c>
      <c r="O37" s="1081" t="s">
        <v>1354</v>
      </c>
      <c r="AX37" s="1128" t="s">
        <v>1595</v>
      </c>
      <c r="AZ37" s="1128" t="s">
        <v>1246</v>
      </c>
      <c r="BE37" s="1128">
        <v>2035</v>
      </c>
    </row>
    <row customHeight="1" ht="11.25">
      <c r="A38" s="1081" t="s">
        <v>1596</v>
      </c>
      <c r="E38" s="413" t="s">
        <v>1597</v>
      </c>
      <c r="F38" s="1122" t="s">
        <v>756</v>
      </c>
      <c r="G38" s="413" t="s">
        <v>1598</v>
      </c>
      <c r="O38" s="1081" t="s">
        <v>1370</v>
      </c>
      <c r="AX38" s="1128" t="s">
        <v>1599</v>
      </c>
      <c r="AZ38" s="1128" t="s">
        <v>1279</v>
      </c>
      <c r="BE38" s="1128">
        <v>2036</v>
      </c>
      <c r="BH38" s="1074" t="s">
        <v>1600</v>
      </c>
      <c r="BJ38" s="1074" t="s">
        <v>1601</v>
      </c>
      <c r="BL38" s="1074" t="s">
        <v>1602</v>
      </c>
      <c r="BN38" s="1074" t="s">
        <v>1603</v>
      </c>
    </row>
    <row customHeight="1" ht="11.25">
      <c r="A39" s="1081" t="s">
        <v>1604</v>
      </c>
      <c r="E39" s="413" t="s">
        <v>1605</v>
      </c>
      <c r="F39" s="1122" t="s">
        <v>808</v>
      </c>
      <c r="G39" s="413" t="s">
        <v>1606</v>
      </c>
      <c r="O39" s="1081" t="s">
        <v>1386</v>
      </c>
      <c r="AX39" s="1128" t="s">
        <v>1607</v>
      </c>
      <c r="AZ39" s="1128" t="s">
        <v>1312</v>
      </c>
      <c r="BE39" s="1128">
        <v>2037</v>
      </c>
      <c r="BH39" s="1075" t="s">
        <v>1608</v>
      </c>
      <c r="BJ39" s="1229" t="s">
        <v>1608</v>
      </c>
      <c r="BL39" s="1229" t="s">
        <v>1608</v>
      </c>
      <c r="BN39" s="1075" t="s">
        <v>1609</v>
      </c>
    </row>
    <row customHeight="1" ht="11.25">
      <c r="A40" s="1081" t="s">
        <v>1610</v>
      </c>
      <c r="E40" s="413" t="s">
        <v>1611</v>
      </c>
      <c r="F40" s="1122" t="s">
        <v>794</v>
      </c>
      <c r="G40" s="413" t="s">
        <v>1612</v>
      </c>
      <c r="O40" s="1081" t="s">
        <v>1402</v>
      </c>
      <c r="AX40" s="1128" t="s">
        <v>1613</v>
      </c>
      <c r="BE40" s="1128">
        <v>2038</v>
      </c>
      <c r="BH40" s="1075" t="s">
        <v>1614</v>
      </c>
      <c r="BJ40" s="1229" t="s">
        <v>929</v>
      </c>
      <c r="BL40" s="1229" t="s">
        <v>929</v>
      </c>
      <c r="BN40" s="1075" t="s">
        <v>963</v>
      </c>
    </row>
    <row customHeight="1" ht="11.25">
      <c r="A41" s="1081" t="s">
        <v>1615</v>
      </c>
      <c r="E41" s="413" t="s">
        <v>1616</v>
      </c>
      <c r="F41" s="1122" t="s">
        <v>1617</v>
      </c>
      <c r="G41" s="413" t="s">
        <v>1616</v>
      </c>
      <c r="O41" s="1081" t="s">
        <v>1418</v>
      </c>
      <c r="AX41" s="1128" t="s">
        <v>1618</v>
      </c>
      <c r="AZ41" s="1074" t="s">
        <v>1619</v>
      </c>
      <c r="BE41" s="1128">
        <v>2039</v>
      </c>
      <c r="BH41" s="1075" t="s">
        <v>1620</v>
      </c>
      <c r="BJ41" s="1229" t="s">
        <v>925</v>
      </c>
      <c r="BL41" s="1229" t="s">
        <v>925</v>
      </c>
      <c r="BN41" s="1075" t="s">
        <v>950</v>
      </c>
    </row>
    <row customHeight="1" ht="11.25">
      <c r="A42" s="1081" t="s">
        <v>1621</v>
      </c>
      <c r="AX42" s="1128" t="s">
        <v>1622</v>
      </c>
      <c r="AZ42" s="1128" t="s">
        <v>456</v>
      </c>
      <c r="BE42" s="1128">
        <v>2040</v>
      </c>
      <c r="BH42" s="1075" t="s">
        <v>947</v>
      </c>
      <c r="BJ42" s="1229" t="s">
        <v>927</v>
      </c>
      <c r="BL42" s="1229" t="s">
        <v>927</v>
      </c>
      <c r="BN42" s="1075" t="s">
        <v>1623</v>
      </c>
    </row>
    <row customHeight="1" ht="11.25">
      <c r="A43" s="1081" t="s">
        <v>1624</v>
      </c>
      <c r="AX43" s="1128" t="s">
        <v>1625</v>
      </c>
      <c r="AZ43" s="1128" t="s">
        <v>1245</v>
      </c>
      <c r="BE43" s="1128">
        <v>2041</v>
      </c>
      <c r="BH43" s="1075" t="s">
        <v>1626</v>
      </c>
      <c r="BJ43" s="1229" t="s">
        <v>1620</v>
      </c>
      <c r="BL43" s="1229" t="s">
        <v>1620</v>
      </c>
      <c r="BN43" s="1075" t="s">
        <v>1627</v>
      </c>
    </row>
    <row customHeight="1" ht="11.25">
      <c r="A44" s="1081" t="s">
        <v>1628</v>
      </c>
      <c r="I44" s="805" t="s">
        <v>1629</v>
      </c>
      <c r="J44" s="1096" t="s">
        <v>1630</v>
      </c>
      <c r="K44" s="1096" t="s">
        <v>1631</v>
      </c>
      <c r="AX44" s="1128" t="s">
        <v>1632</v>
      </c>
      <c r="AZ44" s="1128" t="s">
        <v>1278</v>
      </c>
      <c r="BE44" s="1128">
        <v>2042</v>
      </c>
      <c r="BH44" s="1075" t="s">
        <v>1633</v>
      </c>
      <c r="BJ44" s="1229" t="s">
        <v>947</v>
      </c>
      <c r="BL44" s="1229" t="s">
        <v>947</v>
      </c>
      <c r="BN44" s="1075" t="s">
        <v>1634</v>
      </c>
    </row>
    <row customHeight="1" ht="11.25">
      <c r="A45" s="1081" t="s">
        <v>1635</v>
      </c>
      <c r="D45" s="1118" t="s">
        <v>1636</v>
      </c>
      <c r="E45" s="1119" t="s">
        <v>1637</v>
      </c>
      <c r="F45" s="803" t="s">
        <v>1638</v>
      </c>
      <c r="G45" s="802" t="s">
        <v>1639</v>
      </c>
      <c r="H45" s="805" t="s">
        <v>1640</v>
      </c>
      <c r="I45" s="1781">
        <f>INDEX(PeriodIsEmptyList,MATCH(TEMPLATE_GROUP,CodeTemplateList,0),1)</f>
        <v>0</v>
      </c>
      <c r="J45" s="1784" t="str">
        <f>INDEX(NameTemplatesInTitleList,MATCH(TEMPLATE_GROUP,CodeTemplateList,0),1)</f>
        <v>Показатели, подлежащие раскрытию в сфере теплоснабжения (цены и тарифы)</v>
      </c>
      <c r="K45" s="1784"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8" t="s">
        <v>1641</v>
      </c>
      <c r="AZ45" s="1128" t="s">
        <v>1311</v>
      </c>
      <c r="BE45" s="1128">
        <v>2043</v>
      </c>
      <c r="BH45" s="1075" t="s">
        <v>1642</v>
      </c>
      <c r="BJ45" s="1229" t="s">
        <v>941</v>
      </c>
      <c r="BL45" s="1229" t="s">
        <v>941</v>
      </c>
      <c r="BN45" s="1075" t="s">
        <v>1643</v>
      </c>
    </row>
    <row customHeight="1" ht="11.25">
      <c r="A46" s="1081" t="s">
        <v>1644</v>
      </c>
      <c r="E46" s="413" t="s">
        <v>22</v>
      </c>
      <c r="F46" s="1121" t="s">
        <v>1645</v>
      </c>
      <c r="G46" s="1123"/>
      <c r="H46" s="1123"/>
      <c r="I46" s="1782">
        <f>IF(TITLE_DATE_FIL="",TRUE,FALSE)</f>
        <v>1</v>
      </c>
      <c r="J46" s="1785" t="str">
        <f>"Общая информация о регулируемой организации ("&amp;TEMPLATE_SPHERE_RUS&amp;")"</f>
        <v>Общая информация о регулируемой организации (теплоснабжения)</v>
      </c>
      <c r="K46" s="1786"/>
      <c r="AX46" s="1128" t="s">
        <v>1646</v>
      </c>
      <c r="AZ46" s="1128" t="s">
        <v>1335</v>
      </c>
      <c r="BE46" s="1128">
        <v>2044</v>
      </c>
      <c r="BH46" s="1075" t="s">
        <v>950</v>
      </c>
      <c r="BJ46" s="1229" t="s">
        <v>931</v>
      </c>
      <c r="BL46" s="1229" t="s">
        <v>931</v>
      </c>
      <c r="BN46" s="1075" t="s">
        <v>1647</v>
      </c>
    </row>
    <row customHeight="1" ht="11.25">
      <c r="A47" s="1081" t="s">
        <v>1648</v>
      </c>
      <c r="E47" s="413" t="s">
        <v>29</v>
      </c>
      <c r="F47" s="1122" t="s">
        <v>1649</v>
      </c>
      <c r="G47" s="1124" t="str">
        <f>IF(f_year="","",IF(LEN(f_quart)=0,"",IF(f_quart="I квартал","01.01."&amp;f_year,IF(f_quart="II квартал","01.04."&amp;f_year,(IF(f_quart="III квартал","01.07."&amp;f_year,"01.10."&amp;f_year))))))</f>
        <v/>
      </c>
      <c r="H47" s="1124" t="str">
        <f>IF(f_year="","",IF(LEN(f_quart)=0,"",IF(f_quart="I квартал","31.03."&amp;f_year,IF(f_quart="II квартал","30.06."&amp;f_year,(IF(f_quart="III квартал","30.09."&amp;f_year,"31.12."&amp;f_year))))))</f>
        <v/>
      </c>
      <c r="I47" s="1783">
        <f>IF(OR(f_year="",f_quart=""),TRUE,FALSE)</f>
        <v>1</v>
      </c>
      <c r="J47" s="1785"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786"/>
      <c r="AX47" s="1128" t="s">
        <v>1650</v>
      </c>
      <c r="AZ47" s="1128" t="s">
        <v>1354</v>
      </c>
      <c r="BE47" s="1128">
        <v>2045</v>
      </c>
      <c r="BH47" s="1075" t="s">
        <v>1623</v>
      </c>
      <c r="BJ47" s="1229" t="s">
        <v>933</v>
      </c>
      <c r="BL47" s="1229" t="s">
        <v>933</v>
      </c>
      <c r="BN47" s="1075" t="s">
        <v>1651</v>
      </c>
    </row>
    <row customHeight="1" ht="11.25">
      <c r="A48" s="1081" t="s">
        <v>1652</v>
      </c>
      <c r="E48" s="413" t="s">
        <v>1653</v>
      </c>
      <c r="F48" s="1122" t="s">
        <v>1654</v>
      </c>
      <c r="G48" s="1124" t="str">
        <f>IF(f_year="","","01.01."&amp;f_year)</f>
        <v/>
      </c>
      <c r="H48" s="1124" t="str">
        <f>IF(f_year="","","31.12."&amp;f_year)</f>
        <v/>
      </c>
      <c r="I48" s="1782">
        <f>IF(f_year="",TRUE,FALSE)</f>
        <v>1</v>
      </c>
      <c r="J48" s="1785" t="s">
        <v>1655</v>
      </c>
      <c r="K48" s="1786"/>
      <c r="AX48" s="1128" t="s">
        <v>1656</v>
      </c>
      <c r="AZ48" s="1128" t="s">
        <v>1370</v>
      </c>
      <c r="BE48" s="1128">
        <v>2046</v>
      </c>
      <c r="BH48" s="1075" t="s">
        <v>1627</v>
      </c>
      <c r="BJ48" s="1229" t="s">
        <v>935</v>
      </c>
      <c r="BL48" s="1229" t="s">
        <v>935</v>
      </c>
      <c r="BN48" s="1075" t="s">
        <v>1657</v>
      </c>
    </row>
    <row customHeight="1" ht="11.25">
      <c r="A49" s="1081" t="s">
        <v>1658</v>
      </c>
      <c r="E49" s="413" t="s">
        <v>1659</v>
      </c>
      <c r="F49" s="1122" t="s">
        <v>1660</v>
      </c>
      <c r="G49" s="1124" t="str">
        <f>IF(f_year="","","01.01."&amp;f_year)</f>
        <v/>
      </c>
      <c r="H49" s="1124" t="str">
        <f>IF(f_year="","","31.12."&amp;f_year)</f>
        <v/>
      </c>
      <c r="I49" s="1782">
        <f>IF(f_year="",TRUE,FALSE)</f>
        <v>1</v>
      </c>
      <c r="J49" s="1785"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786"/>
      <c r="AX49" s="1128" t="s">
        <v>1661</v>
      </c>
      <c r="AZ49" s="1128" t="s">
        <v>1386</v>
      </c>
      <c r="BE49" s="1128">
        <v>2047</v>
      </c>
      <c r="BH49" s="1075" t="s">
        <v>951</v>
      </c>
      <c r="BJ49" s="1229" t="s">
        <v>937</v>
      </c>
      <c r="BL49" s="1229" t="s">
        <v>937</v>
      </c>
    </row>
    <row customHeight="1" ht="11.25">
      <c r="A50" s="1081" t="s">
        <v>1662</v>
      </c>
      <c r="E50" s="413" t="s">
        <v>1663</v>
      </c>
      <c r="F50" s="1122" t="s">
        <v>921</v>
      </c>
      <c r="G50" s="1124" t="str">
        <f>IF(f_year="","","01.01."&amp;f_year)</f>
        <v/>
      </c>
      <c r="H50" s="1124" t="str">
        <f>IF(f_year="","","31.12."&amp;f_year)</f>
        <v/>
      </c>
      <c r="I50" s="1782">
        <f>IF(f_year="",TRUE,FALSE)</f>
        <v>1</v>
      </c>
      <c r="J50" s="1785"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786"/>
      <c r="AX50" s="1128" t="s">
        <v>1664</v>
      </c>
      <c r="AZ50" s="1128" t="s">
        <v>1402</v>
      </c>
      <c r="BE50" s="1128">
        <v>2048</v>
      </c>
      <c r="BH50" s="1075" t="s">
        <v>1634</v>
      </c>
      <c r="BJ50" s="1229" t="s">
        <v>939</v>
      </c>
      <c r="BL50" s="1229" t="s">
        <v>939</v>
      </c>
    </row>
    <row customHeight="1" ht="11.25">
      <c r="A51" s="1081" t="s">
        <v>1665</v>
      </c>
      <c r="E51" s="413" t="s">
        <v>1666</v>
      </c>
      <c r="F51" s="1122" t="s">
        <v>1667</v>
      </c>
      <c r="G51" s="1124" t="str">
        <f>IF(TITLE_PERIOD_START="","",TITLE_PERIOD_START)</f>
        <v>44562.54226851852</v>
      </c>
      <c r="H51" s="1124" t="str">
        <f>IF(TITLE_PERIOD_END="","",TITLE_PERIOD_END)</f>
        <v>46387.54263888889</v>
      </c>
      <c r="I51" s="1783">
        <f>IF(OR(TITLE_PERIOD_START="",TITLE_PERIOD_END=""),TRUE,FALSE)</f>
        <v>0</v>
      </c>
      <c r="J51" s="1785"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86"/>
      <c r="AX51" s="1128" t="s">
        <v>1668</v>
      </c>
      <c r="AZ51" s="1128" t="s">
        <v>1418</v>
      </c>
      <c r="BE51" s="1128">
        <v>2049</v>
      </c>
      <c r="BH51" s="1075" t="s">
        <v>1643</v>
      </c>
      <c r="BJ51" s="1229" t="s">
        <v>1669</v>
      </c>
      <c r="BL51" s="1229" t="s">
        <v>1669</v>
      </c>
    </row>
    <row customHeight="1" ht="11.25">
      <c r="A52" s="1081" t="s">
        <v>1670</v>
      </c>
      <c r="E52" s="413" t="s">
        <v>1671</v>
      </c>
      <c r="F52" s="1122" t="s">
        <v>1637</v>
      </c>
      <c r="G52" s="1124" t="str">
        <f>IF(TITLE_PERIOD_START="","",TITLE_PERIOD_START)</f>
        <v>44562.54226851852</v>
      </c>
      <c r="H52" s="1124" t="str">
        <f>IF(TITLE_PERIOD_END="","",TITLE_PERIOD_END)</f>
        <v>46387.54263888889</v>
      </c>
      <c r="I52" s="1783">
        <f>IF(OR(TITLE_PERIOD_START="",TITLE_PERIOD_END=""),TRUE,FALSE)</f>
        <v>0</v>
      </c>
      <c r="J52" s="1785" t="str">
        <f>"Показатели, подлежащие раскрытию в сфере "&amp;TEMPLATE_SPHERE_RUS&amp;" (цены и тарифы)"</f>
        <v>Показатели, подлежащие раскрытию в сфере теплоснабжения (цены и тарифы)</v>
      </c>
      <c r="K52" s="1786"/>
      <c r="AX52" s="1128" t="s">
        <v>1672</v>
      </c>
      <c r="AZ52" s="1128" t="s">
        <v>1219</v>
      </c>
      <c r="BE52" s="1128">
        <v>2050</v>
      </c>
      <c r="BH52" s="1075" t="s">
        <v>1647</v>
      </c>
      <c r="BJ52" s="1229" t="s">
        <v>950</v>
      </c>
      <c r="BL52" s="1229" t="s">
        <v>950</v>
      </c>
    </row>
    <row customHeight="1" ht="11.25">
      <c r="A53" s="1081" t="s">
        <v>1673</v>
      </c>
      <c r="E53" s="413" t="s">
        <v>1674</v>
      </c>
      <c r="F53" s="1122" t="s">
        <v>1674</v>
      </c>
      <c r="G53" s="1124" t="str">
        <f>IF(f_year="","","01.01."&amp;f_year)</f>
        <v/>
      </c>
      <c r="H53" s="1124" t="str">
        <f>IF(f_year="","","31.12."&amp;f_year)</f>
        <v/>
      </c>
      <c r="I53" s="1782">
        <f>IF(AND(f_year="",TITLE_DATE_FIL=""),TRUE,FALSE)</f>
        <v>1</v>
      </c>
      <c r="J53" s="1785" t="s">
        <v>1675</v>
      </c>
      <c r="K53" s="1786"/>
      <c r="AX53" s="1128" t="s">
        <v>1676</v>
      </c>
      <c r="BE53" s="1128">
        <v>2051</v>
      </c>
      <c r="BH53" s="1075" t="s">
        <v>1651</v>
      </c>
      <c r="BJ53" s="1229" t="s">
        <v>1623</v>
      </c>
      <c r="BL53" s="1229" t="s">
        <v>1623</v>
      </c>
    </row>
    <row customHeight="1" ht="11.25">
      <c r="A54" s="1081" t="s">
        <v>1677</v>
      </c>
      <c r="AX54" s="1128" t="s">
        <v>1678</v>
      </c>
      <c r="AZ54" s="1074" t="s">
        <v>1679</v>
      </c>
      <c r="BE54" s="1128">
        <v>2052</v>
      </c>
      <c r="BH54" s="1075" t="s">
        <v>1657</v>
      </c>
      <c r="BJ54" s="1229" t="s">
        <v>1627</v>
      </c>
      <c r="BL54" s="1229" t="s">
        <v>1627</v>
      </c>
    </row>
    <row customHeight="1" ht="11.25">
      <c r="A55" s="1081" t="s">
        <v>1680</v>
      </c>
      <c r="AX55" s="1128" t="s">
        <v>1681</v>
      </c>
      <c r="AZ55" s="1128" t="s">
        <v>1221</v>
      </c>
      <c r="BE55" s="1128">
        <v>2053</v>
      </c>
      <c r="BH55" s="1077" t="s">
        <v>24</v>
      </c>
      <c r="BJ55" s="1229" t="s">
        <v>951</v>
      </c>
      <c r="BL55" s="1229" t="s">
        <v>951</v>
      </c>
    </row>
    <row customHeight="1" ht="11.25">
      <c r="A56" s="1081" t="s">
        <v>1682</v>
      </c>
      <c r="D56" s="1126" t="s">
        <v>1683</v>
      </c>
      <c r="E56" s="1102">
        <v>55</v>
      </c>
      <c r="F56" s="1081" t="s">
        <v>1684</v>
      </c>
      <c r="AX56" s="1128" t="s">
        <v>1685</v>
      </c>
      <c r="AZ56" s="1128" t="s">
        <v>1247</v>
      </c>
      <c r="BE56" s="1128">
        <v>2054</v>
      </c>
      <c r="BH56" s="1077" t="s">
        <v>24</v>
      </c>
      <c r="BJ56" s="1229" t="s">
        <v>1634</v>
      </c>
      <c r="BL56" s="1229" t="s">
        <v>1634</v>
      </c>
    </row>
    <row customHeight="1" ht="11.25">
      <c r="A57" s="1081" t="s">
        <v>1686</v>
      </c>
      <c r="D57" s="1126" t="s">
        <v>1687</v>
      </c>
      <c r="E57" s="1102">
        <v>66</v>
      </c>
      <c r="F57" s="1081" t="s">
        <v>1684</v>
      </c>
      <c r="AX57" s="1128" t="s">
        <v>1688</v>
      </c>
      <c r="AZ57" s="1128" t="s">
        <v>1281</v>
      </c>
      <c r="BE57" s="1128">
        <v>2055</v>
      </c>
      <c r="BJ57" s="1229" t="s">
        <v>1643</v>
      </c>
      <c r="BL57" s="1229" t="s">
        <v>1643</v>
      </c>
    </row>
    <row customHeight="1" ht="11.25">
      <c r="A58" s="1081" t="s">
        <v>1689</v>
      </c>
      <c r="D58" s="1126" t="s">
        <v>1690</v>
      </c>
      <c r="E58" s="1102">
        <v>44</v>
      </c>
      <c r="F58" s="1081" t="s">
        <v>1684</v>
      </c>
      <c r="AX58" s="1128" t="s">
        <v>1691</v>
      </c>
      <c r="BE58" s="1128">
        <v>2056</v>
      </c>
      <c r="BJ58" s="1229" t="s">
        <v>1647</v>
      </c>
      <c r="BL58" s="1229" t="s">
        <v>1647</v>
      </c>
    </row>
    <row customHeight="1" ht="11.25">
      <c r="A59" s="1081" t="s">
        <v>1692</v>
      </c>
      <c r="D59" s="1126" t="s">
        <v>132</v>
      </c>
      <c r="E59" s="1102" t="s">
        <v>1514</v>
      </c>
      <c r="F59" s="1081" t="s">
        <v>1693</v>
      </c>
      <c r="AX59" s="1128" t="s">
        <v>1694</v>
      </c>
      <c r="AZ59" s="1074" t="s">
        <v>1695</v>
      </c>
      <c r="BE59" s="1128">
        <v>2057</v>
      </c>
      <c r="BJ59" s="1229" t="s">
        <v>1651</v>
      </c>
      <c r="BL59" s="1229" t="s">
        <v>1651</v>
      </c>
    </row>
    <row customHeight="1" ht="11.25">
      <c r="A60" s="1081" t="s">
        <v>1696</v>
      </c>
      <c r="D60" s="1126" t="s">
        <v>1697</v>
      </c>
      <c r="E60" s="1102" t="s">
        <v>1514</v>
      </c>
      <c r="F60" s="1081" t="s">
        <v>1693</v>
      </c>
      <c r="AX60" s="1128" t="s">
        <v>1698</v>
      </c>
      <c r="AZ60" s="1128" t="s">
        <v>1222</v>
      </c>
      <c r="BE60" s="1128">
        <v>2058</v>
      </c>
      <c r="BJ60" s="1229" t="s">
        <v>1657</v>
      </c>
      <c r="BL60" s="1229" t="s">
        <v>1657</v>
      </c>
    </row>
    <row customHeight="1" ht="11.25">
      <c r="A61" s="1081" t="s">
        <v>1699</v>
      </c>
      <c r="D61" s="1126" t="s">
        <v>1700</v>
      </c>
      <c r="E61" s="1102">
        <v>26</v>
      </c>
      <c r="F61" s="1081" t="s">
        <v>1693</v>
      </c>
      <c r="AX61" s="1128" t="s">
        <v>1701</v>
      </c>
      <c r="AZ61" s="1128" t="s">
        <v>1248</v>
      </c>
      <c r="BE61" s="1128">
        <v>2059</v>
      </c>
      <c r="BL61" s="1229" t="s">
        <v>943</v>
      </c>
    </row>
    <row customHeight="1" ht="11.25">
      <c r="A62" s="1081" t="s">
        <v>1702</v>
      </c>
      <c r="D62" s="1126" t="s">
        <v>131</v>
      </c>
      <c r="E62" s="1102">
        <v>30</v>
      </c>
      <c r="F62" s="1081" t="s">
        <v>1693</v>
      </c>
      <c r="AZ62" s="1128" t="s">
        <v>1282</v>
      </c>
      <c r="BE62" s="1128">
        <v>2060</v>
      </c>
      <c r="BL62" s="1229" t="s">
        <v>945</v>
      </c>
    </row>
    <row customHeight="1" ht="11.25">
      <c r="A63" s="1081" t="s">
        <v>1703</v>
      </c>
      <c r="D63" s="1126" t="s">
        <v>1704</v>
      </c>
      <c r="E63" s="1102">
        <v>30</v>
      </c>
      <c r="F63" s="1081" t="s">
        <v>1693</v>
      </c>
      <c r="AZ63" s="1128" t="s">
        <v>1313</v>
      </c>
      <c r="BE63" s="1128">
        <v>2061</v>
      </c>
    </row>
    <row customHeight="1" ht="11.25">
      <c r="A64" s="1081" t="s">
        <v>1705</v>
      </c>
      <c r="D64" s="1126" t="s">
        <v>1706</v>
      </c>
      <c r="E64" s="1102">
        <v>30</v>
      </c>
      <c r="F64" s="1081" t="s">
        <v>1693</v>
      </c>
      <c r="AZ64" s="1128" t="s">
        <v>1336</v>
      </c>
      <c r="BE64" s="1128">
        <v>2062</v>
      </c>
    </row>
    <row customHeight="1" ht="11.25">
      <c r="A65" s="1081" t="s">
        <v>1707</v>
      </c>
      <c r="D65" s="1081"/>
      <c r="BE65" s="1128">
        <v>2063</v>
      </c>
    </row>
    <row customHeight="1" ht="11.25">
      <c r="A66" s="1081" t="s">
        <v>1708</v>
      </c>
      <c r="AZ66" s="1074" t="s">
        <v>1709</v>
      </c>
      <c r="BE66" s="1128">
        <v>2064</v>
      </c>
    </row>
    <row customHeight="1" ht="11.25">
      <c r="A67" s="1081" t="s">
        <v>1710</v>
      </c>
      <c r="AZ67" s="1128" t="s">
        <v>1223</v>
      </c>
      <c r="BE67" s="1128">
        <v>2065</v>
      </c>
    </row>
    <row customHeight="1" ht="11.25">
      <c r="A68" s="1081" t="s">
        <v>1711</v>
      </c>
      <c r="AZ68" s="1128" t="s">
        <v>1249</v>
      </c>
      <c r="BE68" s="1128">
        <v>2066</v>
      </c>
      <c r="BH68" s="1074" t="s">
        <v>1712</v>
      </c>
      <c r="BJ68" s="1074" t="s">
        <v>1713</v>
      </c>
      <c r="BL68" s="1074" t="s">
        <v>1714</v>
      </c>
      <c r="BN68" s="1074" t="s">
        <v>1715</v>
      </c>
    </row>
    <row customHeight="1" ht="11.25">
      <c r="A69" s="1081" t="s">
        <v>1716</v>
      </c>
      <c r="AZ69" s="1128" t="s">
        <v>1283</v>
      </c>
      <c r="BE69" s="1128">
        <v>2067</v>
      </c>
      <c r="BH69" s="1075" t="s">
        <v>1717</v>
      </c>
      <c r="BI69" s="1125" t="s">
        <v>110</v>
      </c>
      <c r="BJ69" s="1075" t="s">
        <v>1718</v>
      </c>
      <c r="BK69" s="1125" t="s">
        <v>110</v>
      </c>
      <c r="BL69" s="1075" t="s">
        <v>1719</v>
      </c>
      <c r="BN69" s="1075" t="s">
        <v>1720</v>
      </c>
    </row>
    <row customHeight="1" ht="11.25">
      <c r="A70" s="1081" t="s">
        <v>1721</v>
      </c>
      <c r="AZ70" s="1128" t="s">
        <v>1314</v>
      </c>
      <c r="BE70" s="1128">
        <v>2068</v>
      </c>
      <c r="BH70" s="1075" t="s">
        <v>1722</v>
      </c>
      <c r="BJ70" s="1075" t="s">
        <v>1723</v>
      </c>
      <c r="BL70" s="1075" t="s">
        <v>1724</v>
      </c>
      <c r="BN70" s="1075" t="s">
        <v>1725</v>
      </c>
    </row>
    <row customHeight="1" ht="11.25">
      <c r="A71" s="1081" t="s">
        <v>1726</v>
      </c>
      <c r="AZ71" s="1128" t="s">
        <v>1316</v>
      </c>
      <c r="BE71" s="1128">
        <v>2069</v>
      </c>
      <c r="BH71" s="1075" t="s">
        <v>1727</v>
      </c>
      <c r="BI71" s="1125" t="s">
        <v>90</v>
      </c>
      <c r="BJ71" s="1075" t="s">
        <v>1728</v>
      </c>
      <c r="BK71" s="1125" t="s">
        <v>90</v>
      </c>
      <c r="BL71" s="1075" t="s">
        <v>1729</v>
      </c>
      <c r="BN71" s="1075" t="s">
        <v>1730</v>
      </c>
    </row>
    <row customHeight="1" ht="11.25">
      <c r="A72" s="1081" t="s">
        <v>1731</v>
      </c>
      <c r="AZ72" s="1128" t="s">
        <v>57</v>
      </c>
      <c r="BE72" s="1128">
        <v>2070</v>
      </c>
      <c r="BH72" s="1075" t="s">
        <v>1732</v>
      </c>
      <c r="BJ72" s="1075" t="s">
        <v>1732</v>
      </c>
      <c r="BL72" s="1075" t="s">
        <v>1732</v>
      </c>
      <c r="BN72" s="1075" t="s">
        <v>1733</v>
      </c>
    </row>
    <row customHeight="1" ht="11.25">
      <c r="A73" s="1081" t="s">
        <v>1734</v>
      </c>
      <c r="BH73" s="1075" t="s">
        <v>1735</v>
      </c>
      <c r="BI73" s="1125" t="s">
        <v>112</v>
      </c>
      <c r="BJ73" s="1075" t="s">
        <v>1736</v>
      </c>
      <c r="BK73" s="1125" t="s">
        <v>112</v>
      </c>
      <c r="BL73" s="1075" t="s">
        <v>1737</v>
      </c>
      <c r="BN73" s="1075" t="s">
        <v>1738</v>
      </c>
    </row>
    <row customHeight="1" ht="11.25">
      <c r="A74" s="1081" t="s">
        <v>1739</v>
      </c>
      <c r="BH74" s="1075" t="s">
        <v>1740</v>
      </c>
      <c r="BJ74" s="1075" t="s">
        <v>1741</v>
      </c>
      <c r="BL74" s="1075" t="s">
        <v>1742</v>
      </c>
      <c r="BN74" s="1075" t="s">
        <v>1743</v>
      </c>
    </row>
    <row customHeight="1" ht="11.25">
      <c r="A75" s="1081" t="s">
        <v>1744</v>
      </c>
      <c r="AZ75" s="1074" t="s">
        <v>1745</v>
      </c>
      <c r="BH75" s="1075" t="s">
        <v>1746</v>
      </c>
      <c r="BJ75" s="1075" t="s">
        <v>1746</v>
      </c>
      <c r="BL75" s="1075" t="s">
        <v>1746</v>
      </c>
    </row>
    <row customHeight="1" ht="11.25">
      <c r="A76" s="1081" t="s">
        <v>1747</v>
      </c>
      <c r="AZ76" s="1128" t="s">
        <v>1232</v>
      </c>
      <c r="BH76" s="1075" t="s">
        <v>1748</v>
      </c>
      <c r="BJ76" s="1075" t="s">
        <v>1749</v>
      </c>
      <c r="BL76" s="1075" t="s">
        <v>1750</v>
      </c>
    </row>
    <row customHeight="1" ht="11.25">
      <c r="A77" s="1081" t="s">
        <v>1751</v>
      </c>
      <c r="AZ77" s="1128" t="s">
        <v>1259</v>
      </c>
    </row>
    <row customHeight="1" ht="11.25">
      <c r="A78" s="1081" t="s">
        <v>1752</v>
      </c>
      <c r="AZ78" s="1128" t="s">
        <v>1290</v>
      </c>
    </row>
    <row customHeight="1" ht="11.25">
      <c r="A79" s="1081" t="s">
        <v>1753</v>
      </c>
      <c r="AZ79" s="1128" t="s">
        <v>1320</v>
      </c>
      <c r="BH79" s="1074" t="s">
        <v>1754</v>
      </c>
      <c r="BJ79" s="1074" t="s">
        <v>1755</v>
      </c>
      <c r="BL79" s="1074" t="s">
        <v>1756</v>
      </c>
    </row>
    <row customHeight="1" ht="11.25">
      <c r="A80" s="1081" t="s">
        <v>1757</v>
      </c>
      <c r="AZ80" s="1128" t="s">
        <v>1341</v>
      </c>
      <c r="BH80" s="1075" t="s">
        <v>1758</v>
      </c>
      <c r="BJ80" s="1075" t="s">
        <v>1759</v>
      </c>
      <c r="BL80" s="1075" t="s">
        <v>1760</v>
      </c>
    </row>
    <row customHeight="1" ht="11.25">
      <c r="A81" s="1081" t="s">
        <v>1761</v>
      </c>
      <c r="AZ81" s="1128" t="s">
        <v>1358</v>
      </c>
      <c r="BH81" s="1075" t="s">
        <v>1762</v>
      </c>
      <c r="BJ81" s="1075" t="s">
        <v>1763</v>
      </c>
      <c r="BL81" s="1075" t="s">
        <v>1764</v>
      </c>
    </row>
    <row customHeight="1" ht="11.25">
      <c r="A82" s="1081" t="s">
        <v>1765</v>
      </c>
      <c r="AZ82" s="1128" t="s">
        <v>1372</v>
      </c>
      <c r="BH82" s="1075" t="s">
        <v>1766</v>
      </c>
      <c r="BJ82" s="1075" t="s">
        <v>1767</v>
      </c>
      <c r="BL82" s="1075" t="s">
        <v>1768</v>
      </c>
    </row>
    <row customHeight="1" ht="11.25">
      <c r="A83" s="1081" t="s">
        <v>1769</v>
      </c>
      <c r="BH83" s="1075" t="s">
        <v>1770</v>
      </c>
      <c r="BJ83" s="1075" t="s">
        <v>1771</v>
      </c>
      <c r="BL83" s="1075" t="s">
        <v>1772</v>
      </c>
    </row>
    <row customHeight="1" ht="11.25">
      <c r="A84" s="1081" t="s">
        <v>1773</v>
      </c>
      <c r="AZ84" s="1074" t="s">
        <v>1774</v>
      </c>
    </row>
    <row customHeight="1" ht="11.25">
      <c r="A85" s="1913" t="s">
        <v>1775</v>
      </c>
      <c r="AZ85" s="1128" t="s">
        <v>1776</v>
      </c>
    </row>
    <row customHeight="1" ht="11.25">
      <c r="A86" s="1081" t="s">
        <v>1777</v>
      </c>
      <c r="AZ86" s="1128" t="s">
        <v>1778</v>
      </c>
      <c r="BH86" s="1074" t="s">
        <v>1779</v>
      </c>
      <c r="BJ86" s="1074" t="s">
        <v>1780</v>
      </c>
      <c r="BL86" s="1074" t="s">
        <v>1781</v>
      </c>
    </row>
    <row customHeight="1" ht="11.25">
      <c r="A87" s="1081" t="s">
        <v>1782</v>
      </c>
      <c r="AZ87" s="1128" t="s">
        <v>1783</v>
      </c>
      <c r="BH87" s="1075" t="s">
        <v>1784</v>
      </c>
      <c r="BJ87" s="1075" t="s">
        <v>1785</v>
      </c>
      <c r="BL87" s="1075" t="s">
        <v>1786</v>
      </c>
    </row>
    <row customHeight="1" ht="11.25">
      <c r="A88" s="1081" t="s">
        <v>1787</v>
      </c>
      <c r="AZ88" s="1646"/>
      <c r="BH88" s="1075" t="s">
        <v>1788</v>
      </c>
      <c r="BJ88" s="1075" t="s">
        <v>1789</v>
      </c>
      <c r="BL88" s="1075" t="s">
        <v>1790</v>
      </c>
    </row>
    <row customHeight="1" ht="11.25">
      <c r="A89" s="1081" t="s">
        <v>1791</v>
      </c>
      <c r="AZ89" s="1074" t="s">
        <v>1792</v>
      </c>
    </row>
    <row customHeight="1" ht="11.25">
      <c r="A90" s="1081" t="s">
        <v>1793</v>
      </c>
      <c r="AZ90" s="1128" t="s">
        <v>921</v>
      </c>
    </row>
    <row customHeight="1" ht="11.25">
      <c r="A91" s="1081" t="s">
        <v>1794</v>
      </c>
      <c r="AZ91" s="1128" t="s">
        <v>957</v>
      </c>
      <c r="BH91" s="1074" t="s">
        <v>1795</v>
      </c>
      <c r="BJ91" s="1074" t="s">
        <v>1796</v>
      </c>
      <c r="BL91" s="1074" t="s">
        <v>1797</v>
      </c>
    </row>
    <row customHeight="1" ht="11.25">
      <c r="AZ92" s="1128" t="s">
        <v>1798</v>
      </c>
      <c r="BH92" s="1075" t="s">
        <v>1799</v>
      </c>
      <c r="BJ92" s="1075" t="s">
        <v>1800</v>
      </c>
      <c r="BL92" s="1075" t="s">
        <v>1801</v>
      </c>
    </row>
    <row customHeight="1" ht="11.25">
      <c r="AZ93" s="1128" t="s">
        <v>1802</v>
      </c>
      <c r="BH93" s="1075" t="s">
        <v>1803</v>
      </c>
      <c r="BJ93" s="1075" t="s">
        <v>1804</v>
      </c>
      <c r="BL93" s="1075" t="s">
        <v>1805</v>
      </c>
    </row>
    <row customHeight="1" ht="11.25">
      <c r="AZ94" s="1128" t="s">
        <v>1806</v>
      </c>
    </row>
    <row r="96" customHeight="1" ht="11.25">
      <c r="AZ96" s="1074" t="s">
        <v>1807</v>
      </c>
      <c r="BH96" s="1074" t="s">
        <v>1808</v>
      </c>
      <c r="BJ96" s="1074" t="s">
        <v>1809</v>
      </c>
      <c r="BL96" s="1074" t="s">
        <v>1810</v>
      </c>
      <c r="BN96" s="1074" t="s">
        <v>1811</v>
      </c>
    </row>
    <row customHeight="1" ht="11.25">
      <c r="AZ97" s="1128" t="s">
        <v>1812</v>
      </c>
      <c r="BH97" s="1075" t="s">
        <v>1813</v>
      </c>
      <c r="BJ97" s="1075" t="s">
        <v>1814</v>
      </c>
      <c r="BL97" s="1075" t="s">
        <v>1815</v>
      </c>
      <c r="BN97" s="1075" t="s">
        <v>1816</v>
      </c>
    </row>
    <row customHeight="1" ht="11.25">
      <c r="AZ98" s="1128" t="s">
        <v>1817</v>
      </c>
      <c r="BH98" s="1075" t="s">
        <v>1818</v>
      </c>
      <c r="BJ98" s="1075" t="s">
        <v>1819</v>
      </c>
      <c r="BL98" s="1075" t="s">
        <v>1820</v>
      </c>
      <c r="BN98" s="1075" t="s">
        <v>1821</v>
      </c>
    </row>
    <row customHeight="1" ht="11.25">
      <c r="AZ99" s="1128" t="s">
        <v>1822</v>
      </c>
      <c r="BH99" s="1075" t="s">
        <v>1823</v>
      </c>
      <c r="BJ99" s="1075" t="s">
        <v>1824</v>
      </c>
      <c r="BL99" s="1075" t="s">
        <v>1825</v>
      </c>
      <c r="BN99" s="1075" t="s">
        <v>1826</v>
      </c>
    </row>
    <row customHeight="1" ht="11.25">
      <c r="BJ100" s="1075" t="s">
        <v>1418</v>
      </c>
      <c r="BL100" s="1075" t="s">
        <v>1418</v>
      </c>
      <c r="BN100" s="1075" t="s">
        <v>1827</v>
      </c>
    </row>
    <row customHeight="1" ht="11.25">
      <c r="AZ101" s="1732" t="s">
        <v>1828</v>
      </c>
      <c r="BN101" s="1075" t="s">
        <v>1829</v>
      </c>
    </row>
    <row customHeight="1" ht="11.25">
      <c r="AZ102" s="1128" t="s">
        <v>1830</v>
      </c>
      <c r="BN102" s="1075" t="s">
        <v>1831</v>
      </c>
    </row>
    <row customHeight="1" ht="11.25">
      <c r="AZ103" s="1128" t="s">
        <v>1832</v>
      </c>
      <c r="BN103" s="1075" t="s">
        <v>1833</v>
      </c>
    </row>
    <row customHeight="1" ht="11.25">
      <c r="AZ104" s="1128" t="s">
        <v>559</v>
      </c>
      <c r="BN104" s="1075" t="s">
        <v>1834</v>
      </c>
    </row>
    <row r="107" customHeight="1" ht="11.25">
      <c r="BH107" s="1074" t="s">
        <v>1835</v>
      </c>
      <c r="BJ107" s="1074" t="s">
        <v>1836</v>
      </c>
      <c r="BL107" s="1074" t="s">
        <v>1837</v>
      </c>
      <c r="BN107" s="1074" t="s">
        <v>1838</v>
      </c>
    </row>
    <row customHeight="1" ht="11.25">
      <c r="BH108" s="1075" t="s">
        <v>1839</v>
      </c>
      <c r="BJ108" s="1075" t="s">
        <v>1840</v>
      </c>
      <c r="BL108" s="1075" t="s">
        <v>1503</v>
      </c>
      <c r="BN108" s="1075" t="s">
        <v>1841</v>
      </c>
    </row>
    <row customHeight="1" ht="11.25">
      <c r="BH109" s="1075" t="s">
        <v>1842</v>
      </c>
    </row>
    <row customHeight="1" ht="11.25">
      <c r="BH110" s="1075" t="s">
        <v>1842</v>
      </c>
    </row>
    <row r="114" customHeight="1" ht="11.25">
      <c r="BH114" s="1074" t="s">
        <v>1843</v>
      </c>
    </row>
    <row customHeight="1" ht="11.25">
      <c r="BH115" s="1075" t="s">
        <v>1219</v>
      </c>
    </row>
    <row customHeight="1" ht="11.25">
      <c r="BH116" s="1075" t="s">
        <v>1246</v>
      </c>
    </row>
    <row customHeight="1" ht="11.25">
      <c r="BH117" s="1075" t="s">
        <v>1279</v>
      </c>
    </row>
    <row customHeight="1" ht="11.25">
      <c r="BH118" s="1075" t="s">
        <v>1312</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5310B6E-B25C-45A3-4D02-93320EC833A6}"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4994" width="43.140625"/>
    <col min="2" max="2" style="4994" width="43.140625" hidden="1"/>
    <col min="3" max="3" style="4994" width="43.140625"/>
    <col min="4" max="5" style="4994" width="36.421875" customWidth="1"/>
    <col min="6" max="8" style="4995" width="36.421875" customWidth="1"/>
  </cols>
  <sheetData>
    <row customHeight="1" ht="9">
      <c r="A1" s="852" t="s">
        <v>1844</v>
      </c>
      <c r="B1" s="852"/>
      <c r="C1" s="989" t="s">
        <v>1845</v>
      </c>
      <c r="D1" s="987" t="s">
        <v>710</v>
      </c>
      <c r="E1" s="987" t="s">
        <v>756</v>
      </c>
      <c r="F1" s="987" t="s">
        <v>808</v>
      </c>
      <c r="G1" s="987" t="s">
        <v>794</v>
      </c>
      <c r="H1" s="987" t="s">
        <v>1617</v>
      </c>
    </row>
    <row customHeight="1" ht="9">
      <c r="A2" s="990" t="s">
        <v>1846</v>
      </c>
      <c r="B2" s="990"/>
      <c r="C2" s="991" t="str">
        <f>INDEX(TEMPLATE_NUMBER_FORM_LIST,MATCH(TEMPLATE_SPHERE,TEMPLATE_SPHERE_LIST,0))</f>
        <v>16</v>
      </c>
      <c r="D2" s="990" t="s">
        <v>1469</v>
      </c>
      <c r="E2" s="990" t="s">
        <v>150</v>
      </c>
      <c r="F2" s="992" t="s">
        <v>150</v>
      </c>
      <c r="G2" s="990" t="s">
        <v>150</v>
      </c>
      <c r="H2" s="993"/>
    </row>
    <row customHeight="1" ht="63">
      <c r="A3" s="852"/>
      <c r="B3" s="852" t="s">
        <v>110</v>
      </c>
      <c r="C3" s="991"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91" t="s">
        <v>1847</v>
      </c>
      <c r="E3" s="991"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92"/>
      <c r="G3" s="993"/>
      <c r="H3" s="852"/>
    </row>
    <row customHeight="1" ht="243">
      <c r="A4" s="852" t="s">
        <v>1848</v>
      </c>
      <c r="B4" s="852" t="s">
        <v>111</v>
      </c>
      <c r="C4" s="991"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90" t="s">
        <v>1849</v>
      </c>
      <c r="E4" s="991"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90"/>
      <c r="G4" s="990"/>
      <c r="H4" s="852" t="s">
        <v>1850</v>
      </c>
    </row>
    <row customHeight="1" ht="117">
      <c r="A5" s="852" t="s">
        <v>1851</v>
      </c>
      <c r="B5" s="852" t="s">
        <v>90</v>
      </c>
      <c r="C5" s="991"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852" t="s">
        <v>1852</v>
      </c>
      <c r="E5" s="855"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93"/>
      <c r="G5" s="993"/>
      <c r="H5" s="852" t="s">
        <v>1853</v>
      </c>
    </row>
    <row customHeight="1" ht="45">
      <c r="A6" s="852" t="s">
        <v>1854</v>
      </c>
      <c r="B6" s="852" t="s">
        <v>91</v>
      </c>
      <c r="C6" s="991"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852" t="s">
        <v>1855</v>
      </c>
      <c r="E6" s="855"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852"/>
      <c r="G6" s="852"/>
      <c r="H6" s="993"/>
    </row>
    <row customHeight="1" ht="45">
      <c r="A7" s="852" t="s">
        <v>1856</v>
      </c>
      <c r="B7" s="852" t="s">
        <v>112</v>
      </c>
      <c r="C7" s="991" t="str">
        <f>IF(TEMPLATE_SPHERE="HEAT",D7,E7)</f>
        <v>Форма 11. Информация о расходах на капитальный и текущий ремонт основных средств</v>
      </c>
      <c r="D7" s="852" t="s">
        <v>1857</v>
      </c>
      <c r="E7" s="852" t="s">
        <v>1858</v>
      </c>
      <c r="F7" s="993"/>
      <c r="G7" s="993"/>
      <c r="H7" s="993"/>
    </row>
    <row customHeight="1" ht="108">
      <c r="A8" s="852" t="s">
        <v>1859</v>
      </c>
      <c r="B8" s="852" t="s">
        <v>92</v>
      </c>
      <c r="C8" s="991"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852" t="s">
        <v>1860</v>
      </c>
      <c r="E8" s="852" t="s">
        <v>1861</v>
      </c>
      <c r="F8" s="993"/>
      <c r="G8" s="993"/>
      <c r="H8" s="993"/>
    </row>
    <row customHeight="1" ht="99">
      <c r="A9" s="852" t="s">
        <v>1862</v>
      </c>
      <c r="B9" s="852"/>
      <c r="C9" s="852" t="s">
        <v>1863</v>
      </c>
      <c r="D9" s="852"/>
      <c r="E9" s="852"/>
      <c r="F9" s="993"/>
      <c r="G9" s="993"/>
      <c r="H9" s="993"/>
    </row>
    <row customHeight="1" ht="126">
      <c r="A10" s="852" t="s">
        <v>1864</v>
      </c>
      <c r="B10" s="852"/>
      <c r="C10" s="852" t="s">
        <v>1865</v>
      </c>
      <c r="D10" s="852"/>
      <c r="E10" s="852"/>
      <c r="F10" s="993"/>
      <c r="G10" s="993"/>
      <c r="H10" s="993"/>
    </row>
    <row customHeight="1" ht="108">
      <c r="A11" s="852" t="s">
        <v>1866</v>
      </c>
      <c r="B11" s="852"/>
      <c r="C11" s="852" t="s">
        <v>1867</v>
      </c>
      <c r="D11" s="852"/>
      <c r="E11" s="852"/>
      <c r="F11" s="993"/>
      <c r="G11" s="993"/>
      <c r="H11" s="993"/>
    </row>
    <row customHeight="1" ht="54">
      <c r="A12" s="852" t="s">
        <v>1868</v>
      </c>
      <c r="B12" s="852"/>
      <c r="C12" s="852" t="s">
        <v>1869</v>
      </c>
      <c r="D12" s="852"/>
      <c r="E12" s="852"/>
      <c r="F12" s="993"/>
      <c r="G12" s="993"/>
      <c r="H12" s="993"/>
    </row>
    <row customHeight="1" ht="45">
      <c r="A13" s="852" t="s">
        <v>1870</v>
      </c>
      <c r="B13" s="852"/>
      <c r="C13" s="852" t="s">
        <v>1871</v>
      </c>
      <c r="D13" s="852"/>
      <c r="E13" s="852"/>
      <c r="F13" s="993"/>
      <c r="G13" s="993"/>
      <c r="H13" s="993"/>
    </row>
    <row customHeight="1" ht="117">
      <c r="A14" s="852" t="s">
        <v>1872</v>
      </c>
      <c r="B14" s="852"/>
      <c r="C14" s="852" t="s">
        <v>1873</v>
      </c>
      <c r="D14" s="852"/>
      <c r="E14" s="852"/>
      <c r="F14" s="993"/>
      <c r="G14" s="993"/>
      <c r="H14" s="993"/>
    </row>
    <row customHeight="1" ht="117">
      <c r="A15" s="852" t="s">
        <v>1874</v>
      </c>
      <c r="B15" s="852"/>
      <c r="C15" s="852" t="s">
        <v>1875</v>
      </c>
      <c r="D15" s="852"/>
      <c r="E15" s="852"/>
      <c r="F15" s="993"/>
      <c r="G15" s="993"/>
      <c r="H15" s="993"/>
    </row>
    <row customHeight="1" ht="63">
      <c r="A16" s="852" t="s">
        <v>1876</v>
      </c>
      <c r="B16" s="852"/>
      <c r="C16" s="852" t="s">
        <v>1877</v>
      </c>
      <c r="D16" s="852"/>
      <c r="E16" s="852"/>
      <c r="F16" s="993"/>
      <c r="G16" s="993"/>
      <c r="H16" s="993"/>
    </row>
    <row customHeight="1" ht="54">
      <c r="A17" s="852" t="s">
        <v>1878</v>
      </c>
      <c r="B17" s="852"/>
      <c r="C17" s="991" t="s">
        <v>1879</v>
      </c>
      <c r="D17" s="852"/>
      <c r="E17" s="852"/>
      <c r="F17" s="993"/>
      <c r="G17" s="993"/>
      <c r="H17" s="993"/>
    </row>
    <row customHeight="1" ht="27">
      <c r="A18" s="852" t="s">
        <v>1880</v>
      </c>
      <c r="B18" s="852"/>
      <c r="C18" s="991" t="s">
        <v>1881</v>
      </c>
      <c r="D18" s="852"/>
      <c r="E18" s="852"/>
      <c r="F18" s="993"/>
      <c r="G18" s="993"/>
      <c r="H18" s="993"/>
    </row>
    <row customHeight="1" ht="54">
      <c r="A19" s="852" t="s">
        <v>1882</v>
      </c>
      <c r="B19" s="852"/>
      <c r="C19" s="991" t="s">
        <v>1883</v>
      </c>
      <c r="D19" s="852"/>
      <c r="E19" s="852"/>
      <c r="F19" s="993"/>
      <c r="G19" s="993"/>
      <c r="H19" s="993"/>
    </row>
    <row customHeight="1" ht="36">
      <c r="A20" s="852" t="s">
        <v>1884</v>
      </c>
      <c r="B20" s="852"/>
      <c r="C20" s="991" t="s">
        <v>1885</v>
      </c>
      <c r="D20" s="852"/>
      <c r="E20" s="852"/>
      <c r="F20" s="993"/>
      <c r="G20" s="993"/>
      <c r="H20" s="993"/>
    </row>
    <row customHeight="1" ht="36">
      <c r="A21" s="852" t="s">
        <v>1886</v>
      </c>
      <c r="B21" s="852"/>
      <c r="C21" s="991" t="s">
        <v>1887</v>
      </c>
      <c r="D21" s="852"/>
      <c r="E21" s="852"/>
      <c r="F21" s="993"/>
      <c r="G21" s="993"/>
      <c r="H21" s="993"/>
    </row>
    <row customHeight="1" ht="27">
      <c r="A22" s="852" t="s">
        <v>1888</v>
      </c>
      <c r="B22" s="852"/>
      <c r="C22" s="991" t="s">
        <v>1889</v>
      </c>
      <c r="D22" s="852"/>
      <c r="E22" s="852"/>
      <c r="F22" s="993"/>
      <c r="G22" s="993"/>
      <c r="H22" s="993"/>
    </row>
    <row customHeight="1" ht="36">
      <c r="A23" s="852" t="s">
        <v>1890</v>
      </c>
      <c r="B23" s="852"/>
      <c r="C23" s="991" t="s">
        <v>1891</v>
      </c>
      <c r="D23" s="852"/>
      <c r="E23" s="852"/>
      <c r="F23" s="993"/>
      <c r="G23" s="993"/>
      <c r="H23" s="993"/>
    </row>
    <row customHeight="1" ht="28.5">
      <c r="A24" s="852" t="s">
        <v>1892</v>
      </c>
      <c r="B24" s="852"/>
      <c r="C24" s="991" t="s">
        <v>1893</v>
      </c>
      <c r="D24" s="852"/>
      <c r="E24" s="852"/>
      <c r="F24" s="993"/>
      <c r="G24" s="993"/>
      <c r="H24" s="993"/>
    </row>
    <row customHeight="1" ht="36">
      <c r="A25" s="852" t="s">
        <v>1894</v>
      </c>
      <c r="B25" s="852"/>
      <c r="C25" s="991" t="s">
        <v>1895</v>
      </c>
      <c r="D25" s="852"/>
      <c r="E25" s="852"/>
      <c r="F25" s="993"/>
      <c r="G25" s="993"/>
      <c r="H25" s="993"/>
    </row>
    <row customHeight="1" ht="27">
      <c r="A26" s="852" t="s">
        <v>1896</v>
      </c>
      <c r="B26" s="852"/>
      <c r="C26" s="991" t="s">
        <v>1897</v>
      </c>
      <c r="D26" s="852"/>
      <c r="E26" s="852"/>
      <c r="F26" s="993"/>
      <c r="G26" s="993"/>
      <c r="H26" s="993"/>
    </row>
    <row customHeight="1" ht="36">
      <c r="A27" s="852" t="s">
        <v>1898</v>
      </c>
      <c r="B27" s="852"/>
      <c r="C27" s="991" t="s">
        <v>1899</v>
      </c>
      <c r="D27" s="852"/>
      <c r="E27" s="852"/>
      <c r="F27" s="993"/>
      <c r="G27" s="993"/>
      <c r="H27" s="993"/>
    </row>
    <row customHeight="1" ht="28.5">
      <c r="A28" s="852" t="s">
        <v>1900</v>
      </c>
      <c r="B28" s="852"/>
      <c r="C28" s="991" t="s">
        <v>1901</v>
      </c>
      <c r="D28" s="852"/>
      <c r="E28" s="852"/>
      <c r="F28" s="993"/>
      <c r="G28" s="993"/>
      <c r="H28" s="993"/>
    </row>
    <row customHeight="1" ht="126">
      <c r="A29" s="852" t="s">
        <v>1902</v>
      </c>
      <c r="B29" s="852" t="s">
        <v>1569</v>
      </c>
      <c r="C29" s="991"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852" t="s">
        <v>1903</v>
      </c>
      <c r="E29" s="855"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93"/>
      <c r="G29" s="993"/>
      <c r="H29" s="852" t="s">
        <v>1904</v>
      </c>
    </row>
    <row customHeight="1" ht="36">
      <c r="A30" s="852" t="s">
        <v>1905</v>
      </c>
      <c r="B30" s="852"/>
      <c r="C30" s="991"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852" t="s">
        <v>1906</v>
      </c>
      <c r="E30" s="855"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93"/>
      <c r="G30" s="993"/>
      <c r="H30" s="993"/>
    </row>
    <row customHeight="1" ht="54">
      <c r="A31" s="852" t="s">
        <v>1907</v>
      </c>
      <c r="B31" s="852"/>
      <c r="C31" s="991"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852" t="s">
        <v>1908</v>
      </c>
      <c r="E31" s="855"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93"/>
      <c r="G31" s="993"/>
      <c r="H31" s="993"/>
    </row>
    <row customHeight="1" ht="198">
      <c r="A32" s="852" t="s">
        <v>1909</v>
      </c>
      <c r="B32" s="852"/>
      <c r="C32" s="991"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852" t="s">
        <v>1910</v>
      </c>
      <c r="E32" s="855"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93"/>
      <c r="G32" s="993"/>
      <c r="H32" s="852" t="s">
        <v>1911</v>
      </c>
    </row>
    <row customHeight="1" ht="9">
      <c r="A33" s="852"/>
      <c r="B33" s="852"/>
      <c r="C33" s="991"/>
      <c r="D33" s="852"/>
      <c r="E33" s="852"/>
      <c r="F33" s="993"/>
      <c r="G33" s="993"/>
      <c r="H33" s="993"/>
    </row>
    <row customHeight="1" ht="9">
      <c r="A34" s="852"/>
      <c r="B34" s="852" t="s">
        <v>1506</v>
      </c>
      <c r="C34" s="991">
        <f>INDEX(TEMPLATE_NAME_FORM_LIST,B34,MATCH(TEMPLATE_SPHERE,TEMPLATE_SPHERE_LIST,0))</f>
        <v>0</v>
      </c>
      <c r="D34" s="852"/>
      <c r="E34" s="852"/>
      <c r="F34" s="993"/>
      <c r="G34" s="993"/>
      <c r="H34" s="993"/>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FE4BC192-59B8-8D6D-E061-3E5D84C72DD8}" mc:Ignorable="x14ac xr xr2 xr3">
  <sheetPr>
    <tabColor rgb="FFFFCC99"/>
  </sheetPr>
  <dimension ref="A1:AH154"/>
  <sheetViews>
    <sheetView topLeftCell="A1" showGridLines="0" workbookViewId="0">
      <selection activeCell="A1" sqref="A1"/>
    </sheetView>
  </sheetViews>
  <sheetFormatPr defaultColWidth="9.140625" customHeight="1" defaultRowHeight="9"/>
  <cols>
    <col min="1" max="2" style="4994" width="9.140625"/>
    <col min="3" max="7" style="5038" width="8.00390625" customWidth="1"/>
    <col min="8" max="12" style="5038" width="8.57421875" customWidth="1"/>
    <col min="13" max="14" style="5038" width="27.7109375" customWidth="1"/>
    <col min="15" max="19" style="5038" width="5.140625" customWidth="1"/>
    <col min="20" max="24" style="5038" width="27.7109375" customWidth="1"/>
    <col min="25" max="25" style="5039" width="1.8515625" customWidth="1"/>
    <col min="26" max="26" style="4994" width="27.7109375" customWidth="1"/>
    <col min="27" max="27" style="5040" width="27.7109375" customWidth="1"/>
    <col min="28" max="29" style="4994" width="27.7109375" customWidth="1"/>
    <col min="30" max="30" style="4994" width="3.8515625" customWidth="1"/>
    <col min="31" max="34" style="4994" width="9.140625"/>
  </cols>
  <sheetData>
    <row s="4996" customFormat="1" customHeight="1" ht="18">
      <c r="A1" s="904"/>
      <c r="B1" s="904"/>
      <c r="C1" s="904" t="s">
        <v>1912</v>
      </c>
      <c r="D1" s="904"/>
      <c r="E1" s="904"/>
      <c r="F1" s="904"/>
      <c r="G1" s="904"/>
      <c r="H1" s="904" t="s">
        <v>1913</v>
      </c>
      <c r="I1" s="904"/>
      <c r="J1" s="904"/>
      <c r="K1" s="904"/>
      <c r="L1" s="904"/>
      <c r="M1" s="904" t="s">
        <v>1914</v>
      </c>
      <c r="N1" s="904" t="s">
        <v>1915</v>
      </c>
      <c r="O1" s="2424" t="s">
        <v>1916</v>
      </c>
      <c r="P1" s="2424"/>
      <c r="Q1" s="2424"/>
      <c r="R1" s="2424"/>
      <c r="S1" s="2424"/>
      <c r="T1" s="2424" t="s">
        <v>1914</v>
      </c>
      <c r="U1" s="2424"/>
      <c r="V1" s="2424"/>
      <c r="W1" s="2424"/>
      <c r="X1" s="2424"/>
      <c r="Y1" s="1006"/>
      <c r="Z1" s="2424" t="s">
        <v>1917</v>
      </c>
      <c r="AA1" s="2424"/>
      <c r="AB1" s="2424"/>
      <c r="AC1" s="2424"/>
      <c r="AD1" s="2424"/>
    </row>
    <row customHeight="1" ht="18">
      <c r="A2" s="852"/>
      <c r="B2" s="852"/>
      <c r="C2" s="847" t="s">
        <v>710</v>
      </c>
      <c r="D2" s="847" t="s">
        <v>756</v>
      </c>
      <c r="E2" s="847" t="s">
        <v>808</v>
      </c>
      <c r="F2" s="847" t="s">
        <v>794</v>
      </c>
      <c r="G2" s="847" t="s">
        <v>1617</v>
      </c>
      <c r="H2" s="849"/>
      <c r="I2" s="849"/>
      <c r="J2" s="849"/>
      <c r="K2" s="849"/>
      <c r="L2" s="849"/>
      <c r="M2" s="849"/>
      <c r="N2" s="849"/>
      <c r="O2" s="847" t="s">
        <v>710</v>
      </c>
      <c r="P2" s="847" t="s">
        <v>756</v>
      </c>
      <c r="Q2" s="847" t="s">
        <v>794</v>
      </c>
      <c r="R2" s="847" t="s">
        <v>808</v>
      </c>
      <c r="S2" s="847" t="s">
        <v>1617</v>
      </c>
      <c r="T2" s="847" t="s">
        <v>710</v>
      </c>
      <c r="U2" s="847" t="s">
        <v>756</v>
      </c>
      <c r="V2" s="847" t="s">
        <v>794</v>
      </c>
      <c r="W2" s="847" t="s">
        <v>808</v>
      </c>
      <c r="X2" s="847" t="s">
        <v>1617</v>
      </c>
      <c r="Y2" s="847"/>
      <c r="Z2" s="847" t="s">
        <v>710</v>
      </c>
      <c r="AA2" s="856" t="s">
        <v>756</v>
      </c>
      <c r="AB2" s="847" t="s">
        <v>794</v>
      </c>
      <c r="AC2" s="847" t="s">
        <v>808</v>
      </c>
      <c r="AD2" s="847" t="s">
        <v>1617</v>
      </c>
    </row>
    <row customHeight="1" ht="162">
      <c r="A3" s="851" t="s">
        <v>22</v>
      </c>
      <c r="B3" s="851"/>
      <c r="C3" s="2428" t="s">
        <v>1918</v>
      </c>
      <c r="D3" s="2429"/>
      <c r="E3" s="2429"/>
      <c r="F3" s="2430"/>
      <c r="G3" s="849"/>
      <c r="H3" s="849"/>
      <c r="I3" s="849"/>
      <c r="J3" s="849"/>
      <c r="K3" s="849"/>
      <c r="L3" s="849"/>
      <c r="M3" s="849"/>
      <c r="N3" s="850"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849"/>
      <c r="P3" s="849"/>
      <c r="Q3" s="849"/>
      <c r="R3" s="849"/>
      <c r="S3" s="849"/>
      <c r="T3" s="849"/>
      <c r="U3" s="849"/>
      <c r="V3" s="849"/>
      <c r="W3" s="849"/>
      <c r="X3" s="849"/>
      <c r="Y3" s="1007"/>
      <c r="Z3" s="852" t="s">
        <v>1919</v>
      </c>
      <c r="AA3" s="849" t="s">
        <v>1920</v>
      </c>
      <c r="AB3" s="852" t="s">
        <v>1921</v>
      </c>
      <c r="AC3" s="852" t="s">
        <v>1922</v>
      </c>
      <c r="AD3" s="852"/>
      <c r="AG3" s="852"/>
      <c r="AH3" s="852"/>
    </row>
    <row customHeight="1" ht="9">
      <c r="A4" s="851"/>
      <c r="B4" s="851"/>
      <c r="C4" s="849"/>
      <c r="D4" s="849"/>
      <c r="E4" s="849"/>
      <c r="F4" s="849"/>
      <c r="G4" s="849"/>
      <c r="H4" s="849"/>
      <c r="I4" s="849"/>
      <c r="J4" s="849"/>
      <c r="K4" s="849"/>
      <c r="L4" s="849"/>
      <c r="M4" s="849"/>
      <c r="N4" s="849"/>
      <c r="O4" s="849"/>
      <c r="P4" s="849"/>
      <c r="Q4" s="849"/>
      <c r="R4" s="849"/>
      <c r="S4" s="849"/>
      <c r="T4" s="849"/>
      <c r="U4" s="849"/>
      <c r="V4" s="849"/>
      <c r="W4" s="849"/>
      <c r="X4" s="849"/>
      <c r="Y4" s="1007"/>
      <c r="Z4" s="852"/>
      <c r="AA4" s="855"/>
      <c r="AB4" s="852"/>
      <c r="AC4" s="852"/>
      <c r="AD4" s="852"/>
    </row>
    <row customHeight="1" ht="9">
      <c r="A5" s="851"/>
      <c r="B5" s="851"/>
      <c r="C5" s="849"/>
      <c r="D5" s="849"/>
      <c r="E5" s="849"/>
      <c r="F5" s="849"/>
      <c r="G5" s="849"/>
      <c r="H5" s="849"/>
      <c r="I5" s="849"/>
      <c r="J5" s="849"/>
      <c r="K5" s="849"/>
      <c r="L5" s="849"/>
      <c r="M5" s="849"/>
      <c r="N5" s="849"/>
      <c r="O5" s="849"/>
      <c r="P5" s="849"/>
      <c r="Q5" s="849"/>
      <c r="R5" s="849"/>
      <c r="S5" s="849"/>
      <c r="T5" s="849"/>
      <c r="U5" s="849"/>
      <c r="V5" s="849"/>
      <c r="W5" s="849"/>
      <c r="X5" s="849"/>
      <c r="Y5" s="1007"/>
      <c r="Z5" s="852"/>
      <c r="AA5" s="855"/>
      <c r="AB5" s="852"/>
      <c r="AC5" s="852"/>
      <c r="AD5" s="852"/>
    </row>
    <row customHeight="1" ht="9">
      <c r="A6" s="851"/>
      <c r="B6" s="851"/>
      <c r="C6" s="849"/>
      <c r="D6" s="849"/>
      <c r="E6" s="849"/>
      <c r="F6" s="849"/>
      <c r="G6" s="849"/>
      <c r="H6" s="849"/>
      <c r="I6" s="849"/>
      <c r="J6" s="849"/>
      <c r="K6" s="849"/>
      <c r="L6" s="849"/>
      <c r="M6" s="849"/>
      <c r="N6" s="849"/>
      <c r="O6" s="849"/>
      <c r="P6" s="849"/>
      <c r="Q6" s="849"/>
      <c r="R6" s="849"/>
      <c r="S6" s="849"/>
      <c r="T6" s="849"/>
      <c r="U6" s="849"/>
      <c r="V6" s="849"/>
      <c r="W6" s="849"/>
      <c r="X6" s="849"/>
      <c r="Y6" s="1007"/>
      <c r="Z6" s="852"/>
      <c r="AA6" s="855"/>
      <c r="AB6" s="852"/>
      <c r="AC6" s="852"/>
      <c r="AD6" s="852"/>
    </row>
    <row customHeight="1" ht="9">
      <c r="A7" s="851"/>
      <c r="B7" s="851"/>
      <c r="C7" s="849"/>
      <c r="D7" s="849"/>
      <c r="E7" s="849"/>
      <c r="F7" s="849"/>
      <c r="G7" s="849"/>
      <c r="H7" s="849"/>
      <c r="I7" s="849"/>
      <c r="J7" s="849"/>
      <c r="K7" s="849"/>
      <c r="L7" s="849"/>
      <c r="M7" s="849"/>
      <c r="N7" s="849"/>
      <c r="O7" s="849"/>
      <c r="P7" s="849"/>
      <c r="Q7" s="849"/>
      <c r="R7" s="849"/>
      <c r="S7" s="849"/>
      <c r="T7" s="849"/>
      <c r="U7" s="849"/>
      <c r="V7" s="849"/>
      <c r="W7" s="849"/>
      <c r="X7" s="849"/>
      <c r="Y7" s="1007"/>
      <c r="Z7" s="852"/>
      <c r="AA7" s="855"/>
      <c r="AB7" s="852"/>
      <c r="AC7" s="852"/>
      <c r="AD7" s="852"/>
    </row>
    <row customHeight="1" ht="9">
      <c r="A8" s="851"/>
      <c r="B8" s="851"/>
      <c r="C8" s="849"/>
      <c r="D8" s="849"/>
      <c r="E8" s="849"/>
      <c r="F8" s="849"/>
      <c r="G8" s="849"/>
      <c r="H8" s="849"/>
      <c r="I8" s="849"/>
      <c r="J8" s="849"/>
      <c r="K8" s="849"/>
      <c r="L8" s="849"/>
      <c r="M8" s="849"/>
      <c r="N8" s="849"/>
      <c r="O8" s="849"/>
      <c r="P8" s="849"/>
      <c r="Q8" s="849"/>
      <c r="R8" s="849"/>
      <c r="S8" s="849"/>
      <c r="T8" s="849"/>
      <c r="U8" s="849"/>
      <c r="V8" s="849"/>
      <c r="W8" s="849"/>
      <c r="X8" s="849"/>
      <c r="Y8" s="1007"/>
      <c r="Z8" s="852"/>
      <c r="AA8" s="855"/>
      <c r="AB8" s="852"/>
      <c r="AC8" s="852"/>
      <c r="AD8" s="852"/>
    </row>
    <row customHeight="1" ht="9">
      <c r="A9" s="851"/>
      <c r="B9" s="851"/>
      <c r="C9" s="849"/>
      <c r="D9" s="849"/>
      <c r="E9" s="849"/>
      <c r="F9" s="849"/>
      <c r="G9" s="849"/>
      <c r="H9" s="849"/>
      <c r="I9" s="849"/>
      <c r="J9" s="849"/>
      <c r="K9" s="849"/>
      <c r="L9" s="849"/>
      <c r="M9" s="849"/>
      <c r="N9" s="849"/>
      <c r="O9" s="849"/>
      <c r="P9" s="849"/>
      <c r="Q9" s="849"/>
      <c r="R9" s="849"/>
      <c r="S9" s="849"/>
      <c r="T9" s="849"/>
      <c r="U9" s="849"/>
      <c r="V9" s="849"/>
      <c r="W9" s="849"/>
      <c r="X9" s="849"/>
      <c r="Y9" s="1007"/>
      <c r="Z9" s="852"/>
      <c r="AA9" s="855"/>
      <c r="AB9" s="852"/>
      <c r="AC9" s="852"/>
      <c r="AD9" s="852"/>
    </row>
    <row customHeight="1" ht="9">
      <c r="A10" s="905"/>
      <c r="B10" s="905"/>
      <c r="C10" s="905"/>
      <c r="D10" s="905"/>
      <c r="E10" s="905"/>
      <c r="F10" s="905"/>
      <c r="G10" s="905"/>
      <c r="H10" s="905"/>
      <c r="I10" s="905"/>
      <c r="J10" s="905"/>
      <c r="K10" s="905"/>
      <c r="L10" s="905"/>
      <c r="M10" s="905"/>
      <c r="N10" s="905"/>
      <c r="O10" s="905"/>
      <c r="P10" s="905"/>
      <c r="Q10" s="905"/>
      <c r="R10" s="905"/>
      <c r="S10" s="905"/>
      <c r="T10" s="905"/>
      <c r="U10" s="905"/>
      <c r="V10" s="905"/>
      <c r="W10" s="905"/>
      <c r="X10" s="905"/>
      <c r="Y10" s="905"/>
      <c r="Z10" s="905"/>
      <c r="AA10" s="905"/>
      <c r="AB10" s="905"/>
      <c r="AC10" s="905"/>
      <c r="AD10" s="905"/>
    </row>
    <row customHeight="1" ht="45">
      <c r="A11" s="2425" t="s">
        <v>29</v>
      </c>
      <c r="B11" s="905">
        <v>1</v>
      </c>
      <c r="C11" s="2431" t="s">
        <v>1556</v>
      </c>
      <c r="D11" s="2431" t="s">
        <v>1552</v>
      </c>
      <c r="E11" s="2431" t="s">
        <v>1650</v>
      </c>
      <c r="F11" s="2431" t="s">
        <v>1923</v>
      </c>
      <c r="G11" s="2431"/>
      <c r="H11" s="904" t="s">
        <v>1924</v>
      </c>
      <c r="I11" s="904"/>
      <c r="J11" s="904"/>
      <c r="K11" s="904"/>
      <c r="L11" s="904"/>
      <c r="M11" s="850" t="str">
        <f>IF(TEMPLATE_SPHERE="HEAT",T11,U11)</f>
        <v>Количество поданных заявок</v>
      </c>
      <c r="N11" s="850"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849"/>
      <c r="P11" s="849"/>
      <c r="Q11" s="849"/>
      <c r="R11" s="849"/>
      <c r="S11" s="849"/>
      <c r="T11" s="849" t="s">
        <v>1925</v>
      </c>
      <c r="U11" s="849" t="s">
        <v>1926</v>
      </c>
      <c r="V11" s="849"/>
      <c r="W11" s="849"/>
      <c r="X11" s="849"/>
      <c r="Y11" s="1007"/>
      <c r="Z11" s="852" t="s">
        <v>1927</v>
      </c>
      <c r="AA11" s="855"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852"/>
      <c r="AC11" s="852"/>
      <c r="AD11" s="852"/>
    </row>
    <row customHeight="1" ht="45">
      <c r="A12" s="2425"/>
      <c r="B12" s="905">
        <v>2</v>
      </c>
      <c r="C12" s="2432"/>
      <c r="D12" s="2432"/>
      <c r="E12" s="2432"/>
      <c r="F12" s="2432"/>
      <c r="G12" s="2432"/>
      <c r="H12" s="904" t="s">
        <v>1928</v>
      </c>
      <c r="I12" s="904"/>
      <c r="J12" s="904"/>
      <c r="K12" s="904"/>
      <c r="L12" s="904"/>
      <c r="M12" s="850" t="str">
        <f>IF(TEMPLATE_SPHERE="HEAT",T12,U12)</f>
        <v>Количество рассмотренных заявок</v>
      </c>
      <c r="N12" s="850"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849"/>
      <c r="P12" s="849"/>
      <c r="Q12" s="849"/>
      <c r="R12" s="849"/>
      <c r="S12" s="849"/>
      <c r="T12" s="849" t="s">
        <v>1929</v>
      </c>
      <c r="U12" s="849" t="s">
        <v>1930</v>
      </c>
      <c r="V12" s="849"/>
      <c r="W12" s="849"/>
      <c r="X12" s="849"/>
      <c r="Y12" s="1007"/>
      <c r="Z12" s="852" t="s">
        <v>1931</v>
      </c>
      <c r="AA12" s="855"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852"/>
      <c r="AC12" s="852"/>
      <c r="AD12" s="852"/>
    </row>
    <row customHeight="1" ht="72">
      <c r="A13" s="2425"/>
      <c r="B13" s="905">
        <v>3</v>
      </c>
      <c r="C13" s="2432"/>
      <c r="D13" s="2432"/>
      <c r="E13" s="2432"/>
      <c r="F13" s="2432"/>
      <c r="G13" s="2432"/>
      <c r="H13" s="2424" t="s">
        <v>1932</v>
      </c>
      <c r="I13" s="904"/>
      <c r="J13" s="904"/>
      <c r="K13" s="904"/>
      <c r="L13" s="904"/>
      <c r="M13" s="850"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850" t="str">
        <f>IF(TEMPLATE_SPHERE="HEAT",Z13,AA13)</f>
        <v>Указывается количество заявок с решением об отказе в течение отчетного квартала.</v>
      </c>
      <c r="O13" s="849"/>
      <c r="P13" s="850"/>
      <c r="Q13" s="850"/>
      <c r="R13" s="850"/>
      <c r="S13" s="849"/>
      <c r="T13" s="849" t="s">
        <v>1933</v>
      </c>
      <c r="U13" s="850" t="s">
        <v>1934</v>
      </c>
      <c r="V13" s="850"/>
      <c r="W13" s="850"/>
      <c r="X13" s="849"/>
      <c r="Y13" s="1007"/>
      <c r="Z13" s="852" t="s">
        <v>1935</v>
      </c>
      <c r="AA13" s="855"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852"/>
      <c r="AC13" s="852"/>
      <c r="AD13" s="852"/>
    </row>
    <row customHeight="1" ht="45">
      <c r="A14" s="2425"/>
      <c r="B14" s="905">
        <v>4</v>
      </c>
      <c r="C14" s="2432"/>
      <c r="D14" s="2432"/>
      <c r="E14" s="2432"/>
      <c r="F14" s="2432"/>
      <c r="G14" s="2432"/>
      <c r="H14" s="2424"/>
      <c r="I14" s="907"/>
      <c r="J14" s="907"/>
      <c r="K14" s="907"/>
      <c r="L14" s="907"/>
      <c r="M14" s="853" t="str">
        <f>IF(TEMPLATE_SPHERE="HEAT",T14,U14)</f>
        <v>Причины отказа в заключении договора о подключении (технологическом присоединении) к системе теплоснабжения</v>
      </c>
      <c r="N14" s="850"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9"/>
      <c r="P14" s="850"/>
      <c r="Q14" s="850"/>
      <c r="R14" s="850"/>
      <c r="S14" s="849"/>
      <c r="T14" s="849" t="s">
        <v>1936</v>
      </c>
      <c r="U14" s="850"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850"/>
      <c r="W14" s="850"/>
      <c r="X14" s="849"/>
      <c r="Y14" s="1007"/>
      <c r="Z14" s="852" t="s">
        <v>1937</v>
      </c>
      <c r="AA14" s="855" t="s">
        <v>1937</v>
      </c>
      <c r="AB14" s="852"/>
      <c r="AC14" s="852"/>
      <c r="AD14" s="852"/>
    </row>
    <row customHeight="1" ht="108">
      <c r="A15" s="2425"/>
      <c r="B15" s="905">
        <v>5</v>
      </c>
      <c r="C15" s="2432"/>
      <c r="D15" s="2432"/>
      <c r="E15" s="2432"/>
      <c r="F15" s="2432"/>
      <c r="G15" s="2432"/>
      <c r="H15" s="2426" t="s">
        <v>1938</v>
      </c>
      <c r="I15" s="906"/>
      <c r="J15" s="906"/>
      <c r="K15" s="906"/>
      <c r="L15" s="906"/>
      <c r="M15" s="855" t="str">
        <f>IF(TEMPLATE_SPHERE="HEAT",T15,U15)</f>
        <v>Резерв мощности источников тепловой энергии, входящих в систему теплоснабжения, в течение одного квартала, в том числе:</v>
      </c>
      <c r="N15" s="854"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849"/>
      <c r="P15" s="850"/>
      <c r="Q15" s="850"/>
      <c r="R15" s="850"/>
      <c r="S15" s="849"/>
      <c r="T15" s="849" t="s">
        <v>1939</v>
      </c>
      <c r="U15" s="850"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850"/>
      <c r="W15" s="850"/>
      <c r="X15" s="849"/>
      <c r="Y15" s="1007"/>
      <c r="Z15" s="852" t="s">
        <v>1940</v>
      </c>
      <c r="AA15" s="855"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852"/>
      <c r="AC15" s="852"/>
      <c r="AD15" s="852"/>
    </row>
    <row customHeight="1" ht="108">
      <c r="A16" s="905"/>
      <c r="B16" s="905">
        <v>6</v>
      </c>
      <c r="C16" s="2433"/>
      <c r="D16" s="2433"/>
      <c r="E16" s="2433"/>
      <c r="F16" s="2433"/>
      <c r="G16" s="2433"/>
      <c r="H16" s="2427"/>
      <c r="I16" s="969"/>
      <c r="J16" s="969"/>
      <c r="K16" s="969"/>
      <c r="L16" s="969"/>
      <c r="M16" s="898"/>
      <c r="N16" s="854"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849"/>
      <c r="P16" s="850"/>
      <c r="Q16" s="850"/>
      <c r="R16" s="850"/>
      <c r="S16" s="849"/>
      <c r="T16" s="849"/>
      <c r="U16" s="850"/>
      <c r="V16" s="850"/>
      <c r="W16" s="850"/>
      <c r="X16" s="849"/>
      <c r="Y16" s="1007"/>
      <c r="Z16" s="852" t="s">
        <v>1940</v>
      </c>
      <c r="AA16" s="855"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852"/>
      <c r="AC16" s="852"/>
      <c r="AD16" s="852"/>
    </row>
    <row customHeight="1" ht="9">
      <c r="A17" s="905"/>
      <c r="B17" s="905"/>
      <c r="C17" s="905">
        <v>22</v>
      </c>
      <c r="D17" s="905">
        <v>21</v>
      </c>
      <c r="E17" s="905">
        <v>42</v>
      </c>
      <c r="F17" s="905">
        <v>63</v>
      </c>
      <c r="G17" s="905"/>
      <c r="H17" s="905"/>
      <c r="I17" s="905"/>
      <c r="J17" s="905"/>
      <c r="K17" s="905"/>
      <c r="L17" s="905"/>
      <c r="M17" s="905"/>
      <c r="N17" s="905"/>
      <c r="O17" s="905"/>
      <c r="P17" s="905"/>
      <c r="Q17" s="905"/>
      <c r="R17" s="905"/>
      <c r="S17" s="905"/>
      <c r="T17" s="905"/>
      <c r="U17" s="905"/>
      <c r="V17" s="905"/>
      <c r="W17" s="905"/>
      <c r="X17" s="905"/>
      <c r="Y17" s="905"/>
      <c r="Z17" s="905"/>
      <c r="AA17" s="905"/>
      <c r="AB17" s="905"/>
      <c r="AC17" s="905"/>
      <c r="AD17" s="905"/>
    </row>
    <row customHeight="1" ht="27">
      <c r="A18" s="851" t="s">
        <v>1653</v>
      </c>
      <c r="B18" s="905">
        <v>1</v>
      </c>
      <c r="C18" s="849" t="s">
        <v>1924</v>
      </c>
      <c r="D18" s="974" t="s">
        <v>1924</v>
      </c>
      <c r="E18" s="849" t="s">
        <v>1924</v>
      </c>
      <c r="F18" s="849" t="s">
        <v>1924</v>
      </c>
      <c r="G18" s="849"/>
      <c r="H18" s="1009"/>
      <c r="I18" s="1012">
        <f>INDEX(TEMPLATE_NUMBER_POINT_FHD,B18,MATCH(TEMPLATE_SPHERE,TEMPLATE_SPHERE_LIST_FOR_NOTE,0))</f>
        <v>1</v>
      </c>
      <c r="J18" s="1012" t="str">
        <f>INDEX(TEMPLATE_DATA_POINT_FHD,B18,MATCH(TEMPLATE_SPHERE,TEMPLATE_SPHERE_LIST_FOR_NOTE,0))</f>
        <v>Выручка от регулируемого вида деятельности с распределением по видам деятельности</v>
      </c>
      <c r="K18" s="1012" t="str">
        <f>INDEX(TEMPLATE_NOTE_POINT_FHD,B18,MATCH(TEMPLATE_SPHERE,TEMPLATE_SPHERE_LIST_FOR_NOTE,0))</f>
        <v>Указывается выручка от регулируемого вида деятельности с распределением по видам деятельности.</v>
      </c>
      <c r="L18" s="850">
        <f>IF(I18=0,"",I18)</f>
        <v>1</v>
      </c>
      <c r="M18" s="850" t="str">
        <f>IF(J18=0,"",J18)</f>
        <v>Выручка от регулируемого вида деятельности с распределением по видам деятельности</v>
      </c>
      <c r="N18" s="850" t="str">
        <f>IF(K18=0,"",K18)</f>
        <v>Указывается выручка от регулируемого вида деятельности с распределением по видам деятельности.</v>
      </c>
      <c r="O18" s="964">
        <v>1</v>
      </c>
      <c r="P18" s="964">
        <v>1</v>
      </c>
      <c r="Q18" s="964">
        <v>1</v>
      </c>
      <c r="R18" s="964">
        <v>1</v>
      </c>
      <c r="S18" s="964"/>
      <c r="T18" s="971" t="s">
        <v>1941</v>
      </c>
      <c r="U18" s="852" t="s">
        <v>1942</v>
      </c>
      <c r="V18" s="852" t="s">
        <v>1943</v>
      </c>
      <c r="W18" s="852" t="s">
        <v>1944</v>
      </c>
      <c r="X18" s="849"/>
      <c r="Y18" s="1007"/>
      <c r="Z18" s="852" t="s">
        <v>1945</v>
      </c>
      <c r="AA18" s="855" t="s">
        <v>1946</v>
      </c>
      <c r="AB18" s="855" t="s">
        <v>1946</v>
      </c>
      <c r="AC18" s="855" t="s">
        <v>1946</v>
      </c>
      <c r="AD18" s="852"/>
    </row>
    <row customHeight="1" ht="36">
      <c r="A19" s="851"/>
      <c r="B19" s="905">
        <v>2</v>
      </c>
      <c r="C19" s="849" t="s">
        <v>1928</v>
      </c>
      <c r="D19" s="974" t="s">
        <v>1928</v>
      </c>
      <c r="E19" s="849" t="s">
        <v>1928</v>
      </c>
      <c r="F19" s="849" t="s">
        <v>1928</v>
      </c>
      <c r="G19" s="849"/>
      <c r="H19" s="1009"/>
      <c r="I19" s="1012">
        <f>INDEX(TEMPLATE_NUMBER_POINT_FHD,B19,MATCH(TEMPLATE_SPHERE,TEMPLATE_SPHERE_LIST_FOR_NOTE,0))</f>
        <v>2</v>
      </c>
      <c r="J19" s="1012"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12" t="str">
        <f>INDEX(TEMPLATE_NOTE_POINT_FHD,B19,MATCH(TEMPLATE_SPHERE,TEMPLATE_SPHERE_LIST_FOR_NOTE,0))</f>
        <v>Указывается суммарная себестоимость производимых товаров.</v>
      </c>
      <c r="L19" s="850">
        <f>IF(I19=0,"",I19)</f>
        <v>2</v>
      </c>
      <c r="M19" s="850" t="str">
        <f>IF(J19=0,"",J19)</f>
        <v>Себестоимость производимых товаров (оказываемых услуг) по регулируемому виду деятельности, включая:</v>
      </c>
      <c r="N19" s="850" t="str">
        <f>IF(K19=0,"",K19)</f>
        <v>Указывается суммарная себестоимость производимых товаров.</v>
      </c>
      <c r="O19" s="964">
        <v>2</v>
      </c>
      <c r="P19" s="964">
        <v>2</v>
      </c>
      <c r="Q19" s="964">
        <v>2</v>
      </c>
      <c r="R19" s="964">
        <v>2</v>
      </c>
      <c r="S19" s="964"/>
      <c r="T19" s="971" t="s">
        <v>1947</v>
      </c>
      <c r="U19" s="852" t="s">
        <v>1948</v>
      </c>
      <c r="V19" s="852" t="s">
        <v>1949</v>
      </c>
      <c r="W19" s="852" t="s">
        <v>1950</v>
      </c>
      <c r="X19" s="849"/>
      <c r="Y19" s="1007"/>
      <c r="Z19" s="852" t="s">
        <v>1951</v>
      </c>
      <c r="AA19" s="855" t="s">
        <v>1951</v>
      </c>
      <c r="AB19" s="855" t="s">
        <v>1951</v>
      </c>
      <c r="AC19" s="855" t="s">
        <v>1951</v>
      </c>
      <c r="AD19" s="852"/>
    </row>
    <row customHeight="1" ht="27">
      <c r="A20" s="851"/>
      <c r="B20" s="905">
        <v>3</v>
      </c>
      <c r="C20" s="849">
        <v>1</v>
      </c>
      <c r="D20" s="974"/>
      <c r="E20" s="849"/>
      <c r="F20" s="849"/>
      <c r="G20" s="849"/>
      <c r="H20" s="1009"/>
      <c r="I20" s="1012" t="str">
        <f>INDEX(TEMPLATE_NUMBER_POINT_FHD,B20,MATCH(TEMPLATE_SPHERE,TEMPLATE_SPHERE_LIST_FOR_NOTE,0))</f>
        <v>2.1</v>
      </c>
      <c r="J20" s="1012" t="str">
        <f>INDEX(TEMPLATE_DATA_POINT_FHD,B20,MATCH(TEMPLATE_SPHERE,TEMPLATE_SPHERE_LIST_FOR_NOTE,0))</f>
        <v>Расходы на приобретаемую тепловую энергию (мощность), теплоноситель</v>
      </c>
      <c r="K20" s="1012">
        <f>INDEX(TEMPLATE_NOTE_POINT_FHD,B20,MATCH(TEMPLATE_SPHERE,TEMPLATE_SPHERE_LIST_FOR_NOTE,0))</f>
        <v>0</v>
      </c>
      <c r="L20" s="850" t="str">
        <f>IF(I20=0,"",I20)</f>
        <v>2.1</v>
      </c>
      <c r="M20" s="850" t="str">
        <f>IF(J20=0,"",J20)</f>
        <v>Расходы на приобретаемую тепловую энергию (мощность), теплоноситель</v>
      </c>
      <c r="N20" s="850" t="str">
        <f>IF(K20=0,"",K20)</f>
        <v/>
      </c>
      <c r="O20" s="964" t="s">
        <v>610</v>
      </c>
      <c r="P20" s="964" t="s">
        <v>610</v>
      </c>
      <c r="Q20" s="964" t="s">
        <v>610</v>
      </c>
      <c r="R20" s="964" t="s">
        <v>610</v>
      </c>
      <c r="S20" s="964"/>
      <c r="T20" s="971" t="s">
        <v>1952</v>
      </c>
      <c r="U20" s="852" t="s">
        <v>1953</v>
      </c>
      <c r="V20" s="852" t="s">
        <v>1954</v>
      </c>
      <c r="W20" s="852" t="s">
        <v>1955</v>
      </c>
      <c r="X20" s="849"/>
      <c r="Y20" s="1007"/>
      <c r="Z20" s="852"/>
      <c r="AA20" s="855"/>
      <c r="AB20" s="852"/>
      <c r="AC20" s="852"/>
      <c r="AD20" s="852"/>
    </row>
    <row customHeight="1" ht="36">
      <c r="A21" s="851"/>
      <c r="B21" s="905">
        <v>4</v>
      </c>
      <c r="C21" s="849">
        <v>2</v>
      </c>
      <c r="D21" s="974"/>
      <c r="E21" s="849"/>
      <c r="F21" s="849"/>
      <c r="G21" s="849"/>
      <c r="H21" s="1009"/>
      <c r="I21" s="1012" t="str">
        <f>INDEX(TEMPLATE_NUMBER_POINT_FHD,B21,MATCH(TEMPLATE_SPHERE,TEMPLATE_SPHERE_LIST_FOR_NOTE,0))</f>
        <v>2.2</v>
      </c>
      <c r="J21" s="1012"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12" t="str">
        <f>INDEX(TEMPLATE_NOTE_POINT_FHD,B21,MATCH(TEMPLATE_SPHERE,TEMPLATE_SPHERE_LIST_FOR_NOTE,0))</f>
        <v>Указываются суммарные расходы на приобретение топлива всех видов.</v>
      </c>
      <c r="L21" s="850" t="str">
        <f>IF(I21=0,"",I21)</f>
        <v>2.2</v>
      </c>
      <c r="M21" s="850"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850" t="str">
        <f>IF(K21=0,"",K21)</f>
        <v>Указываются суммарные расходы на приобретение топлива всех видов.</v>
      </c>
      <c r="O21" s="964" t="s">
        <v>300</v>
      </c>
      <c r="P21" s="964"/>
      <c r="Q21" s="964"/>
      <c r="R21" s="964"/>
      <c r="S21" s="964"/>
      <c r="T21" s="971" t="s">
        <v>1956</v>
      </c>
      <c r="U21" s="852"/>
      <c r="V21" s="852"/>
      <c r="W21" s="852"/>
      <c r="X21" s="849"/>
      <c r="Y21" s="1007"/>
      <c r="Z21" s="852" t="s">
        <v>1957</v>
      </c>
      <c r="AA21" s="855"/>
      <c r="AB21" s="852"/>
      <c r="AC21" s="852"/>
      <c r="AD21" s="852"/>
    </row>
    <row customHeight="1" ht="36">
      <c r="A22" s="851"/>
      <c r="B22" s="905">
        <v>5</v>
      </c>
      <c r="C22" s="849">
        <v>3</v>
      </c>
      <c r="D22" s="974"/>
      <c r="E22" s="849"/>
      <c r="F22" s="849"/>
      <c r="G22" s="897"/>
      <c r="H22" s="965"/>
      <c r="I22" s="1012">
        <f>INDEX(TEMPLATE_NUMBER_POINT_FHD,B22,MATCH(TEMPLATE_SPHERE,TEMPLATE_SPHERE_LIST_FOR_NOTE,0))</f>
        <v>0</v>
      </c>
      <c r="J22" s="1012">
        <f>INDEX(TEMPLATE_DATA_POINT_FHD,B22,MATCH(TEMPLATE_SPHERE,TEMPLATE_SPHERE_LIST_FOR_NOTE,0))</f>
        <v>0</v>
      </c>
      <c r="K22" s="1012">
        <f>INDEX(TEMPLATE_NOTE_POINT_FHD,B22,MATCH(TEMPLATE_SPHERE,TEMPLATE_SPHERE_LIST_FOR_NOTE,0))</f>
        <v>0</v>
      </c>
      <c r="L22" s="850" t="str">
        <f>IF(I22=0,"",I22)</f>
        <v/>
      </c>
      <c r="M22" s="850" t="str">
        <f>IF(J22=0,"",J22)</f>
        <v/>
      </c>
      <c r="N22" s="850" t="str">
        <f>IF(K22=0,"",K22)</f>
        <v/>
      </c>
      <c r="O22" s="964"/>
      <c r="P22" s="964"/>
      <c r="Q22" s="964" t="s">
        <v>300</v>
      </c>
      <c r="R22" s="964"/>
      <c r="S22" s="964"/>
      <c r="T22" s="971"/>
      <c r="U22" s="852"/>
      <c r="V22" s="852" t="s">
        <v>1958</v>
      </c>
      <c r="W22" s="852"/>
      <c r="X22" s="849"/>
      <c r="Y22" s="1007"/>
      <c r="Z22" s="852"/>
      <c r="AA22" s="855"/>
      <c r="AB22" s="852"/>
      <c r="AC22" s="852"/>
      <c r="AD22" s="852"/>
    </row>
    <row customHeight="1" ht="27">
      <c r="A23" s="851"/>
      <c r="B23" s="905">
        <v>6</v>
      </c>
      <c r="C23" s="849">
        <v>4</v>
      </c>
      <c r="D23" s="974"/>
      <c r="E23" s="849"/>
      <c r="F23" s="849"/>
      <c r="G23" s="897"/>
      <c r="H23" s="965"/>
      <c r="I23" s="1012">
        <f>INDEX(TEMPLATE_NUMBER_POINT_FHD,B23,MATCH(TEMPLATE_SPHERE,TEMPLATE_SPHERE_LIST_FOR_NOTE,0))</f>
        <v>0</v>
      </c>
      <c r="J23" s="1012">
        <f>INDEX(TEMPLATE_DATA_POINT_FHD,B23,MATCH(TEMPLATE_SPHERE,TEMPLATE_SPHERE_LIST_FOR_NOTE,0))</f>
        <v>0</v>
      </c>
      <c r="K23" s="1012">
        <f>INDEX(TEMPLATE_NOTE_POINT_FHD,B23,MATCH(TEMPLATE_SPHERE,TEMPLATE_SPHERE_LIST_FOR_NOTE,0))</f>
        <v>0</v>
      </c>
      <c r="L23" s="850" t="str">
        <f>IF(I23=0,"",I23)</f>
        <v/>
      </c>
      <c r="M23" s="850" t="str">
        <f>IF(J23=0,"",J23)</f>
        <v/>
      </c>
      <c r="N23" s="850" t="str">
        <f>IF(K23=0,"",K23)</f>
        <v/>
      </c>
      <c r="O23" s="964"/>
      <c r="P23" s="964"/>
      <c r="Q23" s="964" t="s">
        <v>303</v>
      </c>
      <c r="R23" s="964"/>
      <c r="S23" s="964"/>
      <c r="T23" s="971"/>
      <c r="U23" s="852"/>
      <c r="V23" s="852" t="s">
        <v>1959</v>
      </c>
      <c r="W23" s="852"/>
      <c r="X23" s="849"/>
      <c r="Y23" s="1007"/>
      <c r="Z23" s="852"/>
      <c r="AA23" s="855"/>
      <c r="AB23" s="852"/>
      <c r="AC23" s="852"/>
      <c r="AD23" s="852"/>
    </row>
    <row customHeight="1" ht="36">
      <c r="A24" s="851"/>
      <c r="B24" s="905">
        <v>7</v>
      </c>
      <c r="C24" s="849">
        <v>5</v>
      </c>
      <c r="D24" s="974"/>
      <c r="E24" s="849"/>
      <c r="F24" s="849"/>
      <c r="G24" s="897"/>
      <c r="H24" s="965"/>
      <c r="I24" s="1012">
        <f>INDEX(TEMPLATE_NUMBER_POINT_FHD,B24,MATCH(TEMPLATE_SPHERE,TEMPLATE_SPHERE_LIST_FOR_NOTE,0))</f>
        <v>0</v>
      </c>
      <c r="J24" s="1012">
        <f>INDEX(TEMPLATE_DATA_POINT_FHD,B24,MATCH(TEMPLATE_SPHERE,TEMPLATE_SPHERE_LIST_FOR_NOTE,0))</f>
        <v>0</v>
      </c>
      <c r="K24" s="1012">
        <f>INDEX(TEMPLATE_NOTE_POINT_FHD,B24,MATCH(TEMPLATE_SPHERE,TEMPLATE_SPHERE_LIST_FOR_NOTE,0))</f>
        <v>0</v>
      </c>
      <c r="L24" s="850" t="str">
        <f>IF(I24=0,"",I24)</f>
        <v/>
      </c>
      <c r="M24" s="850" t="str">
        <f>IF(J24=0,"",J24)</f>
        <v/>
      </c>
      <c r="N24" s="850" t="str">
        <f>IF(K24=0,"",K24)</f>
        <v/>
      </c>
      <c r="O24" s="964"/>
      <c r="P24" s="964"/>
      <c r="Q24" s="964" t="s">
        <v>630</v>
      </c>
      <c r="R24" s="964"/>
      <c r="S24" s="964"/>
      <c r="T24" s="971"/>
      <c r="U24" s="852"/>
      <c r="V24" s="852" t="s">
        <v>1960</v>
      </c>
      <c r="W24" s="852"/>
      <c r="X24" s="849"/>
      <c r="Y24" s="1007"/>
      <c r="Z24" s="852"/>
      <c r="AA24" s="855"/>
      <c r="AB24" s="852"/>
      <c r="AC24" s="852"/>
      <c r="AD24" s="852"/>
    </row>
    <row customHeight="1" ht="36">
      <c r="A25" s="851"/>
      <c r="B25" s="905">
        <v>8</v>
      </c>
      <c r="C25" s="849">
        <v>6</v>
      </c>
      <c r="D25" s="974"/>
      <c r="E25" s="849"/>
      <c r="F25" s="849"/>
      <c r="G25" s="897"/>
      <c r="H25" s="965"/>
      <c r="I25" s="1012" t="str">
        <f>INDEX(TEMPLATE_NUMBER_POINT_FHD,B25,MATCH(TEMPLATE_SPHERE,TEMPLATE_SPHERE_LIST_FOR_NOTE,0))</f>
        <v>2.3</v>
      </c>
      <c r="J25" s="1012"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12">
        <f>INDEX(TEMPLATE_NOTE_POINT_FHD,B25,MATCH(TEMPLATE_SPHERE,TEMPLATE_SPHERE_LIST_FOR_NOTE,0))</f>
        <v>0</v>
      </c>
      <c r="L25" s="850" t="str">
        <f>IF(I25=0,"",I25)</f>
        <v>2.3</v>
      </c>
      <c r="M25" s="850" t="str">
        <f>IF(J25=0,"",J25)</f>
        <v>Расходы на приобретаемую электрическую энергию (мощность), используемую в технологическом процессе</v>
      </c>
      <c r="N25" s="850" t="str">
        <f>IF(K25=0,"",K25)</f>
        <v/>
      </c>
      <c r="O25" s="964" t="s">
        <v>303</v>
      </c>
      <c r="P25" s="964" t="s">
        <v>300</v>
      </c>
      <c r="Q25" s="964" t="s">
        <v>637</v>
      </c>
      <c r="R25" s="964" t="s">
        <v>300</v>
      </c>
      <c r="S25" s="964"/>
      <c r="T25" s="971" t="s">
        <v>1961</v>
      </c>
      <c r="U25" s="852" t="s">
        <v>1961</v>
      </c>
      <c r="V25" s="852" t="s">
        <v>1961</v>
      </c>
      <c r="W25" s="852" t="s">
        <v>1961</v>
      </c>
      <c r="X25" s="849"/>
      <c r="Y25" s="1007"/>
      <c r="Z25" s="852"/>
      <c r="AA25" s="855"/>
      <c r="AB25" s="852"/>
      <c r="AC25" s="852"/>
      <c r="AD25" s="852"/>
    </row>
    <row customHeight="1" ht="18">
      <c r="A26" s="851"/>
      <c r="B26" s="905">
        <v>9</v>
      </c>
      <c r="C26" s="849" t="s">
        <v>806</v>
      </c>
      <c r="D26" s="974"/>
      <c r="E26" s="849"/>
      <c r="F26" s="849"/>
      <c r="G26" s="897"/>
      <c r="H26" s="965"/>
      <c r="I26" s="1012" t="str">
        <f>INDEX(TEMPLATE_NUMBER_POINT_FHD,B26,MATCH(TEMPLATE_SPHERE,TEMPLATE_SPHERE_LIST_FOR_NOTE,0))</f>
        <v>2.3.1</v>
      </c>
      <c r="J26" s="1012" t="str">
        <f>INDEX(TEMPLATE_DATA_POINT_FHD,B26,MATCH(TEMPLATE_SPHERE,TEMPLATE_SPHERE_LIST_FOR_NOTE,0))</f>
        <v>Средневзвешенная стоимость 1 кВт.ч (с учетом мощности)</v>
      </c>
      <c r="K26" s="1012">
        <f>INDEX(TEMPLATE_NOTE_POINT_FHD,B26,MATCH(TEMPLATE_SPHERE,TEMPLATE_SPHERE_LIST_FOR_NOTE,0))</f>
        <v>0</v>
      </c>
      <c r="L26" s="850" t="str">
        <f>IF(I26=0,"",I26)</f>
        <v>2.3.1</v>
      </c>
      <c r="M26" s="850" t="str">
        <f>IF(J26=0,"",J26)</f>
        <v>Средневзвешенная стоимость 1 кВт.ч (с учетом мощности)</v>
      </c>
      <c r="N26" s="850" t="str">
        <f>IF(K26=0,"",K26)</f>
        <v/>
      </c>
      <c r="O26" s="964" t="s">
        <v>626</v>
      </c>
      <c r="P26" s="964" t="s">
        <v>620</v>
      </c>
      <c r="Q26" s="964" t="s">
        <v>1962</v>
      </c>
      <c r="R26" s="964" t="s">
        <v>620</v>
      </c>
      <c r="S26" s="964"/>
      <c r="T26" s="971" t="s">
        <v>1963</v>
      </c>
      <c r="U26" s="971" t="s">
        <v>1963</v>
      </c>
      <c r="V26" s="971" t="s">
        <v>1963</v>
      </c>
      <c r="W26" s="971" t="s">
        <v>1963</v>
      </c>
      <c r="X26" s="849"/>
      <c r="Y26" s="1007"/>
      <c r="Z26" s="852"/>
      <c r="AA26" s="855"/>
      <c r="AB26" s="852"/>
      <c r="AC26" s="852"/>
      <c r="AD26" s="852"/>
    </row>
    <row customHeight="1" ht="18">
      <c r="A27" s="851"/>
      <c r="B27" s="905">
        <v>10</v>
      </c>
      <c r="C27" s="849" t="s">
        <v>1964</v>
      </c>
      <c r="D27" s="974"/>
      <c r="E27" s="849"/>
      <c r="F27" s="849"/>
      <c r="G27" s="897"/>
      <c r="H27" s="965"/>
      <c r="I27" s="1012" t="str">
        <f>INDEX(TEMPLATE_NUMBER_POINT_FHD,B27,MATCH(TEMPLATE_SPHERE,TEMPLATE_SPHERE_LIST_FOR_NOTE,0))</f>
        <v>2.3.2</v>
      </c>
      <c r="J27" s="1012" t="str">
        <f>INDEX(TEMPLATE_DATA_POINT_FHD,B27,MATCH(TEMPLATE_SPHERE,TEMPLATE_SPHERE_LIST_FOR_NOTE,0))</f>
        <v>Объём приобретения электрической энергии</v>
      </c>
      <c r="K27" s="1012">
        <f>INDEX(TEMPLATE_NOTE_POINT_FHD,B27,MATCH(TEMPLATE_SPHERE,TEMPLATE_SPHERE_LIST_FOR_NOTE,0))</f>
        <v>0</v>
      </c>
      <c r="L27" s="850" t="str">
        <f>IF(I27=0,"",I27)</f>
        <v>2.3.2</v>
      </c>
      <c r="M27" s="850" t="str">
        <f>IF(J27=0,"",J27)</f>
        <v>Объём приобретения электрической энергии</v>
      </c>
      <c r="N27" s="850" t="str">
        <f>IF(K27=0,"",K27)</f>
        <v/>
      </c>
      <c r="O27" s="964" t="s">
        <v>628</v>
      </c>
      <c r="P27" s="964" t="s">
        <v>622</v>
      </c>
      <c r="Q27" s="964" t="s">
        <v>1965</v>
      </c>
      <c r="R27" s="964" t="s">
        <v>622</v>
      </c>
      <c r="S27" s="964"/>
      <c r="T27" s="971" t="s">
        <v>1966</v>
      </c>
      <c r="U27" s="971" t="s">
        <v>1966</v>
      </c>
      <c r="V27" s="971" t="s">
        <v>1966</v>
      </c>
      <c r="W27" s="971" t="s">
        <v>1966</v>
      </c>
      <c r="X27" s="849"/>
      <c r="Y27" s="1007"/>
      <c r="Z27" s="852"/>
      <c r="AA27" s="855"/>
      <c r="AB27" s="852"/>
      <c r="AC27" s="852"/>
      <c r="AD27" s="852"/>
    </row>
    <row customHeight="1" ht="27">
      <c r="A28" s="851"/>
      <c r="B28" s="905">
        <v>11</v>
      </c>
      <c r="C28" s="849">
        <v>7</v>
      </c>
      <c r="D28" s="974"/>
      <c r="E28" s="849"/>
      <c r="F28" s="849"/>
      <c r="G28" s="897"/>
      <c r="H28" s="965"/>
      <c r="I28" s="1012" t="str">
        <f>INDEX(TEMPLATE_NUMBER_POINT_FHD,B28,MATCH(TEMPLATE_SPHERE,TEMPLATE_SPHERE_LIST_FOR_NOTE,0))</f>
        <v>2.4</v>
      </c>
      <c r="J28" s="1012" t="str">
        <f>INDEX(TEMPLATE_DATA_POINT_FHD,B28,MATCH(TEMPLATE_SPHERE,TEMPLATE_SPHERE_LIST_FOR_NOTE,0))</f>
        <v>Расходы на приобретение холодной воды, используемой в технологическом процессе</v>
      </c>
      <c r="K28" s="1012">
        <f>INDEX(TEMPLATE_NOTE_POINT_FHD,B28,MATCH(TEMPLATE_SPHERE,TEMPLATE_SPHERE_LIST_FOR_NOTE,0))</f>
        <v>0</v>
      </c>
      <c r="L28" s="850" t="str">
        <f>IF(I28=0,"",I28)</f>
        <v>2.4</v>
      </c>
      <c r="M28" s="850" t="str">
        <f>IF(J28=0,"",J28)</f>
        <v>Расходы на приобретение холодной воды, используемой в технологическом процессе</v>
      </c>
      <c r="N28" s="850" t="str">
        <f>IF(K28=0,"",K28)</f>
        <v/>
      </c>
      <c r="O28" s="964" t="s">
        <v>630</v>
      </c>
      <c r="P28" s="964"/>
      <c r="Q28" s="964"/>
      <c r="R28" s="964"/>
      <c r="S28" s="964"/>
      <c r="T28" s="971" t="s">
        <v>1967</v>
      </c>
      <c r="U28" s="852"/>
      <c r="V28" s="852"/>
      <c r="W28" s="852"/>
      <c r="X28" s="849"/>
      <c r="Y28" s="1007"/>
      <c r="Z28" s="852"/>
      <c r="AA28" s="855"/>
      <c r="AB28" s="852"/>
      <c r="AC28" s="852"/>
      <c r="AD28" s="852"/>
    </row>
    <row customHeight="1" ht="27">
      <c r="A29" s="851"/>
      <c r="B29" s="905">
        <v>12</v>
      </c>
      <c r="C29" s="849">
        <v>8</v>
      </c>
      <c r="D29" s="974"/>
      <c r="E29" s="849"/>
      <c r="F29" s="849"/>
      <c r="G29" s="897"/>
      <c r="H29" s="965"/>
      <c r="I29" s="1012" t="str">
        <f>INDEX(TEMPLATE_NUMBER_POINT_FHD,B29,MATCH(TEMPLATE_SPHERE,TEMPLATE_SPHERE_LIST_FOR_NOTE,0))</f>
        <v>2.5</v>
      </c>
      <c r="J29" s="1012" t="str">
        <f>INDEX(TEMPLATE_DATA_POINT_FHD,B29,MATCH(TEMPLATE_SPHERE,TEMPLATE_SPHERE_LIST_FOR_NOTE,0))</f>
        <v>Расходы на химические реагенты, используемые в технологическом процессе</v>
      </c>
      <c r="K29" s="1012">
        <f>INDEX(TEMPLATE_NOTE_POINT_FHD,B29,MATCH(TEMPLATE_SPHERE,TEMPLATE_SPHERE_LIST_FOR_NOTE,0))</f>
        <v>0</v>
      </c>
      <c r="L29" s="850" t="str">
        <f>IF(I29=0,"",I29)</f>
        <v>2.5</v>
      </c>
      <c r="M29" s="850" t="str">
        <f>IF(J29=0,"",J29)</f>
        <v>Расходы на химические реагенты, используемые в технологическом процессе</v>
      </c>
      <c r="N29" s="850" t="str">
        <f>IF(K29=0,"",K29)</f>
        <v/>
      </c>
      <c r="O29" s="964" t="s">
        <v>637</v>
      </c>
      <c r="P29" s="964" t="s">
        <v>303</v>
      </c>
      <c r="Q29" s="964"/>
      <c r="R29" s="964" t="s">
        <v>303</v>
      </c>
      <c r="S29" s="964"/>
      <c r="T29" s="971" t="s">
        <v>1968</v>
      </c>
      <c r="U29" s="852" t="s">
        <v>1968</v>
      </c>
      <c r="V29" s="852"/>
      <c r="W29" s="852" t="s">
        <v>1968</v>
      </c>
      <c r="X29" s="849"/>
      <c r="Y29" s="1007"/>
      <c r="Z29" s="852"/>
      <c r="AA29" s="855"/>
      <c r="AB29" s="852"/>
      <c r="AC29" s="852"/>
      <c r="AD29" s="852"/>
    </row>
    <row customHeight="1" ht="54">
      <c r="A30" s="851"/>
      <c r="B30" s="905">
        <v>13</v>
      </c>
      <c r="C30" s="849">
        <v>9</v>
      </c>
      <c r="D30" s="974"/>
      <c r="E30" s="849"/>
      <c r="F30" s="849"/>
      <c r="G30" s="897"/>
      <c r="H30" s="965"/>
      <c r="I30" s="1012" t="str">
        <f>INDEX(TEMPLATE_NUMBER_POINT_FHD,B30,MATCH(TEMPLATE_SPHERE,TEMPLATE_SPHERE_LIST_FOR_NOTE,0))</f>
        <v>2.6</v>
      </c>
      <c r="J30" s="1012"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12">
        <f>INDEX(TEMPLATE_NOTE_POINT_FHD,B30,MATCH(TEMPLATE_SPHERE,TEMPLATE_SPHERE_LIST_FOR_NOTE,0))</f>
        <v>0</v>
      </c>
      <c r="L30" s="850" t="str">
        <f>IF(I30=0,"",I30)</f>
        <v>2.6</v>
      </c>
      <c r="M30" s="850"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50" t="str">
        <f>IF(K30=0,"",K30)</f>
        <v/>
      </c>
      <c r="O30" s="964" t="s">
        <v>639</v>
      </c>
      <c r="P30" s="964" t="s">
        <v>630</v>
      </c>
      <c r="Q30" s="964" t="s">
        <v>639</v>
      </c>
      <c r="R30" s="964" t="s">
        <v>630</v>
      </c>
      <c r="S30" s="964"/>
      <c r="T30" s="971" t="s">
        <v>1969</v>
      </c>
      <c r="U30" s="852" t="s">
        <v>1969</v>
      </c>
      <c r="V30" s="852" t="s">
        <v>1969</v>
      </c>
      <c r="W30" s="852" t="s">
        <v>1969</v>
      </c>
      <c r="X30" s="849"/>
      <c r="Y30" s="1007"/>
      <c r="Z30" s="852"/>
      <c r="AA30" s="855" t="s">
        <v>1970</v>
      </c>
      <c r="AB30" s="855" t="s">
        <v>1970</v>
      </c>
      <c r="AC30" s="855" t="s">
        <v>1970</v>
      </c>
      <c r="AD30" s="852"/>
    </row>
    <row customHeight="1" ht="18">
      <c r="A31" s="851"/>
      <c r="B31" s="905">
        <v>14</v>
      </c>
      <c r="C31" s="849" t="s">
        <v>1971</v>
      </c>
      <c r="D31" s="974"/>
      <c r="E31" s="849"/>
      <c r="F31" s="849"/>
      <c r="G31" s="897"/>
      <c r="H31" s="965"/>
      <c r="I31" s="1012" t="str">
        <f>INDEX(TEMPLATE_NUMBER_POINT_FHD,B31,MATCH(TEMPLATE_SPHERE,TEMPLATE_SPHERE_LIST_FOR_NOTE,0))</f>
        <v>2.6.1</v>
      </c>
      <c r="J31" s="1012" t="str">
        <f>INDEX(TEMPLATE_DATA_POINT_FHD,B31,MATCH(TEMPLATE_SPHERE,TEMPLATE_SPHERE_LIST_FOR_NOTE,0))</f>
        <v>Расходы на оплату труда основного производственного персонала</v>
      </c>
      <c r="K31" s="1012">
        <f>INDEX(TEMPLATE_NOTE_POINT_FHD,B31,MATCH(TEMPLATE_SPHERE,TEMPLATE_SPHERE_LIST_FOR_NOTE,0))</f>
        <v>0</v>
      </c>
      <c r="L31" s="850" t="str">
        <f>IF(I31=0,"",I31)</f>
        <v>2.6.1</v>
      </c>
      <c r="M31" s="850" t="str">
        <f>IF(J31=0,"",J31)</f>
        <v>Расходы на оплату труда основного производственного персонала</v>
      </c>
      <c r="N31" s="850" t="str">
        <f>IF(K31=0,"",K31)</f>
        <v/>
      </c>
      <c r="O31" s="964" t="s">
        <v>1972</v>
      </c>
      <c r="P31" s="964" t="s">
        <v>633</v>
      </c>
      <c r="Q31" s="964" t="s">
        <v>1972</v>
      </c>
      <c r="R31" s="964" t="s">
        <v>633</v>
      </c>
      <c r="S31" s="964"/>
      <c r="T31" s="972" t="s">
        <v>1973</v>
      </c>
      <c r="U31" s="852" t="s">
        <v>1973</v>
      </c>
      <c r="V31" s="852" t="s">
        <v>1973</v>
      </c>
      <c r="W31" s="852" t="s">
        <v>1973</v>
      </c>
      <c r="X31" s="849"/>
      <c r="Y31" s="1007"/>
      <c r="Z31" s="852"/>
      <c r="AA31" s="855"/>
      <c r="AB31" s="855"/>
      <c r="AC31" s="855"/>
      <c r="AD31" s="852"/>
    </row>
    <row customHeight="1" ht="36">
      <c r="A32" s="851"/>
      <c r="B32" s="905">
        <v>15</v>
      </c>
      <c r="C32" s="849" t="s">
        <v>1974</v>
      </c>
      <c r="D32" s="974"/>
      <c r="E32" s="849"/>
      <c r="F32" s="849"/>
      <c r="G32" s="897"/>
      <c r="H32" s="965"/>
      <c r="I32" s="1012" t="str">
        <f>INDEX(TEMPLATE_NUMBER_POINT_FHD,B32,MATCH(TEMPLATE_SPHERE,TEMPLATE_SPHERE_LIST_FOR_NOTE,0))</f>
        <v>2.6.2</v>
      </c>
      <c r="J32" s="1012"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12">
        <f>INDEX(TEMPLATE_NOTE_POINT_FHD,B32,MATCH(TEMPLATE_SPHERE,TEMPLATE_SPHERE_LIST_FOR_NOTE,0))</f>
        <v>0</v>
      </c>
      <c r="L32" s="850" t="str">
        <f>IF(I32=0,"",I32)</f>
        <v>2.6.2</v>
      </c>
      <c r="M32" s="850" t="str">
        <f>IF(J32=0,"",J32)</f>
        <v>Страховые взносы на обязательное социальное страхование, выплачиваемые из фонда оплаты труда основного производственного персонала</v>
      </c>
      <c r="N32" s="850" t="str">
        <f>IF(K32=0,"",K32)</f>
        <v/>
      </c>
      <c r="O32" s="964" t="s">
        <v>1975</v>
      </c>
      <c r="P32" s="964" t="s">
        <v>635</v>
      </c>
      <c r="Q32" s="964" t="s">
        <v>1975</v>
      </c>
      <c r="R32" s="964" t="s">
        <v>635</v>
      </c>
      <c r="S32" s="964"/>
      <c r="T32" s="973" t="s">
        <v>1976</v>
      </c>
      <c r="U32" s="852" t="s">
        <v>1976</v>
      </c>
      <c r="V32" s="852" t="s">
        <v>1976</v>
      </c>
      <c r="W32" s="852" t="s">
        <v>1976</v>
      </c>
      <c r="X32" s="849"/>
      <c r="Y32" s="1007"/>
      <c r="Z32" s="852"/>
      <c r="AA32" s="855"/>
      <c r="AB32" s="855"/>
      <c r="AC32" s="855"/>
      <c r="AD32" s="852"/>
    </row>
    <row customHeight="1" ht="45">
      <c r="A33" s="851"/>
      <c r="B33" s="905">
        <v>16</v>
      </c>
      <c r="C33" s="849">
        <v>10</v>
      </c>
      <c r="D33" s="974"/>
      <c r="E33" s="849"/>
      <c r="F33" s="849"/>
      <c r="G33" s="897"/>
      <c r="H33" s="965"/>
      <c r="I33" s="1012" t="str">
        <f>INDEX(TEMPLATE_NUMBER_POINT_FHD,B33,MATCH(TEMPLATE_SPHERE,TEMPLATE_SPHERE_LIST_FOR_NOTE,0))</f>
        <v>2.7</v>
      </c>
      <c r="J33" s="1012"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12">
        <f>INDEX(TEMPLATE_NOTE_POINT_FHD,B33,MATCH(TEMPLATE_SPHERE,TEMPLATE_SPHERE_LIST_FOR_NOTE,0))</f>
        <v>0</v>
      </c>
      <c r="L33" s="850" t="str">
        <f>IF(I33=0,"",I33)</f>
        <v>2.7</v>
      </c>
      <c r="M33" s="850"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50" t="str">
        <f>IF(K33=0,"",K33)</f>
        <v/>
      </c>
      <c r="O33" s="964" t="s">
        <v>641</v>
      </c>
      <c r="P33" s="964" t="s">
        <v>637</v>
      </c>
      <c r="Q33" s="964" t="s">
        <v>641</v>
      </c>
      <c r="R33" s="964" t="s">
        <v>637</v>
      </c>
      <c r="S33" s="964"/>
      <c r="T33" s="972" t="s">
        <v>1977</v>
      </c>
      <c r="U33" s="852" t="s">
        <v>1977</v>
      </c>
      <c r="V33" s="852" t="s">
        <v>1977</v>
      </c>
      <c r="W33" s="852" t="s">
        <v>1978</v>
      </c>
      <c r="X33" s="849"/>
      <c r="Y33" s="1007"/>
      <c r="Z33" s="852"/>
      <c r="AA33" s="855" t="s">
        <v>1979</v>
      </c>
      <c r="AB33" s="855" t="s">
        <v>1979</v>
      </c>
      <c r="AC33" s="855" t="s">
        <v>1979</v>
      </c>
      <c r="AD33" s="852"/>
    </row>
    <row customHeight="1" ht="27">
      <c r="A34" s="851"/>
      <c r="B34" s="905">
        <v>17</v>
      </c>
      <c r="C34" s="849" t="s">
        <v>1980</v>
      </c>
      <c r="D34" s="974"/>
      <c r="E34" s="849"/>
      <c r="F34" s="849"/>
      <c r="G34" s="897"/>
      <c r="H34" s="965"/>
      <c r="I34" s="1012" t="str">
        <f>INDEX(TEMPLATE_NUMBER_POINT_FHD,B34,MATCH(TEMPLATE_SPHERE,TEMPLATE_SPHERE_LIST_FOR_NOTE,0))</f>
        <v>2.7.1</v>
      </c>
      <c r="J34" s="1012" t="str">
        <f>INDEX(TEMPLATE_DATA_POINT_FHD,B34,MATCH(TEMPLATE_SPHERE,TEMPLATE_SPHERE_LIST_FOR_NOTE,0))</f>
        <v>Расходы на оплату труда административно-управленческого персонала</v>
      </c>
      <c r="K34" s="1012">
        <f>INDEX(TEMPLATE_NOTE_POINT_FHD,B34,MATCH(TEMPLATE_SPHERE,TEMPLATE_SPHERE_LIST_FOR_NOTE,0))</f>
        <v>0</v>
      </c>
      <c r="L34" s="850" t="str">
        <f>IF(I34=0,"",I34)</f>
        <v>2.7.1</v>
      </c>
      <c r="M34" s="850" t="str">
        <f>IF(J34=0,"",J34)</f>
        <v>Расходы на оплату труда административно-управленческого персонала</v>
      </c>
      <c r="N34" s="850" t="str">
        <f>IF(K34=0,"",K34)</f>
        <v/>
      </c>
      <c r="O34" s="964" t="s">
        <v>1981</v>
      </c>
      <c r="P34" s="964" t="s">
        <v>1962</v>
      </c>
      <c r="Q34" s="964" t="s">
        <v>1981</v>
      </c>
      <c r="R34" s="964" t="s">
        <v>1962</v>
      </c>
      <c r="S34" s="964"/>
      <c r="T34" s="973" t="s">
        <v>1982</v>
      </c>
      <c r="U34" s="852" t="s">
        <v>1982</v>
      </c>
      <c r="V34" s="852" t="s">
        <v>1982</v>
      </c>
      <c r="W34" s="852" t="s">
        <v>1983</v>
      </c>
      <c r="X34" s="849"/>
      <c r="Y34" s="1007"/>
      <c r="Z34" s="852"/>
      <c r="AA34" s="855"/>
      <c r="AB34" s="852"/>
      <c r="AC34" s="852"/>
      <c r="AD34" s="852"/>
    </row>
    <row customHeight="1" ht="45">
      <c r="A35" s="851"/>
      <c r="B35" s="905">
        <v>18</v>
      </c>
      <c r="C35" s="849" t="s">
        <v>1984</v>
      </c>
      <c r="D35" s="974"/>
      <c r="E35" s="849"/>
      <c r="F35" s="849"/>
      <c r="G35" s="897"/>
      <c r="H35" s="965"/>
      <c r="I35" s="1012" t="str">
        <f>INDEX(TEMPLATE_NUMBER_POINT_FHD,B35,MATCH(TEMPLATE_SPHERE,TEMPLATE_SPHERE_LIST_FOR_NOTE,0))</f>
        <v>2.7.2</v>
      </c>
      <c r="J35" s="1012"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12">
        <f>INDEX(TEMPLATE_NOTE_POINT_FHD,B35,MATCH(TEMPLATE_SPHERE,TEMPLATE_SPHERE_LIST_FOR_NOTE,0))</f>
        <v>0</v>
      </c>
      <c r="L35" s="850" t="str">
        <f>IF(I35=0,"",I35)</f>
        <v>2.7.2</v>
      </c>
      <c r="M35" s="850"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50" t="str">
        <f>IF(K35=0,"",K35)</f>
        <v/>
      </c>
      <c r="O35" s="964" t="s">
        <v>1985</v>
      </c>
      <c r="P35" s="964" t="s">
        <v>1965</v>
      </c>
      <c r="Q35" s="964" t="s">
        <v>1985</v>
      </c>
      <c r="R35" s="964" t="s">
        <v>1965</v>
      </c>
      <c r="S35" s="964"/>
      <c r="T35" s="971" t="s">
        <v>1986</v>
      </c>
      <c r="U35" s="852" t="s">
        <v>1986</v>
      </c>
      <c r="V35" s="852" t="s">
        <v>1986</v>
      </c>
      <c r="W35" s="852" t="s">
        <v>1986</v>
      </c>
      <c r="X35" s="849"/>
      <c r="Y35" s="1007"/>
      <c r="Z35" s="852"/>
      <c r="AA35" s="855"/>
      <c r="AB35" s="852"/>
      <c r="AC35" s="852"/>
      <c r="AD35" s="852"/>
    </row>
    <row customHeight="1" ht="18">
      <c r="A36" s="851"/>
      <c r="B36" s="905">
        <v>19</v>
      </c>
      <c r="C36" s="849">
        <v>11</v>
      </c>
      <c r="D36" s="974"/>
      <c r="E36" s="849"/>
      <c r="F36" s="849"/>
      <c r="G36" s="897"/>
      <c r="H36" s="965"/>
      <c r="I36" s="1012" t="str">
        <f>INDEX(TEMPLATE_NUMBER_POINT_FHD,B36,MATCH(TEMPLATE_SPHERE,TEMPLATE_SPHERE_LIST_FOR_NOTE,0))</f>
        <v>2.8</v>
      </c>
      <c r="J36" s="1012" t="str">
        <f>INDEX(TEMPLATE_DATA_POINT_FHD,B36,MATCH(TEMPLATE_SPHERE,TEMPLATE_SPHERE_LIST_FOR_NOTE,0))</f>
        <v>Расходы на амортизацию основных средств и нематериальных активов</v>
      </c>
      <c r="K36" s="1012">
        <f>INDEX(TEMPLATE_NOTE_POINT_FHD,B36,MATCH(TEMPLATE_SPHERE,TEMPLATE_SPHERE_LIST_FOR_NOTE,0))</f>
        <v>0</v>
      </c>
      <c r="L36" s="850" t="str">
        <f>IF(I36=0,"",I36)</f>
        <v>2.8</v>
      </c>
      <c r="M36" s="850" t="str">
        <f>IF(J36=0,"",J36)</f>
        <v>Расходы на амортизацию основных средств и нематериальных активов</v>
      </c>
      <c r="N36" s="850" t="str">
        <f>IF(K36=0,"",K36)</f>
        <v/>
      </c>
      <c r="O36" s="964" t="s">
        <v>643</v>
      </c>
      <c r="P36" s="964" t="s">
        <v>639</v>
      </c>
      <c r="Q36" s="964" t="s">
        <v>643</v>
      </c>
      <c r="R36" s="964" t="s">
        <v>639</v>
      </c>
      <c r="S36" s="964"/>
      <c r="T36" s="971" t="s">
        <v>1987</v>
      </c>
      <c r="U36" s="852" t="s">
        <v>1987</v>
      </c>
      <c r="V36" s="852" t="s">
        <v>1987</v>
      </c>
      <c r="W36" s="852" t="s">
        <v>1987</v>
      </c>
      <c r="X36" s="849"/>
      <c r="Y36" s="1007"/>
      <c r="Z36" s="852"/>
      <c r="AA36" s="855"/>
      <c r="AB36" s="852"/>
      <c r="AC36" s="852"/>
      <c r="AD36" s="852"/>
    </row>
    <row customHeight="1" ht="18">
      <c r="A37" s="851"/>
      <c r="B37" s="905">
        <v>20</v>
      </c>
      <c r="C37" s="849" t="s">
        <v>1988</v>
      </c>
      <c r="D37" s="974"/>
      <c r="E37" s="849"/>
      <c r="F37" s="849"/>
      <c r="G37" s="897"/>
      <c r="H37" s="965"/>
      <c r="I37" s="1012" t="str">
        <f>INDEX(TEMPLATE_NUMBER_POINT_FHD,B37,MATCH(TEMPLATE_SPHERE,TEMPLATE_SPHERE_LIST_FOR_NOTE,0))</f>
        <v>2.8.1</v>
      </c>
      <c r="J37" s="1012" t="str">
        <f>INDEX(TEMPLATE_DATA_POINT_FHD,B37,MATCH(TEMPLATE_SPHERE,TEMPLATE_SPHERE_LIST_FOR_NOTE,0))</f>
        <v>Расходы на амортизацию основных средств</v>
      </c>
      <c r="K37" s="1012">
        <f>INDEX(TEMPLATE_NOTE_POINT_FHD,B37,MATCH(TEMPLATE_SPHERE,TEMPLATE_SPHERE_LIST_FOR_NOTE,0))</f>
        <v>0</v>
      </c>
      <c r="L37" s="850" t="str">
        <f>IF(I37=0,"",I37)</f>
        <v>2.8.1</v>
      </c>
      <c r="M37" s="850" t="str">
        <f>IF(J37=0,"",J37)</f>
        <v>Расходы на амортизацию основных средств</v>
      </c>
      <c r="N37" s="850" t="str">
        <f>IF(K37=0,"",K37)</f>
        <v/>
      </c>
      <c r="O37" s="964" t="s">
        <v>1989</v>
      </c>
      <c r="P37" s="964" t="s">
        <v>1972</v>
      </c>
      <c r="Q37" s="964" t="s">
        <v>1989</v>
      </c>
      <c r="R37" s="964" t="s">
        <v>1972</v>
      </c>
      <c r="S37" s="964"/>
      <c r="T37" s="971" t="s">
        <v>1990</v>
      </c>
      <c r="U37" s="852" t="s">
        <v>1990</v>
      </c>
      <c r="V37" s="852" t="s">
        <v>1990</v>
      </c>
      <c r="W37" s="852" t="s">
        <v>1990</v>
      </c>
      <c r="X37" s="849"/>
      <c r="Y37" s="1007"/>
      <c r="Z37" s="852"/>
      <c r="AA37" s="855"/>
      <c r="AB37" s="852"/>
      <c r="AC37" s="852"/>
      <c r="AD37" s="852"/>
    </row>
    <row customHeight="1" ht="18">
      <c r="A38" s="851"/>
      <c r="B38" s="905">
        <v>21</v>
      </c>
      <c r="C38" s="849" t="s">
        <v>1991</v>
      </c>
      <c r="D38" s="974"/>
      <c r="E38" s="849"/>
      <c r="F38" s="849"/>
      <c r="G38" s="897"/>
      <c r="H38" s="965"/>
      <c r="I38" s="1012" t="str">
        <f>INDEX(TEMPLATE_NUMBER_POINT_FHD,B38,MATCH(TEMPLATE_SPHERE,TEMPLATE_SPHERE_LIST_FOR_NOTE,0))</f>
        <v>2.8.2</v>
      </c>
      <c r="J38" s="1012" t="str">
        <f>INDEX(TEMPLATE_DATA_POINT_FHD,B38,MATCH(TEMPLATE_SPHERE,TEMPLATE_SPHERE_LIST_FOR_NOTE,0))</f>
        <v>Расходы на амортизацию нематериальных активов</v>
      </c>
      <c r="K38" s="1012">
        <f>INDEX(TEMPLATE_NOTE_POINT_FHD,B38,MATCH(TEMPLATE_SPHERE,TEMPLATE_SPHERE_LIST_FOR_NOTE,0))</f>
        <v>0</v>
      </c>
      <c r="L38" s="850" t="str">
        <f>IF(I38=0,"",I38)</f>
        <v>2.8.2</v>
      </c>
      <c r="M38" s="850" t="str">
        <f>IF(J38=0,"",J38)</f>
        <v>Расходы на амортизацию нематериальных активов</v>
      </c>
      <c r="N38" s="850" t="str">
        <f>IF(K38=0,"",K38)</f>
        <v/>
      </c>
      <c r="O38" s="964" t="s">
        <v>1992</v>
      </c>
      <c r="P38" s="964" t="s">
        <v>1975</v>
      </c>
      <c r="Q38" s="964" t="s">
        <v>1992</v>
      </c>
      <c r="R38" s="964" t="s">
        <v>1975</v>
      </c>
      <c r="S38" s="964"/>
      <c r="T38" s="971" t="s">
        <v>1993</v>
      </c>
      <c r="U38" s="852" t="s">
        <v>1993</v>
      </c>
      <c r="V38" s="852" t="s">
        <v>1993</v>
      </c>
      <c r="W38" s="852" t="s">
        <v>1993</v>
      </c>
      <c r="X38" s="849"/>
      <c r="Y38" s="1007"/>
      <c r="Z38" s="852"/>
      <c r="AA38" s="855"/>
      <c r="AB38" s="852"/>
      <c r="AC38" s="852"/>
      <c r="AD38" s="852"/>
    </row>
    <row customHeight="1" ht="36">
      <c r="A39" s="851"/>
      <c r="B39" s="905">
        <v>22</v>
      </c>
      <c r="C39" s="849">
        <v>12</v>
      </c>
      <c r="D39" s="974"/>
      <c r="E39" s="849"/>
      <c r="F39" s="849"/>
      <c r="G39" s="897"/>
      <c r="H39" s="965"/>
      <c r="I39" s="1012" t="str">
        <f>INDEX(TEMPLATE_NUMBER_POINT_FHD,B39,MATCH(TEMPLATE_SPHERE,TEMPLATE_SPHERE_LIST_FOR_NOTE,0))</f>
        <v>2.9</v>
      </c>
      <c r="J39" s="1012" t="str">
        <f>INDEX(TEMPLATE_DATA_POINT_FHD,B39,MATCH(TEMPLATE_SPHERE,TEMPLATE_SPHERE_LIST_FOR_NOTE,0))</f>
        <v>Расходы на аренду имущества, используемого для осуществления регулируемого вида деятельности</v>
      </c>
      <c r="K39" s="1012">
        <f>INDEX(TEMPLATE_NOTE_POINT_FHD,B39,MATCH(TEMPLATE_SPHERE,TEMPLATE_SPHERE_LIST_FOR_NOTE,0))</f>
        <v>0</v>
      </c>
      <c r="L39" s="850" t="str">
        <f>IF(I39=0,"",I39)</f>
        <v>2.9</v>
      </c>
      <c r="M39" s="850" t="str">
        <f>IF(J39=0,"",J39)</f>
        <v>Расходы на аренду имущества, используемого для осуществления регулируемого вида деятельности</v>
      </c>
      <c r="N39" s="850" t="str">
        <f>IF(K39=0,"",K39)</f>
        <v/>
      </c>
      <c r="O39" s="964" t="s">
        <v>647</v>
      </c>
      <c r="P39" s="964" t="s">
        <v>641</v>
      </c>
      <c r="Q39" s="964" t="s">
        <v>647</v>
      </c>
      <c r="R39" s="964" t="s">
        <v>641</v>
      </c>
      <c r="S39" s="964"/>
      <c r="T39" s="971" t="s">
        <v>1994</v>
      </c>
      <c r="U39" s="852" t="s">
        <v>1995</v>
      </c>
      <c r="V39" s="852" t="s">
        <v>1996</v>
      </c>
      <c r="W39" s="852" t="s">
        <v>1997</v>
      </c>
      <c r="X39" s="849"/>
      <c r="Y39" s="1007"/>
      <c r="Z39" s="852"/>
      <c r="AA39" s="855"/>
      <c r="AB39" s="852"/>
      <c r="AC39" s="852"/>
      <c r="AD39" s="852"/>
    </row>
    <row customHeight="1" ht="18">
      <c r="A40" s="851"/>
      <c r="B40" s="905">
        <v>23</v>
      </c>
      <c r="C40" s="849">
        <v>13</v>
      </c>
      <c r="D40" s="974"/>
      <c r="E40" s="849"/>
      <c r="F40" s="849"/>
      <c r="G40" s="849"/>
      <c r="H40" s="900"/>
      <c r="I40" s="1012" t="str">
        <f>INDEX(TEMPLATE_NUMBER_POINT_FHD,B40,MATCH(TEMPLATE_SPHERE,TEMPLATE_SPHERE_LIST_FOR_NOTE,0))</f>
        <v>2.10</v>
      </c>
      <c r="J40" s="1012" t="str">
        <f>INDEX(TEMPLATE_DATA_POINT_FHD,B40,MATCH(TEMPLATE_SPHERE,TEMPLATE_SPHERE_LIST_FOR_NOTE,0))</f>
        <v>Общепроизводственные расходы, в том числе:</v>
      </c>
      <c r="K40" s="1012" t="str">
        <f>INDEX(TEMPLATE_NOTE_POINT_FHD,B40,MATCH(TEMPLATE_SPHERE,TEMPLATE_SPHERE_LIST_FOR_NOTE,0))</f>
        <v>Указывается общая сумма общепроизводственных расходов.</v>
      </c>
      <c r="L40" s="850" t="str">
        <f>IF(I40=0,"",I40)</f>
        <v>2.10</v>
      </c>
      <c r="M40" s="850" t="str">
        <f>IF(J40=0,"",J40)</f>
        <v>Общепроизводственные расходы, в том числе:</v>
      </c>
      <c r="N40" s="850" t="str">
        <f>IF(K40=0,"",K40)</f>
        <v>Указывается общая сумма общепроизводственных расходов.</v>
      </c>
      <c r="O40" s="964" t="s">
        <v>1998</v>
      </c>
      <c r="P40" s="964" t="s">
        <v>643</v>
      </c>
      <c r="Q40" s="964" t="s">
        <v>1998</v>
      </c>
      <c r="R40" s="964" t="s">
        <v>643</v>
      </c>
      <c r="S40" s="964"/>
      <c r="T40" s="849" t="s">
        <v>1999</v>
      </c>
      <c r="U40" s="849" t="s">
        <v>1999</v>
      </c>
      <c r="V40" s="849" t="s">
        <v>1999</v>
      </c>
      <c r="W40" s="849" t="s">
        <v>1999</v>
      </c>
      <c r="X40" s="849"/>
      <c r="Y40" s="1007"/>
      <c r="Z40" s="852" t="s">
        <v>2000</v>
      </c>
      <c r="AA40" s="855" t="s">
        <v>2000</v>
      </c>
      <c r="AB40" s="855" t="s">
        <v>2000</v>
      </c>
      <c r="AC40" s="855" t="s">
        <v>2000</v>
      </c>
      <c r="AD40" s="852"/>
    </row>
    <row customHeight="1" ht="27">
      <c r="A41" s="851"/>
      <c r="B41" s="905">
        <v>24</v>
      </c>
      <c r="C41" s="849" t="s">
        <v>2001</v>
      </c>
      <c r="D41" s="974"/>
      <c r="E41" s="849"/>
      <c r="F41" s="849"/>
      <c r="G41" s="849"/>
      <c r="H41" s="897"/>
      <c r="I41" s="1012" t="str">
        <f>INDEX(TEMPLATE_NUMBER_POINT_FHD,B41,MATCH(TEMPLATE_SPHERE,TEMPLATE_SPHERE_LIST_FOR_NOTE,0))</f>
        <v>2.10.1</v>
      </c>
      <c r="J41" s="1012" t="str">
        <f>INDEX(TEMPLATE_DATA_POINT_FHD,B41,MATCH(TEMPLATE_SPHERE,TEMPLATE_SPHERE_LIST_FOR_NOTE,0))</f>
        <v>Расходы на текущий ремонт</v>
      </c>
      <c r="K41" s="1012" t="str">
        <f>INDEX(TEMPLATE_NOTE_POINT_FHD,B41,MATCH(TEMPLATE_SPHERE,TEMPLATE_SPHERE_LIST_FOR_NOTE,0))</f>
        <v>Указываются расходы на текущий ремонт, отнесенные к общепроизводственным расходам.</v>
      </c>
      <c r="L41" s="850" t="str">
        <f>IF(I41=0,"",I41)</f>
        <v>2.10.1</v>
      </c>
      <c r="M41" s="850" t="str">
        <f>IF(J41=0,"",J41)</f>
        <v>Расходы на текущий ремонт</v>
      </c>
      <c r="N41" s="850" t="str">
        <f>IF(K41=0,"",K41)</f>
        <v>Указываются расходы на текущий ремонт, отнесенные к общепроизводственным расходам.</v>
      </c>
      <c r="O41" s="964" t="s">
        <v>2002</v>
      </c>
      <c r="P41" s="964" t="s">
        <v>1989</v>
      </c>
      <c r="Q41" s="964" t="s">
        <v>2002</v>
      </c>
      <c r="R41" s="964" t="s">
        <v>1989</v>
      </c>
      <c r="S41" s="964"/>
      <c r="T41" s="849" t="s">
        <v>2003</v>
      </c>
      <c r="U41" s="849" t="s">
        <v>2003</v>
      </c>
      <c r="V41" s="849" t="s">
        <v>2003</v>
      </c>
      <c r="W41" s="849" t="s">
        <v>2003</v>
      </c>
      <c r="X41" s="849"/>
      <c r="Y41" s="1007"/>
      <c r="Z41" s="852" t="s">
        <v>2004</v>
      </c>
      <c r="AA41" s="852" t="s">
        <v>2004</v>
      </c>
      <c r="AB41" s="852" t="s">
        <v>2004</v>
      </c>
      <c r="AC41" s="852" t="s">
        <v>2004</v>
      </c>
      <c r="AD41" s="852"/>
    </row>
    <row customHeight="1" ht="27">
      <c r="A42" s="851"/>
      <c r="B42" s="905">
        <v>25</v>
      </c>
      <c r="C42" s="849" t="s">
        <v>2005</v>
      </c>
      <c r="D42" s="974"/>
      <c r="E42" s="849"/>
      <c r="F42" s="849"/>
      <c r="G42" s="849"/>
      <c r="H42" s="897"/>
      <c r="I42" s="1012" t="str">
        <f>INDEX(TEMPLATE_NUMBER_POINT_FHD,B42,MATCH(TEMPLATE_SPHERE,TEMPLATE_SPHERE_LIST_FOR_NOTE,0))</f>
        <v>2.10.2</v>
      </c>
      <c r="J42" s="1012" t="str">
        <f>INDEX(TEMPLATE_DATA_POINT_FHD,B42,MATCH(TEMPLATE_SPHERE,TEMPLATE_SPHERE_LIST_FOR_NOTE,0))</f>
        <v>Расходы на капитальный ремонт</v>
      </c>
      <c r="K42" s="1012" t="str">
        <f>INDEX(TEMPLATE_NOTE_POINT_FHD,B42,MATCH(TEMPLATE_SPHERE,TEMPLATE_SPHERE_LIST_FOR_NOTE,0))</f>
        <v>Указываются расходы на капитальный ремонт, отнесенные к общепроизводственным расходам.</v>
      </c>
      <c r="L42" s="850" t="str">
        <f>IF(I42=0,"",I42)</f>
        <v>2.10.2</v>
      </c>
      <c r="M42" s="850" t="str">
        <f>IF(J42=0,"",J42)</f>
        <v>Расходы на капитальный ремонт</v>
      </c>
      <c r="N42" s="850" t="str">
        <f>IF(K42=0,"",K42)</f>
        <v>Указываются расходы на капитальный ремонт, отнесенные к общепроизводственным расходам.</v>
      </c>
      <c r="O42" s="964" t="s">
        <v>2006</v>
      </c>
      <c r="P42" s="964" t="s">
        <v>1992</v>
      </c>
      <c r="Q42" s="964" t="s">
        <v>2006</v>
      </c>
      <c r="R42" s="964" t="s">
        <v>1992</v>
      </c>
      <c r="S42" s="964"/>
      <c r="T42" s="849" t="s">
        <v>2007</v>
      </c>
      <c r="U42" s="849" t="s">
        <v>2007</v>
      </c>
      <c r="V42" s="849" t="s">
        <v>2007</v>
      </c>
      <c r="W42" s="849" t="s">
        <v>2007</v>
      </c>
      <c r="X42" s="849"/>
      <c r="Y42" s="1007"/>
      <c r="Z42" s="852" t="s">
        <v>2008</v>
      </c>
      <c r="AA42" s="852" t="s">
        <v>2008</v>
      </c>
      <c r="AB42" s="852" t="s">
        <v>2008</v>
      </c>
      <c r="AC42" s="852" t="s">
        <v>2008</v>
      </c>
      <c r="AD42" s="852"/>
    </row>
    <row customHeight="1" ht="18">
      <c r="A43" s="851"/>
      <c r="B43" s="905">
        <v>26</v>
      </c>
      <c r="C43" s="849">
        <v>14</v>
      </c>
      <c r="D43" s="974"/>
      <c r="E43" s="849"/>
      <c r="F43" s="849"/>
      <c r="G43" s="849"/>
      <c r="H43" s="897"/>
      <c r="I43" s="1012" t="str">
        <f>INDEX(TEMPLATE_NUMBER_POINT_FHD,B43,MATCH(TEMPLATE_SPHERE,TEMPLATE_SPHERE_LIST_FOR_NOTE,0))</f>
        <v>2.11</v>
      </c>
      <c r="J43" s="1012" t="str">
        <f>INDEX(TEMPLATE_DATA_POINT_FHD,B43,MATCH(TEMPLATE_SPHERE,TEMPLATE_SPHERE_LIST_FOR_NOTE,0))</f>
        <v>Общехозяйственные расходы, в том числе:</v>
      </c>
      <c r="K43" s="1012" t="str">
        <f>INDEX(TEMPLATE_NOTE_POINT_FHD,B43,MATCH(TEMPLATE_SPHERE,TEMPLATE_SPHERE_LIST_FOR_NOTE,0))</f>
        <v>Указывается общая сумма общехозяйственных расходов.</v>
      </c>
      <c r="L43" s="850" t="str">
        <f>IF(I43=0,"",I43)</f>
        <v>2.11</v>
      </c>
      <c r="M43" s="850" t="str">
        <f>IF(J43=0,"",J43)</f>
        <v>Общехозяйственные расходы, в том числе:</v>
      </c>
      <c r="N43" s="850" t="str">
        <f>IF(K43=0,"",K43)</f>
        <v>Указывается общая сумма общехозяйственных расходов.</v>
      </c>
      <c r="O43" s="964" t="s">
        <v>2009</v>
      </c>
      <c r="P43" s="964" t="s">
        <v>647</v>
      </c>
      <c r="Q43" s="964" t="s">
        <v>2009</v>
      </c>
      <c r="R43" s="964" t="s">
        <v>647</v>
      </c>
      <c r="S43" s="964"/>
      <c r="T43" s="849" t="s">
        <v>2010</v>
      </c>
      <c r="U43" s="849" t="s">
        <v>2010</v>
      </c>
      <c r="V43" s="849" t="s">
        <v>2010</v>
      </c>
      <c r="W43" s="849" t="s">
        <v>2010</v>
      </c>
      <c r="X43" s="849"/>
      <c r="Y43" s="1007"/>
      <c r="Z43" s="852" t="s">
        <v>2011</v>
      </c>
      <c r="AA43" s="852" t="s">
        <v>2011</v>
      </c>
      <c r="AB43" s="852" t="s">
        <v>2011</v>
      </c>
      <c r="AC43" s="852" t="s">
        <v>2011</v>
      </c>
      <c r="AD43" s="852"/>
    </row>
    <row customHeight="1" ht="27">
      <c r="A44" s="851"/>
      <c r="B44" s="905">
        <v>27</v>
      </c>
      <c r="C44" s="849" t="s">
        <v>2012</v>
      </c>
      <c r="D44" s="974"/>
      <c r="E44" s="849"/>
      <c r="F44" s="849"/>
      <c r="G44" s="849"/>
      <c r="H44" s="897"/>
      <c r="I44" s="1012" t="str">
        <f>INDEX(TEMPLATE_NUMBER_POINT_FHD,B44,MATCH(TEMPLATE_SPHERE,TEMPLATE_SPHERE_LIST_FOR_NOTE,0))</f>
        <v>2.11.1</v>
      </c>
      <c r="J44" s="1012" t="str">
        <f>INDEX(TEMPLATE_DATA_POINT_FHD,B44,MATCH(TEMPLATE_SPHERE,TEMPLATE_SPHERE_LIST_FOR_NOTE,0))</f>
        <v>Расходы на текущий ремонт</v>
      </c>
      <c r="K44" s="1012" t="str">
        <f>INDEX(TEMPLATE_NOTE_POINT_FHD,B44,MATCH(TEMPLATE_SPHERE,TEMPLATE_SPHERE_LIST_FOR_NOTE,0))</f>
        <v>Указываются расходы на текущий ремонт, отнесенные к общехозяйственным расходам.</v>
      </c>
      <c r="L44" s="850" t="str">
        <f>IF(I44=0,"",I44)</f>
        <v>2.11.1</v>
      </c>
      <c r="M44" s="850" t="str">
        <f>IF(J44=0,"",J44)</f>
        <v>Расходы на текущий ремонт</v>
      </c>
      <c r="N44" s="850" t="str">
        <f>IF(K44=0,"",K44)</f>
        <v>Указываются расходы на текущий ремонт, отнесенные к общехозяйственным расходам.</v>
      </c>
      <c r="O44" s="964" t="s">
        <v>2013</v>
      </c>
      <c r="P44" s="964" t="s">
        <v>2014</v>
      </c>
      <c r="Q44" s="964" t="s">
        <v>2013</v>
      </c>
      <c r="R44" s="964" t="s">
        <v>2014</v>
      </c>
      <c r="S44" s="964"/>
      <c r="T44" s="849" t="s">
        <v>2003</v>
      </c>
      <c r="U44" s="849" t="s">
        <v>2003</v>
      </c>
      <c r="V44" s="849" t="s">
        <v>2003</v>
      </c>
      <c r="W44" s="849" t="s">
        <v>2003</v>
      </c>
      <c r="X44" s="849"/>
      <c r="Y44" s="1007"/>
      <c r="Z44" s="852" t="s">
        <v>2015</v>
      </c>
      <c r="AA44" s="852" t="s">
        <v>2015</v>
      </c>
      <c r="AB44" s="852" t="s">
        <v>2015</v>
      </c>
      <c r="AC44" s="852" t="s">
        <v>2015</v>
      </c>
      <c r="AD44" s="852"/>
    </row>
    <row customHeight="1" ht="27">
      <c r="A45" s="851"/>
      <c r="B45" s="905">
        <v>28</v>
      </c>
      <c r="C45" s="849" t="s">
        <v>2016</v>
      </c>
      <c r="D45" s="974"/>
      <c r="E45" s="849"/>
      <c r="F45" s="849"/>
      <c r="G45" s="849"/>
      <c r="H45" s="897"/>
      <c r="I45" s="1012" t="str">
        <f>INDEX(TEMPLATE_NUMBER_POINT_FHD,B45,MATCH(TEMPLATE_SPHERE,TEMPLATE_SPHERE_LIST_FOR_NOTE,0))</f>
        <v>2.11.2</v>
      </c>
      <c r="J45" s="1012" t="str">
        <f>INDEX(TEMPLATE_DATA_POINT_FHD,B45,MATCH(TEMPLATE_SPHERE,TEMPLATE_SPHERE_LIST_FOR_NOTE,0))</f>
        <v>Расходы на капитальный ремонт</v>
      </c>
      <c r="K45" s="1012" t="str">
        <f>INDEX(TEMPLATE_NOTE_POINT_FHD,B45,MATCH(TEMPLATE_SPHERE,TEMPLATE_SPHERE_LIST_FOR_NOTE,0))</f>
        <v>Указываются расходы на капитальный ремонт, отнесенные к общехозяйственным расходам.</v>
      </c>
      <c r="L45" s="850" t="str">
        <f>IF(I45=0,"",I45)</f>
        <v>2.11.2</v>
      </c>
      <c r="M45" s="850" t="str">
        <f>IF(J45=0,"",J45)</f>
        <v>Расходы на капитальный ремонт</v>
      </c>
      <c r="N45" s="850" t="str">
        <f>IF(K45=0,"",K45)</f>
        <v>Указываются расходы на капитальный ремонт, отнесенные к общехозяйственным расходам.</v>
      </c>
      <c r="O45" s="964" t="s">
        <v>2017</v>
      </c>
      <c r="P45" s="964" t="s">
        <v>2018</v>
      </c>
      <c r="Q45" s="964" t="s">
        <v>2017</v>
      </c>
      <c r="R45" s="964" t="s">
        <v>2018</v>
      </c>
      <c r="S45" s="964"/>
      <c r="T45" s="849" t="s">
        <v>2007</v>
      </c>
      <c r="U45" s="849" t="s">
        <v>2007</v>
      </c>
      <c r="V45" s="849" t="s">
        <v>2007</v>
      </c>
      <c r="W45" s="849" t="s">
        <v>2007</v>
      </c>
      <c r="X45" s="849"/>
      <c r="Y45" s="1007"/>
      <c r="Z45" s="852" t="s">
        <v>2019</v>
      </c>
      <c r="AA45" s="852" t="s">
        <v>2019</v>
      </c>
      <c r="AB45" s="852" t="s">
        <v>2019</v>
      </c>
      <c r="AC45" s="852" t="s">
        <v>2019</v>
      </c>
      <c r="AD45" s="852"/>
    </row>
    <row customHeight="1" ht="54">
      <c r="A46" s="851"/>
      <c r="B46" s="905">
        <v>29</v>
      </c>
      <c r="C46" s="849">
        <v>15</v>
      </c>
      <c r="D46" s="974"/>
      <c r="E46" s="849"/>
      <c r="F46" s="849"/>
      <c r="G46" s="849"/>
      <c r="H46" s="897"/>
      <c r="I46" s="1012" t="str">
        <f>INDEX(TEMPLATE_NUMBER_POINT_FHD,B46,MATCH(TEMPLATE_SPHERE,TEMPLATE_SPHERE_LIST_FOR_NOTE,0))</f>
        <v>2.12</v>
      </c>
      <c r="J46" s="1012" t="str">
        <f>INDEX(TEMPLATE_DATA_POINT_FHD,B46,MATCH(TEMPLATE_SPHERE,TEMPLATE_SPHERE_LIST_FOR_NOTE,0))</f>
        <v>Расходы на капитальный и текущий ремонт основных средств</v>
      </c>
      <c r="K46" s="1012"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50" t="str">
        <f>IF(I46=0,"",I46)</f>
        <v>2.12</v>
      </c>
      <c r="M46" s="850" t="str">
        <f>IF(J46=0,"",J46)</f>
        <v>Расходы на капитальный и текущий ремонт основных средств</v>
      </c>
      <c r="N46" s="850"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64" t="s">
        <v>2020</v>
      </c>
      <c r="P46" s="964" t="s">
        <v>1998</v>
      </c>
      <c r="Q46" s="964" t="s">
        <v>2020</v>
      </c>
      <c r="R46" s="964" t="s">
        <v>1998</v>
      </c>
      <c r="S46" s="964"/>
      <c r="T46" s="849" t="s">
        <v>2021</v>
      </c>
      <c r="U46" s="849" t="s">
        <v>2021</v>
      </c>
      <c r="V46" s="849" t="s">
        <v>2021</v>
      </c>
      <c r="W46" s="849" t="s">
        <v>2021</v>
      </c>
      <c r="X46" s="849"/>
      <c r="Y46" s="1007"/>
      <c r="Z46" s="852" t="s">
        <v>2022</v>
      </c>
      <c r="AA46" s="852" t="s">
        <v>2023</v>
      </c>
      <c r="AB46" s="852" t="s">
        <v>2023</v>
      </c>
      <c r="AC46" s="852" t="s">
        <v>2023</v>
      </c>
      <c r="AD46" s="852"/>
    </row>
    <row customHeight="1" ht="54">
      <c r="A47" s="851"/>
      <c r="B47" s="905">
        <v>30</v>
      </c>
      <c r="C47" s="849" t="s">
        <v>2024</v>
      </c>
      <c r="D47" s="974"/>
      <c r="E47" s="849"/>
      <c r="F47" s="849"/>
      <c r="G47" s="849"/>
      <c r="H47" s="897"/>
      <c r="I47" s="1012" t="str">
        <f>INDEX(TEMPLATE_NUMBER_POINT_FHD,B47,MATCH(TEMPLATE_SPHERE,TEMPLATE_SPHERE_LIST_FOR_NOTE,0))</f>
        <v>2.12.1</v>
      </c>
      <c r="J47" s="1012"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12">
        <f>INDEX(TEMPLATE_NOTE_POINT_FHD,B47,MATCH(TEMPLATE_SPHERE,TEMPLATE_SPHERE_LIST_FOR_NOTE,0))</f>
        <v>0</v>
      </c>
      <c r="L47" s="850" t="str">
        <f>IF(I47=0,"",I47)</f>
        <v>2.12.1</v>
      </c>
      <c r="M47" s="850"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50" t="str">
        <f>IF(K47=0,"",K47)</f>
        <v/>
      </c>
      <c r="O47" s="964" t="s">
        <v>2025</v>
      </c>
      <c r="P47" s="964" t="s">
        <v>2002</v>
      </c>
      <c r="Q47" s="964" t="s">
        <v>2025</v>
      </c>
      <c r="R47" s="964" t="s">
        <v>2002</v>
      </c>
      <c r="S47" s="964"/>
      <c r="T47" s="849" t="s">
        <v>2026</v>
      </c>
      <c r="U47" s="849" t="s">
        <v>2026</v>
      </c>
      <c r="V47" s="849" t="s">
        <v>2026</v>
      </c>
      <c r="W47" s="849" t="s">
        <v>2026</v>
      </c>
      <c r="X47" s="849"/>
      <c r="Y47" s="1007"/>
      <c r="Z47" s="852"/>
      <c r="AA47" s="855"/>
      <c r="AB47" s="855"/>
      <c r="AC47" s="855"/>
      <c r="AD47" s="852"/>
    </row>
    <row customHeight="1" ht="54">
      <c r="A48" s="851"/>
      <c r="B48" s="905">
        <v>31</v>
      </c>
      <c r="C48" s="849">
        <v>16</v>
      </c>
      <c r="D48" s="974"/>
      <c r="E48" s="849"/>
      <c r="F48" s="849"/>
      <c r="G48" s="849"/>
      <c r="H48" s="897"/>
      <c r="I48" s="1012">
        <f>INDEX(TEMPLATE_NUMBER_POINT_FHD,B48,MATCH(TEMPLATE_SPHERE,TEMPLATE_SPHERE_LIST_FOR_NOTE,0))</f>
        <v>0</v>
      </c>
      <c r="J48" s="1012">
        <f>INDEX(TEMPLATE_DATA_POINT_FHD,B48,MATCH(TEMPLATE_SPHERE,TEMPLATE_SPHERE_LIST_FOR_NOTE,0))</f>
        <v>0</v>
      </c>
      <c r="K48" s="1012">
        <f>INDEX(TEMPLATE_NOTE_POINT_FHD,B48,MATCH(TEMPLATE_SPHERE,TEMPLATE_SPHERE_LIST_FOR_NOTE,0))</f>
        <v>0</v>
      </c>
      <c r="L48" s="850" t="str">
        <f>IF(I48=0,"",I48)</f>
        <v/>
      </c>
      <c r="M48" s="850" t="str">
        <f>IF(J48=0,"",J48)</f>
        <v/>
      </c>
      <c r="N48" s="850" t="str">
        <f>IF(K48=0,"",K48)</f>
        <v/>
      </c>
      <c r="O48" s="964"/>
      <c r="P48" s="964" t="s">
        <v>2009</v>
      </c>
      <c r="Q48" s="964" t="s">
        <v>2027</v>
      </c>
      <c r="R48" s="964" t="s">
        <v>2009</v>
      </c>
      <c r="S48" s="964"/>
      <c r="T48" s="849"/>
      <c r="U48" s="849" t="s">
        <v>2028</v>
      </c>
      <c r="V48" s="849" t="s">
        <v>2029</v>
      </c>
      <c r="W48" s="849" t="s">
        <v>2029</v>
      </c>
      <c r="X48" s="849"/>
      <c r="Y48" s="1007"/>
      <c r="Z48" s="852"/>
      <c r="AA48" s="855" t="s">
        <v>2023</v>
      </c>
      <c r="AB48" s="855" t="s">
        <v>2023</v>
      </c>
      <c r="AC48" s="855" t="s">
        <v>2023</v>
      </c>
      <c r="AD48" s="852"/>
    </row>
    <row customHeight="1" ht="54">
      <c r="A49" s="851"/>
      <c r="B49" s="905">
        <v>32</v>
      </c>
      <c r="C49" s="849" t="s">
        <v>2030</v>
      </c>
      <c r="D49" s="974"/>
      <c r="E49" s="849"/>
      <c r="F49" s="849"/>
      <c r="G49" s="849"/>
      <c r="H49" s="897"/>
      <c r="I49" s="1012">
        <f>INDEX(TEMPLATE_NUMBER_POINT_FHD,B49,MATCH(TEMPLATE_SPHERE,TEMPLATE_SPHERE_LIST_FOR_NOTE,0))</f>
        <v>0</v>
      </c>
      <c r="J49" s="1012">
        <f>INDEX(TEMPLATE_DATA_POINT_FHD,B49,MATCH(TEMPLATE_SPHERE,TEMPLATE_SPHERE_LIST_FOR_NOTE,0))</f>
        <v>0</v>
      </c>
      <c r="K49" s="1012">
        <f>INDEX(TEMPLATE_NOTE_POINT_FHD,B49,MATCH(TEMPLATE_SPHERE,TEMPLATE_SPHERE_LIST_FOR_NOTE,0))</f>
        <v>0</v>
      </c>
      <c r="L49" s="850" t="str">
        <f>IF(I49=0,"",I49)</f>
        <v/>
      </c>
      <c r="M49" s="850" t="str">
        <f>IF(J49=0,"",J49)</f>
        <v/>
      </c>
      <c r="N49" s="850" t="str">
        <f>IF(K49=0,"",K49)</f>
        <v/>
      </c>
      <c r="O49" s="964"/>
      <c r="P49" s="964" t="s">
        <v>2013</v>
      </c>
      <c r="Q49" s="964" t="s">
        <v>2031</v>
      </c>
      <c r="R49" s="964" t="s">
        <v>2013</v>
      </c>
      <c r="S49" s="964"/>
      <c r="T49" s="849"/>
      <c r="U49" s="849" t="s">
        <v>2026</v>
      </c>
      <c r="V49" s="849" t="s">
        <v>2026</v>
      </c>
      <c r="W49" s="849" t="s">
        <v>2026</v>
      </c>
      <c r="X49" s="849"/>
      <c r="Y49" s="1007"/>
      <c r="Z49" s="852"/>
      <c r="AA49" s="855"/>
      <c r="AB49" s="855"/>
      <c r="AC49" s="855"/>
      <c r="AD49" s="852"/>
    </row>
    <row customHeight="1" ht="126">
      <c r="A50" s="851"/>
      <c r="B50" s="905">
        <v>33</v>
      </c>
      <c r="C50" s="849">
        <v>17</v>
      </c>
      <c r="D50" s="974"/>
      <c r="E50" s="849"/>
      <c r="F50" s="849"/>
      <c r="G50" s="849"/>
      <c r="H50" s="897"/>
      <c r="I50" s="1012" t="str">
        <f>INDEX(TEMPLATE_NUMBER_POINT_FHD,B50,MATCH(TEMPLATE_SPHERE,TEMPLATE_SPHERE_LIST_FOR_NOTE,0))</f>
        <v>2.13</v>
      </c>
      <c r="J50" s="1012"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12"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850" t="str">
        <f>IF(I50=0,"",I50)</f>
        <v>2.13</v>
      </c>
      <c r="M50" s="850" t="str">
        <f>IF(J50=0,"",J50)</f>
        <v>Прочие расходы, которые подлежат отнесению на регулируемые виды деятельности в соответствии с законодательством Российской Федерации</v>
      </c>
      <c r="N50" s="850"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964" t="s">
        <v>2027</v>
      </c>
      <c r="P50" s="964" t="s">
        <v>2020</v>
      </c>
      <c r="Q50" s="964" t="s">
        <v>2032</v>
      </c>
      <c r="R50" s="964" t="s">
        <v>2020</v>
      </c>
      <c r="S50" s="964"/>
      <c r="T50" s="849" t="s">
        <v>2033</v>
      </c>
      <c r="U50" s="849" t="s">
        <v>2034</v>
      </c>
      <c r="V50" s="849" t="s">
        <v>2035</v>
      </c>
      <c r="W50" s="849" t="s">
        <v>2036</v>
      </c>
      <c r="X50" s="849"/>
      <c r="Y50" s="1007"/>
      <c r="Z50" s="852" t="s">
        <v>2037</v>
      </c>
      <c r="AA50" s="855" t="s">
        <v>2038</v>
      </c>
      <c r="AB50" s="855" t="s">
        <v>2038</v>
      </c>
      <c r="AC50" s="855" t="s">
        <v>2038</v>
      </c>
      <c r="AD50" s="852"/>
    </row>
    <row customHeight="1" ht="27">
      <c r="A51" s="851"/>
      <c r="B51" s="905">
        <v>34</v>
      </c>
      <c r="C51" s="849" t="s">
        <v>2039</v>
      </c>
      <c r="D51" s="974"/>
      <c r="E51" s="849"/>
      <c r="F51" s="849"/>
      <c r="G51" s="849"/>
      <c r="H51" s="897"/>
      <c r="I51" s="1012" t="str">
        <f>INDEX(TEMPLATE_NUMBER_POINT_FHD,B51,MATCH(TEMPLATE_SPHERE,TEMPLATE_SPHERE_LIST_FOR_NOTE,0))</f>
        <v>3</v>
      </c>
      <c r="J51" s="1012"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12">
        <f>INDEX(TEMPLATE_NOTE_POINT_FHD,B51,MATCH(TEMPLATE_SPHERE,TEMPLATE_SPHERE_LIST_FOR_NOTE,0))</f>
        <v>0</v>
      </c>
      <c r="L51" s="850" t="str">
        <f>IF(I51=0,"",I51)</f>
        <v>3</v>
      </c>
      <c r="M51" s="850" t="str">
        <f>IF(J51=0,"",J51)</f>
        <v>Валовая прибыль (убытки) от реализации товаров и оказания услуг по регулируемому виду деятельности</v>
      </c>
      <c r="N51" s="850" t="str">
        <f>IF(K51=0,"",K51)</f>
        <v/>
      </c>
      <c r="O51" s="964" t="s">
        <v>90</v>
      </c>
      <c r="P51" s="964"/>
      <c r="Q51" s="964"/>
      <c r="R51" s="964"/>
      <c r="S51" s="964"/>
      <c r="T51" s="849" t="s">
        <v>2040</v>
      </c>
      <c r="U51" s="849"/>
      <c r="V51" s="849"/>
      <c r="W51" s="849"/>
      <c r="X51" s="849"/>
      <c r="Y51" s="1007"/>
      <c r="Z51" s="852"/>
      <c r="AA51" s="855"/>
      <c r="AB51" s="855"/>
      <c r="AC51" s="855"/>
      <c r="AD51" s="852"/>
    </row>
    <row customHeight="1" ht="36">
      <c r="A52" s="851"/>
      <c r="B52" s="905">
        <v>35</v>
      </c>
      <c r="C52" s="849" t="s">
        <v>1932</v>
      </c>
      <c r="D52" s="974" t="s">
        <v>1932</v>
      </c>
      <c r="E52" s="849" t="s">
        <v>1932</v>
      </c>
      <c r="F52" s="849" t="s">
        <v>1932</v>
      </c>
      <c r="G52" s="849"/>
      <c r="H52" s="897"/>
      <c r="I52" s="1012" t="str">
        <f>INDEX(TEMPLATE_NUMBER_POINT_FHD,B52,MATCH(TEMPLATE_SPHERE,TEMPLATE_SPHERE_LIST_FOR_NOTE,0))</f>
        <v>4</v>
      </c>
      <c r="J52" s="1012" t="str">
        <f>INDEX(TEMPLATE_DATA_POINT_FHD,B52,MATCH(TEMPLATE_SPHERE,TEMPLATE_SPHERE_LIST_FOR_NOTE,0))</f>
        <v>Чистая прибыль, полученная от регулируемого вида деятельности, в том числе:</v>
      </c>
      <c r="K52" s="1012" t="str">
        <f>INDEX(TEMPLATE_NOTE_POINT_FHD,B52,MATCH(TEMPLATE_SPHERE,TEMPLATE_SPHERE_LIST_FOR_NOTE,0))</f>
        <v>Указывается общая сумма чистой прибыли, полученной от регулируемого вида деятельности.</v>
      </c>
      <c r="L52" s="850" t="str">
        <f>IF(I52=0,"",I52)</f>
        <v>4</v>
      </c>
      <c r="M52" s="850" t="str">
        <f>IF(J52=0,"",J52)</f>
        <v>Чистая прибыль, полученная от регулируемого вида деятельности, в том числе:</v>
      </c>
      <c r="N52" s="850" t="str">
        <f>IF(K52=0,"",K52)</f>
        <v>Указывается общая сумма чистой прибыли, полученной от регулируемого вида деятельности.</v>
      </c>
      <c r="O52" s="964" t="s">
        <v>91</v>
      </c>
      <c r="P52" s="964" t="s">
        <v>90</v>
      </c>
      <c r="Q52" s="964" t="s">
        <v>90</v>
      </c>
      <c r="R52" s="964" t="s">
        <v>90</v>
      </c>
      <c r="S52" s="964"/>
      <c r="T52" s="849" t="s">
        <v>2041</v>
      </c>
      <c r="U52" s="849" t="s">
        <v>2042</v>
      </c>
      <c r="V52" s="849" t="s">
        <v>2043</v>
      </c>
      <c r="W52" s="849" t="s">
        <v>2044</v>
      </c>
      <c r="X52" s="849"/>
      <c r="Y52" s="1007"/>
      <c r="Z52" s="852" t="s">
        <v>651</v>
      </c>
      <c r="AA52" s="855" t="s">
        <v>651</v>
      </c>
      <c r="AB52" s="855" t="s">
        <v>651</v>
      </c>
      <c r="AC52" s="855" t="s">
        <v>651</v>
      </c>
      <c r="AD52" s="852"/>
    </row>
    <row customHeight="1" ht="36">
      <c r="A53" s="851"/>
      <c r="B53" s="905">
        <v>36</v>
      </c>
      <c r="C53" s="849">
        <v>1</v>
      </c>
      <c r="D53" s="974"/>
      <c r="E53" s="849"/>
      <c r="F53" s="849"/>
      <c r="G53" s="849"/>
      <c r="H53" s="897"/>
      <c r="I53" s="1012" t="str">
        <f>INDEX(TEMPLATE_NUMBER_POINT_FHD,B53,MATCH(TEMPLATE_SPHERE,TEMPLATE_SPHERE_LIST_FOR_NOTE,0))</f>
        <v>4.1</v>
      </c>
      <c r="J53" s="1012"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12">
        <f>INDEX(TEMPLATE_NOTE_POINT_FHD,B53,MATCH(TEMPLATE_SPHERE,TEMPLATE_SPHERE_LIST_FOR_NOTE,0))</f>
        <v>0</v>
      </c>
      <c r="L53" s="850" t="str">
        <f>IF(I53=0,"",I53)</f>
        <v>4.1</v>
      </c>
      <c r="M53" s="850"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50" t="str">
        <f>IF(K53=0,"",K53)</f>
        <v/>
      </c>
      <c r="O53" s="964" t="s">
        <v>655</v>
      </c>
      <c r="P53" s="964" t="s">
        <v>319</v>
      </c>
      <c r="Q53" s="964" t="s">
        <v>319</v>
      </c>
      <c r="R53" s="964" t="s">
        <v>319</v>
      </c>
      <c r="S53" s="964"/>
      <c r="T53" s="849" t="s">
        <v>2045</v>
      </c>
      <c r="U53" s="849" t="s">
        <v>2045</v>
      </c>
      <c r="V53" s="849" t="s">
        <v>2045</v>
      </c>
      <c r="W53" s="849" t="s">
        <v>2045</v>
      </c>
      <c r="X53" s="849"/>
      <c r="Y53" s="1007"/>
      <c r="Z53" s="852"/>
      <c r="AA53" s="855"/>
      <c r="AB53" s="852"/>
      <c r="AC53" s="852"/>
      <c r="AD53" s="852"/>
    </row>
    <row customHeight="1" ht="18">
      <c r="A54" s="851"/>
      <c r="B54" s="905">
        <v>37</v>
      </c>
      <c r="C54" s="849" t="s">
        <v>1938</v>
      </c>
      <c r="D54" s="974" t="s">
        <v>1938</v>
      </c>
      <c r="E54" s="849" t="s">
        <v>1938</v>
      </c>
      <c r="F54" s="849" t="s">
        <v>1938</v>
      </c>
      <c r="G54" s="849"/>
      <c r="H54" s="897"/>
      <c r="I54" s="1012" t="str">
        <f>INDEX(TEMPLATE_NUMBER_POINT_FHD,B54,MATCH(TEMPLATE_SPHERE,TEMPLATE_SPHERE_LIST_FOR_NOTE,0))</f>
        <v>5</v>
      </c>
      <c r="J54" s="1012" t="str">
        <f>INDEX(TEMPLATE_DATA_POINT_FHD,B54,MATCH(TEMPLATE_SPHERE,TEMPLATE_SPHERE_LIST_FOR_NOTE,0))</f>
        <v>Изменение стоимости основных фондов, в том числе:</v>
      </c>
      <c r="K54" s="1012" t="str">
        <f>INDEX(TEMPLATE_NOTE_POINT_FHD,B54,MATCH(TEMPLATE_SPHERE,TEMPLATE_SPHERE_LIST_FOR_NOTE,0))</f>
        <v>Указывается общее изменение стоимости основных фондов.</v>
      </c>
      <c r="L54" s="850" t="str">
        <f>IF(I54=0,"",I54)</f>
        <v>5</v>
      </c>
      <c r="M54" s="850" t="str">
        <f>IF(J54=0,"",J54)</f>
        <v>Изменение стоимости основных фондов, в том числе:</v>
      </c>
      <c r="N54" s="850" t="str">
        <f>IF(K54=0,"",K54)</f>
        <v>Указывается общее изменение стоимости основных фондов.</v>
      </c>
      <c r="O54" s="964" t="s">
        <v>112</v>
      </c>
      <c r="P54" s="964" t="s">
        <v>91</v>
      </c>
      <c r="Q54" s="964" t="s">
        <v>91</v>
      </c>
      <c r="R54" s="964" t="s">
        <v>91</v>
      </c>
      <c r="S54" s="964"/>
      <c r="T54" s="849" t="s">
        <v>653</v>
      </c>
      <c r="U54" s="849" t="s">
        <v>653</v>
      </c>
      <c r="V54" s="849" t="s">
        <v>653</v>
      </c>
      <c r="W54" s="849" t="s">
        <v>653</v>
      </c>
      <c r="X54" s="849"/>
      <c r="Y54" s="1007"/>
      <c r="Z54" s="852" t="s">
        <v>654</v>
      </c>
      <c r="AA54" s="852" t="s">
        <v>654</v>
      </c>
      <c r="AB54" s="852" t="s">
        <v>654</v>
      </c>
      <c r="AC54" s="852" t="s">
        <v>654</v>
      </c>
      <c r="AD54" s="852"/>
    </row>
    <row customHeight="1" ht="36">
      <c r="A55" s="851"/>
      <c r="B55" s="905">
        <v>38</v>
      </c>
      <c r="C55" s="849">
        <v>1</v>
      </c>
      <c r="D55" s="974"/>
      <c r="E55" s="849"/>
      <c r="F55" s="849"/>
      <c r="G55" s="849"/>
      <c r="H55" s="897"/>
      <c r="I55" s="1012" t="str">
        <f>INDEX(TEMPLATE_NUMBER_POINT_FHD,B55,MATCH(TEMPLATE_SPHERE,TEMPLATE_SPHERE_LIST_FOR_NOTE,0))</f>
        <v>5.1</v>
      </c>
      <c r="J55" s="1012" t="str">
        <f>INDEX(TEMPLATE_DATA_POINT_FHD,B55,MATCH(TEMPLATE_SPHERE,TEMPLATE_SPHERE_LIST_FOR_NOTE,0))</f>
        <v>Изменение стоимости основных фондов за счет:</v>
      </c>
      <c r="K55" s="1012"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50" t="str">
        <f>IF(I55=0,"",I55)</f>
        <v>5.1</v>
      </c>
      <c r="M55" s="850" t="str">
        <f>IF(J55=0,"",J55)</f>
        <v>Изменение стоимости основных фондов за счет:</v>
      </c>
      <c r="N55" s="850" t="str">
        <f>IF(K55=0,"",K55)</f>
        <v>Указываются общее изменение стоимости основных фондов за счет их ввода в эксплуатацию и вывода из эксплуатации.</v>
      </c>
      <c r="O55" s="964" t="s">
        <v>308</v>
      </c>
      <c r="P55" s="964" t="s">
        <v>655</v>
      </c>
      <c r="Q55" s="964" t="s">
        <v>655</v>
      </c>
      <c r="R55" s="964" t="s">
        <v>655</v>
      </c>
      <c r="S55" s="964"/>
      <c r="T55" s="849" t="s">
        <v>2046</v>
      </c>
      <c r="U55" s="849" t="s">
        <v>2047</v>
      </c>
      <c r="V55" s="849" t="s">
        <v>2047</v>
      </c>
      <c r="W55" s="849" t="s">
        <v>2047</v>
      </c>
      <c r="X55" s="849"/>
      <c r="Y55" s="1007"/>
      <c r="Z55" s="852" t="s">
        <v>2048</v>
      </c>
      <c r="AA55" s="852" t="s">
        <v>2048</v>
      </c>
      <c r="AB55" s="852" t="s">
        <v>2048</v>
      </c>
      <c r="AC55" s="852" t="s">
        <v>2048</v>
      </c>
      <c r="AD55" s="852"/>
    </row>
    <row customHeight="1" ht="27">
      <c r="A56" s="851"/>
      <c r="B56" s="905">
        <v>39</v>
      </c>
      <c r="C56" s="849" t="s">
        <v>924</v>
      </c>
      <c r="D56" s="974"/>
      <c r="E56" s="849"/>
      <c r="F56" s="849"/>
      <c r="G56" s="849"/>
      <c r="H56" s="897"/>
      <c r="I56" s="1012" t="str">
        <f>INDEX(TEMPLATE_NUMBER_POINT_FHD,B56,MATCH(TEMPLATE_SPHERE,TEMPLATE_SPHERE_LIST_FOR_NOTE,0))</f>
        <v>5.1.1</v>
      </c>
      <c r="J56" s="1012" t="str">
        <f>INDEX(TEMPLATE_DATA_POINT_FHD,B56,MATCH(TEMPLATE_SPHERE,TEMPLATE_SPHERE_LIST_FOR_NOTE,0))</f>
        <v>Изменения стоимости основных фондов за счет их ввода в эксплуатацию</v>
      </c>
      <c r="K56" s="1012" t="str">
        <f>INDEX(TEMPLATE_NOTE_POINT_FHD,B56,MATCH(TEMPLATE_SPHERE,TEMPLATE_SPHERE_LIST_FOR_NOTE,0))</f>
        <v>Указываются изменение стоимости основных фондов за счет их ввода в эксплуатацию.</v>
      </c>
      <c r="L56" s="850" t="str">
        <f>IF(I56=0,"",I56)</f>
        <v>5.1.1</v>
      </c>
      <c r="M56" s="850" t="str">
        <f>IF(J56=0,"",J56)</f>
        <v>Изменения стоимости основных фондов за счет их ввода в эксплуатацию</v>
      </c>
      <c r="N56" s="850" t="str">
        <f>IF(K56=0,"",K56)</f>
        <v>Указываются изменение стоимости основных фондов за счет их ввода в эксплуатацию.</v>
      </c>
      <c r="O56" s="964" t="s">
        <v>1048</v>
      </c>
      <c r="P56" s="964" t="s">
        <v>658</v>
      </c>
      <c r="Q56" s="964" t="s">
        <v>658</v>
      </c>
      <c r="R56" s="964" t="s">
        <v>658</v>
      </c>
      <c r="S56" s="964"/>
      <c r="T56" s="849" t="s">
        <v>2049</v>
      </c>
      <c r="U56" s="849" t="s">
        <v>2050</v>
      </c>
      <c r="V56" s="849" t="s">
        <v>2050</v>
      </c>
      <c r="W56" s="849" t="s">
        <v>2050</v>
      </c>
      <c r="X56" s="849"/>
      <c r="Y56" s="1007"/>
      <c r="Z56" s="852" t="s">
        <v>660</v>
      </c>
      <c r="AA56" s="852" t="s">
        <v>660</v>
      </c>
      <c r="AB56" s="852" t="s">
        <v>660</v>
      </c>
      <c r="AC56" s="852" t="s">
        <v>660</v>
      </c>
      <c r="AD56" s="852"/>
    </row>
    <row customHeight="1" ht="27">
      <c r="A57" s="851"/>
      <c r="B57" s="905">
        <v>40</v>
      </c>
      <c r="C57" s="849" t="s">
        <v>926</v>
      </c>
      <c r="D57" s="974"/>
      <c r="E57" s="849"/>
      <c r="F57" s="849"/>
      <c r="G57" s="849"/>
      <c r="H57" s="897"/>
      <c r="I57" s="1012" t="str">
        <f>INDEX(TEMPLATE_NUMBER_POINT_FHD,B57,MATCH(TEMPLATE_SPHERE,TEMPLATE_SPHERE_LIST_FOR_NOTE,0))</f>
        <v>5.1.2</v>
      </c>
      <c r="J57" s="1012" t="str">
        <f>INDEX(TEMPLATE_DATA_POINT_FHD,B57,MATCH(TEMPLATE_SPHERE,TEMPLATE_SPHERE_LIST_FOR_NOTE,0))</f>
        <v>Изменения стоимости основных фондов за счет их вывода в эксплуатацию</v>
      </c>
      <c r="K57" s="1012" t="str">
        <f>INDEX(TEMPLATE_NOTE_POINT_FHD,B57,MATCH(TEMPLATE_SPHERE,TEMPLATE_SPHERE_LIST_FOR_NOTE,0))</f>
        <v>Указываются изменение стоимости основных фондов за счет их вывода из эксплуатации.</v>
      </c>
      <c r="L57" s="850" t="str">
        <f>IF(I57=0,"",I57)</f>
        <v>5.1.2</v>
      </c>
      <c r="M57" s="850" t="str">
        <f>IF(J57=0,"",J57)</f>
        <v>Изменения стоимости основных фондов за счет их вывода в эксплуатацию</v>
      </c>
      <c r="N57" s="850" t="str">
        <f>IF(K57=0,"",K57)</f>
        <v>Указываются изменение стоимости основных фондов за счет их вывода из эксплуатации.</v>
      </c>
      <c r="O57" s="964" t="s">
        <v>2051</v>
      </c>
      <c r="P57" s="964" t="s">
        <v>661</v>
      </c>
      <c r="Q57" s="964" t="s">
        <v>661</v>
      </c>
      <c r="R57" s="964" t="s">
        <v>661</v>
      </c>
      <c r="S57" s="964"/>
      <c r="T57" s="849" t="s">
        <v>2052</v>
      </c>
      <c r="U57" s="849" t="s">
        <v>2053</v>
      </c>
      <c r="V57" s="849" t="s">
        <v>2053</v>
      </c>
      <c r="W57" s="849" t="s">
        <v>2053</v>
      </c>
      <c r="X57" s="849"/>
      <c r="Y57" s="1007"/>
      <c r="Z57" s="852" t="s">
        <v>663</v>
      </c>
      <c r="AA57" s="852" t="s">
        <v>663</v>
      </c>
      <c r="AB57" s="852" t="s">
        <v>663</v>
      </c>
      <c r="AC57" s="852" t="s">
        <v>663</v>
      </c>
      <c r="AD57" s="852"/>
    </row>
    <row customHeight="1" ht="18">
      <c r="A58" s="851"/>
      <c r="B58" s="905">
        <v>41</v>
      </c>
      <c r="C58" s="849">
        <v>2</v>
      </c>
      <c r="D58" s="974"/>
      <c r="E58" s="849"/>
      <c r="F58" s="849"/>
      <c r="G58" s="849"/>
      <c r="H58" s="897"/>
      <c r="I58" s="1012" t="str">
        <f>INDEX(TEMPLATE_NUMBER_POINT_FHD,B58,MATCH(TEMPLATE_SPHERE,TEMPLATE_SPHERE_LIST_FOR_NOTE,0))</f>
        <v>5.2</v>
      </c>
      <c r="J58" s="1012" t="str">
        <f>INDEX(TEMPLATE_DATA_POINT_FHD,B58,MATCH(TEMPLATE_SPHERE,TEMPLATE_SPHERE_LIST_FOR_NOTE,0))</f>
        <v>Изменение стоимости основных фондов за счет их переоценки</v>
      </c>
      <c r="K58" s="1012">
        <f>INDEX(TEMPLATE_NOTE_POINT_FHD,B58,MATCH(TEMPLATE_SPHERE,TEMPLATE_SPHERE_LIST_FOR_NOTE,0))</f>
        <v>0</v>
      </c>
      <c r="L58" s="850" t="str">
        <f>IF(I58=0,"",I58)</f>
        <v>5.2</v>
      </c>
      <c r="M58" s="850" t="str">
        <f>IF(J58=0,"",J58)</f>
        <v>Изменение стоимости основных фондов за счет их переоценки</v>
      </c>
      <c r="N58" s="850" t="str">
        <f>IF(K58=0,"",K58)</f>
        <v/>
      </c>
      <c r="O58" s="964" t="s">
        <v>310</v>
      </c>
      <c r="P58" s="964" t="s">
        <v>698</v>
      </c>
      <c r="Q58" s="964" t="s">
        <v>698</v>
      </c>
      <c r="R58" s="964" t="s">
        <v>698</v>
      </c>
      <c r="S58" s="964"/>
      <c r="T58" s="849" t="s">
        <v>2054</v>
      </c>
      <c r="U58" s="849" t="s">
        <v>2054</v>
      </c>
      <c r="V58" s="849" t="s">
        <v>2054</v>
      </c>
      <c r="W58" s="849" t="s">
        <v>2054</v>
      </c>
      <c r="X58" s="849"/>
      <c r="Y58" s="1007"/>
      <c r="Z58" s="852"/>
      <c r="AA58" s="855"/>
      <c r="AB58" s="852"/>
      <c r="AC58" s="852"/>
      <c r="AD58" s="852"/>
    </row>
    <row customHeight="1" ht="36">
      <c r="A59" s="851"/>
      <c r="B59" s="905">
        <v>42</v>
      </c>
      <c r="C59" s="849">
        <v>3</v>
      </c>
      <c r="D59" s="974" t="s">
        <v>2039</v>
      </c>
      <c r="E59" s="849" t="s">
        <v>2039</v>
      </c>
      <c r="F59" s="849" t="s">
        <v>2039</v>
      </c>
      <c r="G59" s="849"/>
      <c r="H59" s="897"/>
      <c r="I59" s="1012">
        <f>INDEX(TEMPLATE_NUMBER_POINT_FHD,B59,MATCH(TEMPLATE_SPHERE,TEMPLATE_SPHERE_LIST_FOR_NOTE,0))</f>
        <v>0</v>
      </c>
      <c r="J59" s="1012">
        <f>INDEX(TEMPLATE_DATA_POINT_FHD,B59,MATCH(TEMPLATE_SPHERE,TEMPLATE_SPHERE_LIST_FOR_NOTE,0))</f>
        <v>0</v>
      </c>
      <c r="K59" s="1012">
        <f>INDEX(TEMPLATE_NOTE_POINT_FHD,B59,MATCH(TEMPLATE_SPHERE,TEMPLATE_SPHERE_LIST_FOR_NOTE,0))</f>
        <v>0</v>
      </c>
      <c r="L59" s="850" t="str">
        <f>IF(I59=0,"",I59)</f>
        <v/>
      </c>
      <c r="M59" s="850" t="str">
        <f>IF(J59=0,"",J59)</f>
        <v/>
      </c>
      <c r="N59" s="850" t="str">
        <f>IF(K59=0,"",K59)</f>
        <v/>
      </c>
      <c r="O59" s="964"/>
      <c r="P59" s="964" t="s">
        <v>112</v>
      </c>
      <c r="Q59" s="964" t="s">
        <v>112</v>
      </c>
      <c r="R59" s="964" t="s">
        <v>112</v>
      </c>
      <c r="S59" s="964"/>
      <c r="T59" s="849"/>
      <c r="U59" s="849" t="s">
        <v>2055</v>
      </c>
      <c r="V59" s="849" t="s">
        <v>2056</v>
      </c>
      <c r="W59" s="849" t="s">
        <v>2057</v>
      </c>
      <c r="X59" s="849"/>
      <c r="Y59" s="1007"/>
      <c r="Z59" s="852"/>
      <c r="AA59" s="855"/>
      <c r="AB59" s="852"/>
      <c r="AC59" s="852"/>
      <c r="AD59" s="852"/>
    </row>
    <row customHeight="1" ht="81">
      <c r="A60" s="851"/>
      <c r="B60" s="905">
        <v>43</v>
      </c>
      <c r="C60" s="849" t="s">
        <v>2058</v>
      </c>
      <c r="D60" s="974" t="s">
        <v>2058</v>
      </c>
      <c r="E60" s="849" t="s">
        <v>2058</v>
      </c>
      <c r="F60" s="849" t="s">
        <v>2058</v>
      </c>
      <c r="G60" s="849"/>
      <c r="H60" s="897"/>
      <c r="I60" s="1012" t="str">
        <f>INDEX(TEMPLATE_NUMBER_POINT_FHD,B60,MATCH(TEMPLATE_SPHERE,TEMPLATE_SPHERE_LIST_FOR_NOTE,0))</f>
        <v>6</v>
      </c>
      <c r="J60" s="1012" t="str">
        <f>INDEX(TEMPLATE_DATA_POINT_FHD,B60,MATCH(TEMPLATE_SPHERE,TEMPLATE_SPHERE_LIST_FOR_NOTE,0))</f>
        <v>Годовая бухгалтерская (финансовая) отчетность, включая бухгалтерский баланс и приложения к нему</v>
      </c>
      <c r="K60" s="1012"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850" t="str">
        <f>IF(I60=0,"",I60)</f>
        <v>6</v>
      </c>
      <c r="M60" s="850" t="str">
        <f>IF(J60=0,"",J60)</f>
        <v>Годовая бухгалтерская (финансовая) отчетность, включая бухгалтерский баланс и приложения к нему</v>
      </c>
      <c r="N60" s="850"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964" t="s">
        <v>92</v>
      </c>
      <c r="P60" s="964" t="s">
        <v>92</v>
      </c>
      <c r="Q60" s="964" t="s">
        <v>92</v>
      </c>
      <c r="R60" s="964" t="s">
        <v>92</v>
      </c>
      <c r="S60" s="964"/>
      <c r="T60" s="849" t="s">
        <v>667</v>
      </c>
      <c r="U60" s="849" t="s">
        <v>667</v>
      </c>
      <c r="V60" s="849" t="s">
        <v>667</v>
      </c>
      <c r="W60" s="849" t="s">
        <v>667</v>
      </c>
      <c r="X60" s="849"/>
      <c r="Y60" s="1007"/>
      <c r="Z60" s="852" t="s">
        <v>2059</v>
      </c>
      <c r="AA60" s="855" t="s">
        <v>2060</v>
      </c>
      <c r="AB60" s="852" t="s">
        <v>2061</v>
      </c>
      <c r="AC60" s="852" t="s">
        <v>2060</v>
      </c>
      <c r="AD60" s="852"/>
    </row>
    <row customHeight="1" ht="9">
      <c r="A61" s="851"/>
      <c r="B61" s="905">
        <v>44</v>
      </c>
      <c r="C61" s="849"/>
      <c r="D61" s="974" t="s">
        <v>2062</v>
      </c>
      <c r="E61" s="849"/>
      <c r="F61" s="849"/>
      <c r="G61" s="849"/>
      <c r="H61" s="897"/>
      <c r="I61" s="1012">
        <f>INDEX(TEMPLATE_NUMBER_POINT_FHD,B61,MATCH(TEMPLATE_SPHERE,TEMPLATE_SPHERE_LIST_FOR_NOTE,0))</f>
        <v>0</v>
      </c>
      <c r="J61" s="1012">
        <f>INDEX(TEMPLATE_DATA_POINT_FHD,B61,MATCH(TEMPLATE_SPHERE,TEMPLATE_SPHERE_LIST_FOR_NOTE,0))</f>
        <v>0</v>
      </c>
      <c r="K61" s="1012">
        <f>INDEX(TEMPLATE_NOTE_POINT_FHD,B61,MATCH(TEMPLATE_SPHERE,TEMPLATE_SPHERE_LIST_FOR_NOTE,0))</f>
        <v>0</v>
      </c>
      <c r="L61" s="850" t="str">
        <f>IF(I61=0,"",I61)</f>
        <v/>
      </c>
      <c r="M61" s="850" t="str">
        <f>IF(J61=0,"",J61)</f>
        <v/>
      </c>
      <c r="N61" s="850" t="str">
        <f>IF(K61=0,"",K61)</f>
        <v/>
      </c>
      <c r="O61" s="964"/>
      <c r="P61" s="964" t="s">
        <v>93</v>
      </c>
      <c r="Q61" s="964"/>
      <c r="R61" s="964"/>
      <c r="S61" s="964"/>
      <c r="T61" s="849"/>
      <c r="U61" s="849" t="s">
        <v>2063</v>
      </c>
      <c r="V61" s="849"/>
      <c r="W61" s="849"/>
      <c r="X61" s="849"/>
      <c r="Y61" s="1007"/>
      <c r="Z61" s="852"/>
      <c r="AA61" s="855"/>
      <c r="AB61" s="852"/>
      <c r="AC61" s="852"/>
      <c r="AD61" s="852"/>
    </row>
    <row customHeight="1" ht="9">
      <c r="A62" s="851"/>
      <c r="B62" s="905">
        <v>45</v>
      </c>
      <c r="C62" s="849"/>
      <c r="D62" s="974" t="s">
        <v>2064</v>
      </c>
      <c r="E62" s="849"/>
      <c r="F62" s="849"/>
      <c r="G62" s="849"/>
      <c r="H62" s="897"/>
      <c r="I62" s="1012">
        <f>INDEX(TEMPLATE_NUMBER_POINT_FHD,B62,MATCH(TEMPLATE_SPHERE,TEMPLATE_SPHERE_LIST_FOR_NOTE,0))</f>
        <v>0</v>
      </c>
      <c r="J62" s="1012">
        <f>INDEX(TEMPLATE_DATA_POINT_FHD,B62,MATCH(TEMPLATE_SPHERE,TEMPLATE_SPHERE_LIST_FOR_NOTE,0))</f>
        <v>0</v>
      </c>
      <c r="K62" s="1012">
        <f>INDEX(TEMPLATE_NOTE_POINT_FHD,B62,MATCH(TEMPLATE_SPHERE,TEMPLATE_SPHERE_LIST_FOR_NOTE,0))</f>
        <v>0</v>
      </c>
      <c r="L62" s="850" t="str">
        <f>IF(I62=0,"",I62)</f>
        <v/>
      </c>
      <c r="M62" s="850" t="str">
        <f>IF(J62=0,"",J62)</f>
        <v/>
      </c>
      <c r="N62" s="850" t="str">
        <f>IF(K62=0,"",K62)</f>
        <v/>
      </c>
      <c r="O62" s="964"/>
      <c r="P62" s="964" t="s">
        <v>113</v>
      </c>
      <c r="Q62" s="964"/>
      <c r="R62" s="964"/>
      <c r="S62" s="964"/>
      <c r="T62" s="849"/>
      <c r="U62" s="849" t="s">
        <v>2065</v>
      </c>
      <c r="V62" s="849"/>
      <c r="W62" s="849"/>
      <c r="X62" s="849"/>
      <c r="Y62" s="1007"/>
      <c r="Z62" s="852"/>
      <c r="AA62" s="855"/>
      <c r="AB62" s="852"/>
      <c r="AC62" s="852"/>
      <c r="AD62" s="852"/>
    </row>
    <row customHeight="1" ht="18">
      <c r="A63" s="851"/>
      <c r="B63" s="905">
        <v>46</v>
      </c>
      <c r="C63" s="849"/>
      <c r="D63" s="974" t="s">
        <v>2066</v>
      </c>
      <c r="E63" s="849"/>
      <c r="F63" s="849"/>
      <c r="G63" s="849"/>
      <c r="H63" s="897"/>
      <c r="I63" s="1012">
        <f>INDEX(TEMPLATE_NUMBER_POINT_FHD,B63,MATCH(TEMPLATE_SPHERE,TEMPLATE_SPHERE_LIST_FOR_NOTE,0))</f>
        <v>0</v>
      </c>
      <c r="J63" s="1012">
        <f>INDEX(TEMPLATE_DATA_POINT_FHD,B63,MATCH(TEMPLATE_SPHERE,TEMPLATE_SPHERE_LIST_FOR_NOTE,0))</f>
        <v>0</v>
      </c>
      <c r="K63" s="1012">
        <f>INDEX(TEMPLATE_NOTE_POINT_FHD,B63,MATCH(TEMPLATE_SPHERE,TEMPLATE_SPHERE_LIST_FOR_NOTE,0))</f>
        <v>0</v>
      </c>
      <c r="L63" s="850" t="str">
        <f>IF(I63=0,"",I63)</f>
        <v/>
      </c>
      <c r="M63" s="850" t="str">
        <f>IF(J63=0,"",J63)</f>
        <v/>
      </c>
      <c r="N63" s="850" t="str">
        <f>IF(K63=0,"",K63)</f>
        <v/>
      </c>
      <c r="O63" s="964"/>
      <c r="P63" s="964" t="s">
        <v>149</v>
      </c>
      <c r="Q63" s="964"/>
      <c r="R63" s="964"/>
      <c r="S63" s="964"/>
      <c r="T63" s="849"/>
      <c r="U63" s="849" t="s">
        <v>2067</v>
      </c>
      <c r="V63" s="849"/>
      <c r="W63" s="849"/>
      <c r="X63" s="849"/>
      <c r="Y63" s="1007"/>
      <c r="Z63" s="852"/>
      <c r="AA63" s="855"/>
      <c r="AB63" s="852"/>
      <c r="AC63" s="852"/>
      <c r="AD63" s="852"/>
    </row>
    <row customHeight="1" ht="18">
      <c r="A64" s="851"/>
      <c r="B64" s="905">
        <v>47</v>
      </c>
      <c r="C64" s="849"/>
      <c r="D64" s="974" t="s">
        <v>2068</v>
      </c>
      <c r="E64" s="849"/>
      <c r="F64" s="849"/>
      <c r="G64" s="849"/>
      <c r="H64" s="897"/>
      <c r="I64" s="1012">
        <f>INDEX(TEMPLATE_NUMBER_POINT_FHD,B64,MATCH(TEMPLATE_SPHERE,TEMPLATE_SPHERE_LIST_FOR_NOTE,0))</f>
        <v>0</v>
      </c>
      <c r="J64" s="1012">
        <f>INDEX(TEMPLATE_DATA_POINT_FHD,B64,MATCH(TEMPLATE_SPHERE,TEMPLATE_SPHERE_LIST_FOR_NOTE,0))</f>
        <v>0</v>
      </c>
      <c r="K64" s="1012">
        <f>INDEX(TEMPLATE_NOTE_POINT_FHD,B64,MATCH(TEMPLATE_SPHERE,TEMPLATE_SPHERE_LIST_FOR_NOTE,0))</f>
        <v>0</v>
      </c>
      <c r="L64" s="850" t="str">
        <f>IF(I64=0,"",I64)</f>
        <v/>
      </c>
      <c r="M64" s="850" t="str">
        <f>IF(J64=0,"",J64)</f>
        <v/>
      </c>
      <c r="N64" s="850" t="str">
        <f>IF(K64=0,"",K64)</f>
        <v/>
      </c>
      <c r="O64" s="964"/>
      <c r="P64" s="964" t="s">
        <v>150</v>
      </c>
      <c r="Q64" s="964"/>
      <c r="R64" s="964"/>
      <c r="S64" s="964"/>
      <c r="T64" s="849"/>
      <c r="U64" s="849" t="s">
        <v>2069</v>
      </c>
      <c r="V64" s="849"/>
      <c r="W64" s="849"/>
      <c r="X64" s="849"/>
      <c r="Y64" s="1007"/>
      <c r="Z64" s="852"/>
      <c r="AA64" s="855" t="s">
        <v>2070</v>
      </c>
      <c r="AB64" s="852"/>
      <c r="AC64" s="852"/>
      <c r="AD64" s="852"/>
    </row>
    <row customHeight="1" ht="18">
      <c r="A65" s="851"/>
      <c r="B65" s="905">
        <v>48</v>
      </c>
      <c r="C65" s="849"/>
      <c r="D65" s="974"/>
      <c r="E65" s="849"/>
      <c r="F65" s="849"/>
      <c r="G65" s="849"/>
      <c r="H65" s="897"/>
      <c r="I65" s="1012">
        <f>INDEX(TEMPLATE_NUMBER_POINT_FHD,B65,MATCH(TEMPLATE_SPHERE,TEMPLATE_SPHERE_LIST_FOR_NOTE,0))</f>
        <v>0</v>
      </c>
      <c r="J65" s="1012">
        <f>INDEX(TEMPLATE_DATA_POINT_FHD,B65,MATCH(TEMPLATE_SPHERE,TEMPLATE_SPHERE_LIST_FOR_NOTE,0))</f>
        <v>0</v>
      </c>
      <c r="K65" s="1012">
        <f>INDEX(TEMPLATE_NOTE_POINT_FHD,B65,MATCH(TEMPLATE_SPHERE,TEMPLATE_SPHERE_LIST_FOR_NOTE,0))</f>
        <v>0</v>
      </c>
      <c r="L65" s="850" t="str">
        <f>IF(I65=0,"",I65)</f>
        <v/>
      </c>
      <c r="M65" s="850" t="str">
        <f>IF(J65=0,"",J65)</f>
        <v/>
      </c>
      <c r="N65" s="850" t="str">
        <f>IF(K65=0,"",K65)</f>
        <v/>
      </c>
      <c r="O65" s="964"/>
      <c r="P65" s="964" t="s">
        <v>1980</v>
      </c>
      <c r="Q65" s="964"/>
      <c r="R65" s="964"/>
      <c r="S65" s="964"/>
      <c r="T65" s="849"/>
      <c r="U65" s="849" t="s">
        <v>2071</v>
      </c>
      <c r="V65" s="849"/>
      <c r="W65" s="849"/>
      <c r="X65" s="849"/>
      <c r="Y65" s="1007"/>
      <c r="Z65" s="852"/>
      <c r="AA65" s="855"/>
      <c r="AB65" s="852"/>
      <c r="AC65" s="852"/>
      <c r="AD65" s="852"/>
    </row>
    <row customHeight="1" ht="18">
      <c r="A66" s="851"/>
      <c r="B66" s="905">
        <v>49</v>
      </c>
      <c r="C66" s="849"/>
      <c r="D66" s="974"/>
      <c r="E66" s="849"/>
      <c r="F66" s="849"/>
      <c r="G66" s="849"/>
      <c r="H66" s="897"/>
      <c r="I66" s="1012">
        <f>INDEX(TEMPLATE_NUMBER_POINT_FHD,B66,MATCH(TEMPLATE_SPHERE,TEMPLATE_SPHERE_LIST_FOR_NOTE,0))</f>
        <v>0</v>
      </c>
      <c r="J66" s="1012">
        <f>INDEX(TEMPLATE_DATA_POINT_FHD,B66,MATCH(TEMPLATE_SPHERE,TEMPLATE_SPHERE_LIST_FOR_NOTE,0))</f>
        <v>0</v>
      </c>
      <c r="K66" s="1012">
        <f>INDEX(TEMPLATE_NOTE_POINT_FHD,B66,MATCH(TEMPLATE_SPHERE,TEMPLATE_SPHERE_LIST_FOR_NOTE,0))</f>
        <v>0</v>
      </c>
      <c r="L66" s="850" t="str">
        <f>IF(I66=0,"",I66)</f>
        <v/>
      </c>
      <c r="M66" s="850" t="str">
        <f>IF(J66=0,"",J66)</f>
        <v/>
      </c>
      <c r="N66" s="850" t="str">
        <f>IF(K66=0,"",K66)</f>
        <v/>
      </c>
      <c r="O66" s="964"/>
      <c r="P66" s="964" t="s">
        <v>1984</v>
      </c>
      <c r="Q66" s="964"/>
      <c r="R66" s="964"/>
      <c r="S66" s="964"/>
      <c r="T66" s="849"/>
      <c r="U66" s="849" t="s">
        <v>2072</v>
      </c>
      <c r="V66" s="849"/>
      <c r="W66" s="849"/>
      <c r="X66" s="849"/>
      <c r="Y66" s="1007"/>
      <c r="Z66" s="852"/>
      <c r="AA66" s="855"/>
      <c r="AB66" s="852"/>
      <c r="AC66" s="852"/>
      <c r="AD66" s="852"/>
    </row>
    <row customHeight="1" ht="27">
      <c r="A67" s="851"/>
      <c r="B67" s="905">
        <v>50</v>
      </c>
      <c r="C67" s="849"/>
      <c r="D67" s="974"/>
      <c r="E67" s="849"/>
      <c r="F67" s="849"/>
      <c r="G67" s="849"/>
      <c r="H67" s="897"/>
      <c r="I67" s="1012">
        <f>INDEX(TEMPLATE_NUMBER_POINT_FHD,B67,MATCH(TEMPLATE_SPHERE,TEMPLATE_SPHERE_LIST_FOR_NOTE,0))</f>
        <v>0</v>
      </c>
      <c r="J67" s="1012">
        <f>INDEX(TEMPLATE_DATA_POINT_FHD,B67,MATCH(TEMPLATE_SPHERE,TEMPLATE_SPHERE_LIST_FOR_NOTE,0))</f>
        <v>0</v>
      </c>
      <c r="K67" s="1012">
        <f>INDEX(TEMPLATE_NOTE_POINT_FHD,B67,MATCH(TEMPLATE_SPHERE,TEMPLATE_SPHERE_LIST_FOR_NOTE,0))</f>
        <v>0</v>
      </c>
      <c r="L67" s="850" t="str">
        <f>IF(I67=0,"",I67)</f>
        <v/>
      </c>
      <c r="M67" s="850" t="str">
        <f>IF(J67=0,"",J67)</f>
        <v/>
      </c>
      <c r="N67" s="850" t="str">
        <f>IF(K67=0,"",K67)</f>
        <v/>
      </c>
      <c r="O67" s="964"/>
      <c r="P67" s="964" t="s">
        <v>2073</v>
      </c>
      <c r="Q67" s="964"/>
      <c r="R67" s="964"/>
      <c r="S67" s="964"/>
      <c r="T67" s="849"/>
      <c r="U67" s="849" t="s">
        <v>2074</v>
      </c>
      <c r="V67" s="849"/>
      <c r="W67" s="849"/>
      <c r="X67" s="849"/>
      <c r="Y67" s="1007"/>
      <c r="Z67" s="852"/>
      <c r="AA67" s="855"/>
      <c r="AB67" s="852"/>
      <c r="AC67" s="852"/>
      <c r="AD67" s="852"/>
    </row>
    <row customHeight="1" ht="27">
      <c r="A68" s="851"/>
      <c r="B68" s="905">
        <v>51</v>
      </c>
      <c r="C68" s="849"/>
      <c r="D68" s="974"/>
      <c r="E68" s="849"/>
      <c r="F68" s="849"/>
      <c r="G68" s="849"/>
      <c r="H68" s="897"/>
      <c r="I68" s="1012">
        <f>INDEX(TEMPLATE_NUMBER_POINT_FHD,B68,MATCH(TEMPLATE_SPHERE,TEMPLATE_SPHERE_LIST_FOR_NOTE,0))</f>
        <v>0</v>
      </c>
      <c r="J68" s="1012">
        <f>INDEX(TEMPLATE_DATA_POINT_FHD,B68,MATCH(TEMPLATE_SPHERE,TEMPLATE_SPHERE_LIST_FOR_NOTE,0))</f>
        <v>0</v>
      </c>
      <c r="K68" s="1012">
        <f>INDEX(TEMPLATE_NOTE_POINT_FHD,B68,MATCH(TEMPLATE_SPHERE,TEMPLATE_SPHERE_LIST_FOR_NOTE,0))</f>
        <v>0</v>
      </c>
      <c r="L68" s="850" t="str">
        <f>IF(I68=0,"",I68)</f>
        <v/>
      </c>
      <c r="M68" s="850" t="str">
        <f>IF(J68=0,"",J68)</f>
        <v/>
      </c>
      <c r="N68" s="850" t="str">
        <f>IF(K68=0,"",K68)</f>
        <v/>
      </c>
      <c r="O68" s="964"/>
      <c r="P68" s="964" t="s">
        <v>2075</v>
      </c>
      <c r="Q68" s="964"/>
      <c r="R68" s="964"/>
      <c r="S68" s="964"/>
      <c r="T68" s="849"/>
      <c r="U68" s="849" t="s">
        <v>2076</v>
      </c>
      <c r="V68" s="849"/>
      <c r="W68" s="849"/>
      <c r="X68" s="849"/>
      <c r="Y68" s="1007"/>
      <c r="Z68" s="852"/>
      <c r="AA68" s="855"/>
      <c r="AB68" s="852"/>
      <c r="AC68" s="852"/>
      <c r="AD68" s="852"/>
    </row>
    <row customHeight="1" ht="9">
      <c r="A69" s="851"/>
      <c r="B69" s="905">
        <v>52</v>
      </c>
      <c r="C69" s="849"/>
      <c r="D69" s="974" t="s">
        <v>2077</v>
      </c>
      <c r="E69" s="849"/>
      <c r="F69" s="849"/>
      <c r="G69" s="849"/>
      <c r="H69" s="897"/>
      <c r="I69" s="1012">
        <f>INDEX(TEMPLATE_NUMBER_POINT_FHD,B69,MATCH(TEMPLATE_SPHERE,TEMPLATE_SPHERE_LIST_FOR_NOTE,0))</f>
        <v>0</v>
      </c>
      <c r="J69" s="1012">
        <f>INDEX(TEMPLATE_DATA_POINT_FHD,B69,MATCH(TEMPLATE_SPHERE,TEMPLATE_SPHERE_LIST_FOR_NOTE,0))</f>
        <v>0</v>
      </c>
      <c r="K69" s="1012">
        <f>INDEX(TEMPLATE_NOTE_POINT_FHD,B69,MATCH(TEMPLATE_SPHERE,TEMPLATE_SPHERE_LIST_FOR_NOTE,0))</f>
        <v>0</v>
      </c>
      <c r="L69" s="850" t="str">
        <f>IF(I69=0,"",I69)</f>
        <v/>
      </c>
      <c r="M69" s="850" t="str">
        <f>IF(J69=0,"",J69)</f>
        <v/>
      </c>
      <c r="N69" s="850" t="str">
        <f>IF(K69=0,"",K69)</f>
        <v/>
      </c>
      <c r="O69" s="964"/>
      <c r="P69" s="964" t="s">
        <v>151</v>
      </c>
      <c r="Q69" s="964"/>
      <c r="R69" s="964"/>
      <c r="S69" s="964"/>
      <c r="T69" s="849"/>
      <c r="U69" s="849" t="s">
        <v>2078</v>
      </c>
      <c r="V69" s="849"/>
      <c r="W69" s="849"/>
      <c r="X69" s="849"/>
      <c r="Y69" s="1007"/>
      <c r="Z69" s="852"/>
      <c r="AA69" s="855"/>
      <c r="AB69" s="852"/>
      <c r="AC69" s="852"/>
      <c r="AD69" s="852"/>
    </row>
    <row customHeight="1" ht="27">
      <c r="A70" s="851"/>
      <c r="B70" s="905">
        <v>53</v>
      </c>
      <c r="C70" s="849"/>
      <c r="D70" s="974"/>
      <c r="E70" s="849" t="s">
        <v>2062</v>
      </c>
      <c r="F70" s="849"/>
      <c r="G70" s="849"/>
      <c r="H70" s="897"/>
      <c r="I70" s="1012">
        <f>INDEX(TEMPLATE_NUMBER_POINT_FHD,B70,MATCH(TEMPLATE_SPHERE,TEMPLATE_SPHERE_LIST_FOR_NOTE,0))</f>
        <v>0</v>
      </c>
      <c r="J70" s="1012">
        <f>INDEX(TEMPLATE_DATA_POINT_FHD,B70,MATCH(TEMPLATE_SPHERE,TEMPLATE_SPHERE_LIST_FOR_NOTE,0))</f>
        <v>0</v>
      </c>
      <c r="K70" s="1012">
        <f>INDEX(TEMPLATE_NOTE_POINT_FHD,B70,MATCH(TEMPLATE_SPHERE,TEMPLATE_SPHERE_LIST_FOR_NOTE,0))</f>
        <v>0</v>
      </c>
      <c r="L70" s="850" t="str">
        <f>IF(I70=0,"",I70)</f>
        <v/>
      </c>
      <c r="M70" s="850" t="str">
        <f>IF(J70=0,"",J70)</f>
        <v/>
      </c>
      <c r="N70" s="850" t="str">
        <f>IF(K70=0,"",K70)</f>
        <v/>
      </c>
      <c r="O70" s="964"/>
      <c r="P70" s="964"/>
      <c r="Q70" s="964" t="s">
        <v>93</v>
      </c>
      <c r="R70" s="964"/>
      <c r="S70" s="964"/>
      <c r="T70" s="849"/>
      <c r="U70" s="849"/>
      <c r="V70" s="849" t="s">
        <v>2079</v>
      </c>
      <c r="W70" s="849"/>
      <c r="X70" s="849"/>
      <c r="Y70" s="1007"/>
      <c r="Z70" s="852"/>
      <c r="AA70" s="855"/>
      <c r="AB70" s="852"/>
      <c r="AC70" s="852"/>
      <c r="AD70" s="852"/>
    </row>
    <row customHeight="1" ht="36">
      <c r="A71" s="851"/>
      <c r="B71" s="905">
        <v>54</v>
      </c>
      <c r="C71" s="849"/>
      <c r="D71" s="974"/>
      <c r="E71" s="849" t="s">
        <v>2064</v>
      </c>
      <c r="F71" s="849"/>
      <c r="G71" s="849"/>
      <c r="H71" s="897"/>
      <c r="I71" s="1012">
        <f>INDEX(TEMPLATE_NUMBER_POINT_FHD,B71,MATCH(TEMPLATE_SPHERE,TEMPLATE_SPHERE_LIST_FOR_NOTE,0))</f>
        <v>0</v>
      </c>
      <c r="J71" s="1012">
        <f>INDEX(TEMPLATE_DATA_POINT_FHD,B71,MATCH(TEMPLATE_SPHERE,TEMPLATE_SPHERE_LIST_FOR_NOTE,0))</f>
        <v>0</v>
      </c>
      <c r="K71" s="1012">
        <f>INDEX(TEMPLATE_NOTE_POINT_FHD,B71,MATCH(TEMPLATE_SPHERE,TEMPLATE_SPHERE_LIST_FOR_NOTE,0))</f>
        <v>0</v>
      </c>
      <c r="L71" s="850" t="str">
        <f>IF(I71=0,"",I71)</f>
        <v/>
      </c>
      <c r="M71" s="850" t="str">
        <f>IF(J71=0,"",J71)</f>
        <v/>
      </c>
      <c r="N71" s="850" t="str">
        <f>IF(K71=0,"",K71)</f>
        <v/>
      </c>
      <c r="O71" s="964"/>
      <c r="P71" s="964"/>
      <c r="Q71" s="964" t="s">
        <v>113</v>
      </c>
      <c r="R71" s="964"/>
      <c r="S71" s="964"/>
      <c r="T71" s="849"/>
      <c r="U71" s="849"/>
      <c r="V71" s="849" t="s">
        <v>2080</v>
      </c>
      <c r="W71" s="849"/>
      <c r="X71" s="849"/>
      <c r="Y71" s="1007"/>
      <c r="Z71" s="852"/>
      <c r="AA71" s="855"/>
      <c r="AB71" s="852"/>
      <c r="AC71" s="852"/>
      <c r="AD71" s="852"/>
    </row>
    <row customHeight="1" ht="27">
      <c r="A72" s="851"/>
      <c r="B72" s="905">
        <v>55</v>
      </c>
      <c r="C72" s="849"/>
      <c r="D72" s="974"/>
      <c r="E72" s="849" t="s">
        <v>2066</v>
      </c>
      <c r="F72" s="849"/>
      <c r="G72" s="849"/>
      <c r="H72" s="897"/>
      <c r="I72" s="1012">
        <f>INDEX(TEMPLATE_NUMBER_POINT_FHD,B72,MATCH(TEMPLATE_SPHERE,TEMPLATE_SPHERE_LIST_FOR_NOTE,0))</f>
        <v>0</v>
      </c>
      <c r="J72" s="1012">
        <f>INDEX(TEMPLATE_DATA_POINT_FHD,B72,MATCH(TEMPLATE_SPHERE,TEMPLATE_SPHERE_LIST_FOR_NOTE,0))</f>
        <v>0</v>
      </c>
      <c r="K72" s="1012">
        <f>INDEX(TEMPLATE_NOTE_POINT_FHD,B72,MATCH(TEMPLATE_SPHERE,TEMPLATE_SPHERE_LIST_FOR_NOTE,0))</f>
        <v>0</v>
      </c>
      <c r="L72" s="850" t="str">
        <f>IF(I72=0,"",I72)</f>
        <v/>
      </c>
      <c r="M72" s="850" t="str">
        <f>IF(J72=0,"",J72)</f>
        <v/>
      </c>
      <c r="N72" s="850" t="str">
        <f>IF(K72=0,"",K72)</f>
        <v/>
      </c>
      <c r="O72" s="964"/>
      <c r="P72" s="964"/>
      <c r="Q72" s="964" t="s">
        <v>149</v>
      </c>
      <c r="R72" s="964"/>
      <c r="S72" s="964"/>
      <c r="T72" s="849"/>
      <c r="U72" s="849"/>
      <c r="V72" s="849" t="s">
        <v>2081</v>
      </c>
      <c r="W72" s="849"/>
      <c r="X72" s="849"/>
      <c r="Y72" s="1007"/>
      <c r="Z72" s="852"/>
      <c r="AA72" s="855"/>
      <c r="AB72" s="852"/>
      <c r="AC72" s="852"/>
      <c r="AD72" s="852"/>
    </row>
    <row customHeight="1" ht="36">
      <c r="A73" s="851"/>
      <c r="B73" s="905">
        <v>56</v>
      </c>
      <c r="C73" s="849"/>
      <c r="D73" s="974"/>
      <c r="E73" s="849" t="s">
        <v>2068</v>
      </c>
      <c r="F73" s="849"/>
      <c r="G73" s="849"/>
      <c r="H73" s="897"/>
      <c r="I73" s="1012">
        <f>INDEX(TEMPLATE_NUMBER_POINT_FHD,B73,MATCH(TEMPLATE_SPHERE,TEMPLATE_SPHERE_LIST_FOR_NOTE,0))</f>
        <v>0</v>
      </c>
      <c r="J73" s="1012">
        <f>INDEX(TEMPLATE_DATA_POINT_FHD,B73,MATCH(TEMPLATE_SPHERE,TEMPLATE_SPHERE_LIST_FOR_NOTE,0))</f>
        <v>0</v>
      </c>
      <c r="K73" s="1012">
        <f>INDEX(TEMPLATE_NOTE_POINT_FHD,B73,MATCH(TEMPLATE_SPHERE,TEMPLATE_SPHERE_LIST_FOR_NOTE,0))</f>
        <v>0</v>
      </c>
      <c r="L73" s="850" t="str">
        <f>IF(I73=0,"",I73)</f>
        <v/>
      </c>
      <c r="M73" s="850" t="str">
        <f>IF(J73=0,"",J73)</f>
        <v/>
      </c>
      <c r="N73" s="850" t="str">
        <f>IF(K73=0,"",K73)</f>
        <v/>
      </c>
      <c r="O73" s="964"/>
      <c r="P73" s="964"/>
      <c r="Q73" s="964" t="s">
        <v>150</v>
      </c>
      <c r="R73" s="964"/>
      <c r="S73" s="964"/>
      <c r="T73" s="849"/>
      <c r="U73" s="849"/>
      <c r="V73" s="849" t="s">
        <v>2082</v>
      </c>
      <c r="W73" s="849"/>
      <c r="X73" s="849"/>
      <c r="Y73" s="1007"/>
      <c r="Z73" s="852"/>
      <c r="AA73" s="855"/>
      <c r="AB73" s="852"/>
      <c r="AC73" s="852"/>
      <c r="AD73" s="852"/>
    </row>
    <row customHeight="1" ht="18">
      <c r="A74" s="851"/>
      <c r="B74" s="905">
        <v>57</v>
      </c>
      <c r="C74" s="849"/>
      <c r="D74" s="974"/>
      <c r="E74" s="849" t="s">
        <v>2077</v>
      </c>
      <c r="F74" s="849"/>
      <c r="G74" s="849"/>
      <c r="H74" s="897"/>
      <c r="I74" s="1012">
        <f>INDEX(TEMPLATE_NUMBER_POINT_FHD,B74,MATCH(TEMPLATE_SPHERE,TEMPLATE_SPHERE_LIST_FOR_NOTE,0))</f>
        <v>0</v>
      </c>
      <c r="J74" s="1012">
        <f>INDEX(TEMPLATE_DATA_POINT_FHD,B74,MATCH(TEMPLATE_SPHERE,TEMPLATE_SPHERE_LIST_FOR_NOTE,0))</f>
        <v>0</v>
      </c>
      <c r="K74" s="1012">
        <f>INDEX(TEMPLATE_NOTE_POINT_FHD,B74,MATCH(TEMPLATE_SPHERE,TEMPLATE_SPHERE_LIST_FOR_NOTE,0))</f>
        <v>0</v>
      </c>
      <c r="L74" s="850" t="str">
        <f>IF(I74=0,"",I74)</f>
        <v/>
      </c>
      <c r="M74" s="850" t="str">
        <f>IF(J74=0,"",J74)</f>
        <v/>
      </c>
      <c r="N74" s="850" t="str">
        <f>IF(K74=0,"",K74)</f>
        <v/>
      </c>
      <c r="O74" s="964"/>
      <c r="P74" s="964"/>
      <c r="Q74" s="964" t="s">
        <v>151</v>
      </c>
      <c r="R74" s="964"/>
      <c r="S74" s="964"/>
      <c r="T74" s="849"/>
      <c r="U74" s="849"/>
      <c r="V74" s="849" t="s">
        <v>2083</v>
      </c>
      <c r="W74" s="849"/>
      <c r="X74" s="849"/>
      <c r="Y74" s="1007"/>
      <c r="Z74" s="852"/>
      <c r="AA74" s="855"/>
      <c r="AB74" s="852"/>
      <c r="AC74" s="852"/>
      <c r="AD74" s="852"/>
    </row>
    <row customHeight="1" ht="18">
      <c r="A75" s="851"/>
      <c r="B75" s="905">
        <v>58</v>
      </c>
      <c r="C75" s="849"/>
      <c r="D75" s="974"/>
      <c r="E75" s="849"/>
      <c r="F75" s="849" t="s">
        <v>2062</v>
      </c>
      <c r="G75" s="849"/>
      <c r="H75" s="897"/>
      <c r="I75" s="1012">
        <f>INDEX(TEMPLATE_NUMBER_POINT_FHD,B75,MATCH(TEMPLATE_SPHERE,TEMPLATE_SPHERE_LIST_FOR_NOTE,0))</f>
        <v>0</v>
      </c>
      <c r="J75" s="1012">
        <f>INDEX(TEMPLATE_DATA_POINT_FHD,B75,MATCH(TEMPLATE_SPHERE,TEMPLATE_SPHERE_LIST_FOR_NOTE,0))</f>
        <v>0</v>
      </c>
      <c r="K75" s="1012">
        <f>INDEX(TEMPLATE_NOTE_POINT_FHD,B75,MATCH(TEMPLATE_SPHERE,TEMPLATE_SPHERE_LIST_FOR_NOTE,0))</f>
        <v>0</v>
      </c>
      <c r="L75" s="850" t="str">
        <f>IF(I75=0,"",I75)</f>
        <v/>
      </c>
      <c r="M75" s="850" t="str">
        <f>IF(J75=0,"",J75)</f>
        <v/>
      </c>
      <c r="N75" s="850" t="str">
        <f>IF(K75=0,"",K75)</f>
        <v/>
      </c>
      <c r="O75" s="964"/>
      <c r="P75" s="964"/>
      <c r="Q75" s="964"/>
      <c r="R75" s="964" t="s">
        <v>93</v>
      </c>
      <c r="S75" s="964"/>
      <c r="T75" s="849"/>
      <c r="U75" s="849"/>
      <c r="V75" s="849"/>
      <c r="W75" s="849" t="s">
        <v>2084</v>
      </c>
      <c r="X75" s="849"/>
      <c r="Y75" s="1007"/>
      <c r="Z75" s="852"/>
      <c r="AA75" s="855"/>
      <c r="AB75" s="852"/>
      <c r="AC75" s="852"/>
      <c r="AD75" s="852"/>
    </row>
    <row customHeight="1" ht="36">
      <c r="A76" s="851"/>
      <c r="B76" s="905">
        <v>59</v>
      </c>
      <c r="C76" s="849"/>
      <c r="D76" s="974"/>
      <c r="E76" s="849"/>
      <c r="F76" s="849" t="s">
        <v>2064</v>
      </c>
      <c r="G76" s="849"/>
      <c r="H76" s="897"/>
      <c r="I76" s="1012">
        <f>INDEX(TEMPLATE_NUMBER_POINT_FHD,B76,MATCH(TEMPLATE_SPHERE,TEMPLATE_SPHERE_LIST_FOR_NOTE,0))</f>
        <v>0</v>
      </c>
      <c r="J76" s="1012">
        <f>INDEX(TEMPLATE_DATA_POINT_FHD,B76,MATCH(TEMPLATE_SPHERE,TEMPLATE_SPHERE_LIST_FOR_NOTE,0))</f>
        <v>0</v>
      </c>
      <c r="K76" s="1012">
        <f>INDEX(TEMPLATE_NOTE_POINT_FHD,B76,MATCH(TEMPLATE_SPHERE,TEMPLATE_SPHERE_LIST_FOR_NOTE,0))</f>
        <v>0</v>
      </c>
      <c r="L76" s="850" t="str">
        <f>IF(I76=0,"",I76)</f>
        <v/>
      </c>
      <c r="M76" s="850" t="str">
        <f>IF(J76=0,"",J76)</f>
        <v/>
      </c>
      <c r="N76" s="850" t="str">
        <f>IF(K76=0,"",K76)</f>
        <v/>
      </c>
      <c r="O76" s="964"/>
      <c r="P76" s="964"/>
      <c r="Q76" s="964"/>
      <c r="R76" s="964" t="s">
        <v>113</v>
      </c>
      <c r="S76" s="964"/>
      <c r="T76" s="849"/>
      <c r="U76" s="849"/>
      <c r="V76" s="849"/>
      <c r="W76" s="849" t="s">
        <v>2085</v>
      </c>
      <c r="X76" s="849"/>
      <c r="Y76" s="1007"/>
      <c r="Z76" s="852"/>
      <c r="AA76" s="855"/>
      <c r="AB76" s="852"/>
      <c r="AC76" s="852"/>
      <c r="AD76" s="852"/>
    </row>
    <row customHeight="1" ht="18">
      <c r="A77" s="851"/>
      <c r="B77" s="905">
        <v>60</v>
      </c>
      <c r="C77" s="849"/>
      <c r="D77" s="974"/>
      <c r="E77" s="849"/>
      <c r="F77" s="849" t="s">
        <v>2066</v>
      </c>
      <c r="G77" s="849"/>
      <c r="H77" s="897"/>
      <c r="I77" s="1012">
        <f>INDEX(TEMPLATE_NUMBER_POINT_FHD,B77,MATCH(TEMPLATE_SPHERE,TEMPLATE_SPHERE_LIST_FOR_NOTE,0))</f>
        <v>0</v>
      </c>
      <c r="J77" s="1012">
        <f>INDEX(TEMPLATE_DATA_POINT_FHD,B77,MATCH(TEMPLATE_SPHERE,TEMPLATE_SPHERE_LIST_FOR_NOTE,0))</f>
        <v>0</v>
      </c>
      <c r="K77" s="1012">
        <f>INDEX(TEMPLATE_NOTE_POINT_FHD,B77,MATCH(TEMPLATE_SPHERE,TEMPLATE_SPHERE_LIST_FOR_NOTE,0))</f>
        <v>0</v>
      </c>
      <c r="L77" s="850" t="str">
        <f>IF(I77=0,"",I77)</f>
        <v/>
      </c>
      <c r="M77" s="850" t="str">
        <f>IF(J77=0,"",J77)</f>
        <v/>
      </c>
      <c r="N77" s="850" t="str">
        <f>IF(K77=0,"",K77)</f>
        <v/>
      </c>
      <c r="O77" s="964"/>
      <c r="P77" s="964"/>
      <c r="Q77" s="964"/>
      <c r="R77" s="964" t="s">
        <v>149</v>
      </c>
      <c r="S77" s="964"/>
      <c r="T77" s="849"/>
      <c r="U77" s="849"/>
      <c r="V77" s="849"/>
      <c r="W77" s="849" t="s">
        <v>2086</v>
      </c>
      <c r="X77" s="849"/>
      <c r="Y77" s="1007"/>
      <c r="Z77" s="852"/>
      <c r="AA77" s="855"/>
      <c r="AB77" s="852"/>
      <c r="AC77" s="852"/>
      <c r="AD77" s="852"/>
    </row>
    <row customHeight="1" ht="72">
      <c r="A78" s="851"/>
      <c r="B78" s="905">
        <v>61</v>
      </c>
      <c r="C78" s="849" t="s">
        <v>2062</v>
      </c>
      <c r="D78" s="974"/>
      <c r="E78" s="849"/>
      <c r="F78" s="849"/>
      <c r="G78" s="849"/>
      <c r="H78" s="897"/>
      <c r="I78" s="1012" t="str">
        <f>INDEX(TEMPLATE_NUMBER_POINT_FHD,B78,MATCH(TEMPLATE_SPHERE,TEMPLATE_SPHERE_LIST_FOR_NOTE,0))</f>
        <v>7</v>
      </c>
      <c r="J78" s="1012"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12"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850" t="str">
        <f>IF(I78=0,"",I78)</f>
        <v>7</v>
      </c>
      <c r="M78" s="850"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850"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964" t="s">
        <v>93</v>
      </c>
      <c r="P78" s="964"/>
      <c r="Q78" s="964"/>
      <c r="R78" s="964"/>
      <c r="S78" s="964"/>
      <c r="T78" s="849" t="s">
        <v>2087</v>
      </c>
      <c r="U78" s="849"/>
      <c r="V78" s="849"/>
      <c r="W78" s="849"/>
      <c r="X78" s="849"/>
      <c r="Y78" s="1007"/>
      <c r="Z78" s="852" t="s">
        <v>2088</v>
      </c>
      <c r="AA78" s="855"/>
      <c r="AB78" s="852"/>
      <c r="AC78" s="852"/>
      <c r="AD78" s="852"/>
    </row>
    <row customHeight="1" ht="36">
      <c r="A79" s="851"/>
      <c r="B79" s="905">
        <v>62</v>
      </c>
      <c r="C79" s="849" t="s">
        <v>2064</v>
      </c>
      <c r="D79" s="974"/>
      <c r="E79" s="849"/>
      <c r="F79" s="849"/>
      <c r="G79" s="849"/>
      <c r="H79" s="897"/>
      <c r="I79" s="1012" t="str">
        <f>INDEX(TEMPLATE_NUMBER_POINT_FHD,B79,MATCH(TEMPLATE_SPHERE,TEMPLATE_SPHERE_LIST_FOR_NOTE,0))</f>
        <v>8</v>
      </c>
      <c r="J79" s="1012"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12"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850" t="str">
        <f>IF(I79=0,"",I79)</f>
        <v>8</v>
      </c>
      <c r="M79" s="850" t="str">
        <f>IF(J79=0,"",J79)</f>
        <v>Тепловая нагрузка по договорам, заключенным в рамках осуществления регулируемых видов деятельности</v>
      </c>
      <c r="N79" s="850" t="str">
        <f>IF(K79=0,"",K79)</f>
        <v>Регулируемыми организациями указывается информация по договорам, заключенным в рамках осуществления регулируемых видов деятельности</v>
      </c>
      <c r="O79" s="964" t="s">
        <v>113</v>
      </c>
      <c r="P79" s="964"/>
      <c r="Q79" s="964"/>
      <c r="R79" s="964"/>
      <c r="S79" s="964"/>
      <c r="T79" s="849" t="s">
        <v>2089</v>
      </c>
      <c r="U79" s="849"/>
      <c r="V79" s="849"/>
      <c r="W79" s="849"/>
      <c r="X79" s="849"/>
      <c r="Y79" s="1007"/>
      <c r="Z79" s="852" t="s">
        <v>2090</v>
      </c>
      <c r="AA79" s="855"/>
      <c r="AB79" s="852"/>
      <c r="AC79" s="852"/>
      <c r="AD79" s="852"/>
    </row>
    <row customHeight="1" ht="45">
      <c r="A80" s="851"/>
      <c r="B80" s="905">
        <v>63</v>
      </c>
      <c r="C80" s="849" t="s">
        <v>2066</v>
      </c>
      <c r="D80" s="974"/>
      <c r="E80" s="849"/>
      <c r="F80" s="849"/>
      <c r="G80" s="849"/>
      <c r="H80" s="897"/>
      <c r="I80" s="1012" t="str">
        <f>INDEX(TEMPLATE_NUMBER_POINT_FHD,B80,MATCH(TEMPLATE_SPHERE,TEMPLATE_SPHERE_LIST_FOR_NOTE,0))</f>
        <v>9</v>
      </c>
      <c r="J80" s="1012"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12"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850" t="str">
        <f>IF(I80=0,"",I80)</f>
        <v>9</v>
      </c>
      <c r="M80" s="850" t="str">
        <f>IF(J80=0,"",J80)</f>
        <v>Объем вырабатываемой регулируемой организацией тепловой энергии в рамках осуществления регулируемых видов деятельности</v>
      </c>
      <c r="N80" s="850"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964" t="s">
        <v>149</v>
      </c>
      <c r="P80" s="964"/>
      <c r="Q80" s="964"/>
      <c r="R80" s="964"/>
      <c r="S80" s="964"/>
      <c r="T80" s="849" t="s">
        <v>2091</v>
      </c>
      <c r="U80" s="849"/>
      <c r="V80" s="849"/>
      <c r="W80" s="849"/>
      <c r="X80" s="849"/>
      <c r="Y80" s="1007"/>
      <c r="Z80" s="852" t="s">
        <v>2092</v>
      </c>
      <c r="AA80" s="855"/>
      <c r="AB80" s="852"/>
      <c r="AC80" s="852"/>
      <c r="AD80" s="852"/>
    </row>
    <row customHeight="1" ht="36">
      <c r="A81" s="851"/>
      <c r="B81" s="905">
        <v>64</v>
      </c>
      <c r="C81" s="849" t="s">
        <v>2068</v>
      </c>
      <c r="D81" s="974"/>
      <c r="E81" s="849"/>
      <c r="F81" s="849"/>
      <c r="G81" s="849"/>
      <c r="H81" s="897"/>
      <c r="I81" s="1012" t="str">
        <f>INDEX(TEMPLATE_NUMBER_POINT_FHD,B81,MATCH(TEMPLATE_SPHERE,TEMPLATE_SPHERE_LIST_FOR_NOTE,0))</f>
        <v>9.1</v>
      </c>
      <c r="J81" s="1012"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12" t="str">
        <f>INDEX(TEMPLATE_NOTE_POINT_FHD,B81,MATCH(TEMPLATE_SPHERE,TEMPLATE_SPHERE_LIST_FOR_NOTE,0))</f>
        <v>Информация указывается только едиными теплоснабжающими организациями.</v>
      </c>
      <c r="L81" s="850" t="str">
        <f>IF(I81=0,"",I81)</f>
        <v>9.1</v>
      </c>
      <c r="M81" s="850" t="str">
        <f>IF(J81=0,"",J81)</f>
        <v>Объем приобретаемой регулируемой организацией тепловой энергии в рамках осуществления регулируемых видов деятельности</v>
      </c>
      <c r="N81" s="850" t="str">
        <f>IF(K81=0,"",K81)</f>
        <v>Информация указывается только едиными теплоснабжающими организациями.</v>
      </c>
      <c r="O81" s="964" t="s">
        <v>1971</v>
      </c>
      <c r="P81" s="964"/>
      <c r="Q81" s="964"/>
      <c r="R81" s="964"/>
      <c r="S81" s="964"/>
      <c r="T81" s="849" t="s">
        <v>2093</v>
      </c>
      <c r="U81" s="849"/>
      <c r="V81" s="849"/>
      <c r="W81" s="849"/>
      <c r="X81" s="849"/>
      <c r="Y81" s="1007"/>
      <c r="Z81" s="852" t="s">
        <v>2094</v>
      </c>
      <c r="AA81" s="855"/>
      <c r="AB81" s="852"/>
      <c r="AC81" s="852"/>
      <c r="AD81" s="852"/>
    </row>
    <row customHeight="1" ht="90">
      <c r="A82" s="851"/>
      <c r="B82" s="905">
        <v>65</v>
      </c>
      <c r="C82" s="849" t="s">
        <v>2077</v>
      </c>
      <c r="D82" s="974"/>
      <c r="E82" s="849"/>
      <c r="F82" s="849"/>
      <c r="G82" s="849"/>
      <c r="H82" s="897"/>
      <c r="I82" s="1012" t="str">
        <f>INDEX(TEMPLATE_NUMBER_POINT_FHD,B82,MATCH(TEMPLATE_SPHERE,TEMPLATE_SPHERE_LIST_FOR_NOTE,0))</f>
        <v>10</v>
      </c>
      <c r="J82" s="1012"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12"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850" t="str">
        <f>IF(I82=0,"",I82)</f>
        <v>10</v>
      </c>
      <c r="M82" s="850"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850"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964" t="s">
        <v>150</v>
      </c>
      <c r="P82" s="964"/>
      <c r="Q82" s="964"/>
      <c r="R82" s="964"/>
      <c r="S82" s="964"/>
      <c r="T82" s="849" t="s">
        <v>2095</v>
      </c>
      <c r="U82" s="849"/>
      <c r="V82" s="849"/>
      <c r="W82" s="849"/>
      <c r="X82" s="849"/>
      <c r="Y82" s="1007"/>
      <c r="Z82" s="852" t="s">
        <v>2096</v>
      </c>
      <c r="AA82" s="855"/>
      <c r="AB82" s="852"/>
      <c r="AC82" s="852"/>
      <c r="AD82" s="852"/>
    </row>
    <row customHeight="1" ht="9">
      <c r="A83" s="851"/>
      <c r="B83" s="905">
        <v>66</v>
      </c>
      <c r="C83" s="849"/>
      <c r="D83" s="974"/>
      <c r="E83" s="849"/>
      <c r="F83" s="849"/>
      <c r="G83" s="849"/>
      <c r="H83" s="897"/>
      <c r="I83" s="1012" t="str">
        <f>INDEX(TEMPLATE_NUMBER_POINT_FHD,B83,MATCH(TEMPLATE_SPHERE,TEMPLATE_SPHERE_LIST_FOR_NOTE,0))</f>
        <v>10.1</v>
      </c>
      <c r="J83" s="1012" t="str">
        <f>INDEX(TEMPLATE_DATA_POINT_FHD,B83,MATCH(TEMPLATE_SPHERE,TEMPLATE_SPHERE_LIST_FOR_NOTE,0))</f>
        <v>По приборам учёта </v>
      </c>
      <c r="K83" s="1012">
        <f>INDEX(TEMPLATE_NOTE_POINT_FHD,B83,MATCH(TEMPLATE_SPHERE,TEMPLATE_SPHERE_LIST_FOR_NOTE,0))</f>
        <v>0</v>
      </c>
      <c r="L83" s="850" t="str">
        <f>IF(I83=0,"",I83)</f>
        <v>10.1</v>
      </c>
      <c r="M83" s="850" t="str">
        <f>IF(J83=0,"",J83)</f>
        <v>По приборам учёта </v>
      </c>
      <c r="N83" s="850" t="str">
        <f>IF(K83=0,"",K83)</f>
        <v/>
      </c>
      <c r="O83" s="964" t="s">
        <v>1980</v>
      </c>
      <c r="P83" s="964"/>
      <c r="Q83" s="964"/>
      <c r="R83" s="964"/>
      <c r="S83" s="964"/>
      <c r="T83" s="849" t="s">
        <v>2097</v>
      </c>
      <c r="U83" s="849"/>
      <c r="V83" s="849"/>
      <c r="W83" s="849"/>
      <c r="X83" s="849"/>
      <c r="Y83" s="1007"/>
      <c r="Z83" s="852"/>
      <c r="AA83" s="855"/>
      <c r="AB83" s="852"/>
      <c r="AC83" s="852"/>
      <c r="AD83" s="852"/>
    </row>
    <row customHeight="1" ht="54">
      <c r="A84" s="851"/>
      <c r="B84" s="905">
        <v>67</v>
      </c>
      <c r="C84" s="849"/>
      <c r="D84" s="974"/>
      <c r="E84" s="849"/>
      <c r="F84" s="849"/>
      <c r="G84" s="849"/>
      <c r="H84" s="897"/>
      <c r="I84" s="1012" t="str">
        <f>INDEX(TEMPLATE_NUMBER_POINT_FHD,B84,MATCH(TEMPLATE_SPHERE,TEMPLATE_SPHERE_LIST_FOR_NOTE,0))</f>
        <v>10.1.1</v>
      </c>
      <c r="J84" s="1012"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12">
        <f>INDEX(TEMPLATE_NOTE_POINT_FHD,B84,MATCH(TEMPLATE_SPHERE,TEMPLATE_SPHERE_LIST_FOR_NOTE,0))</f>
        <v>0</v>
      </c>
      <c r="L84" s="850" t="str">
        <f>IF(I84=0,"",I84)</f>
        <v>10.1.1</v>
      </c>
      <c r="M84" s="850"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850" t="str">
        <f>IF(K84=0,"",K84)</f>
        <v/>
      </c>
      <c r="O84" s="964" t="s">
        <v>2098</v>
      </c>
      <c r="P84" s="964"/>
      <c r="Q84" s="964"/>
      <c r="R84" s="964"/>
      <c r="S84" s="964"/>
      <c r="T84" s="849" t="s">
        <v>2099</v>
      </c>
      <c r="U84" s="849"/>
      <c r="V84" s="849"/>
      <c r="W84" s="849"/>
      <c r="X84" s="849"/>
      <c r="Y84" s="1007"/>
      <c r="Z84" s="852"/>
      <c r="AA84" s="855"/>
      <c r="AB84" s="852"/>
      <c r="AC84" s="852"/>
      <c r="AD84" s="852"/>
    </row>
    <row customHeight="1" ht="9">
      <c r="A85" s="851"/>
      <c r="B85" s="905">
        <v>68</v>
      </c>
      <c r="C85" s="849"/>
      <c r="D85" s="974"/>
      <c r="E85" s="849"/>
      <c r="F85" s="849"/>
      <c r="G85" s="849"/>
      <c r="H85" s="897"/>
      <c r="I85" s="1012" t="str">
        <f>INDEX(TEMPLATE_NUMBER_POINT_FHD,B85,MATCH(TEMPLATE_SPHERE,TEMPLATE_SPHERE_LIST_FOR_NOTE,0))</f>
        <v>10.2</v>
      </c>
      <c r="J85" s="1012" t="str">
        <f>INDEX(TEMPLATE_DATA_POINT_FHD,B85,MATCH(TEMPLATE_SPHERE,TEMPLATE_SPHERE_LIST_FOR_NOTE,0))</f>
        <v>Расчётным путём</v>
      </c>
      <c r="K85" s="1012">
        <f>INDEX(TEMPLATE_NOTE_POINT_FHD,B85,MATCH(TEMPLATE_SPHERE,TEMPLATE_SPHERE_LIST_FOR_NOTE,0))</f>
        <v>0</v>
      </c>
      <c r="L85" s="850" t="str">
        <f>IF(I85=0,"",I85)</f>
        <v>10.2</v>
      </c>
      <c r="M85" s="850" t="str">
        <f>IF(J85=0,"",J85)</f>
        <v>Расчётным путём</v>
      </c>
      <c r="N85" s="850" t="str">
        <f>IF(K85=0,"",K85)</f>
        <v/>
      </c>
      <c r="O85" s="964" t="s">
        <v>1984</v>
      </c>
      <c r="P85" s="964"/>
      <c r="Q85" s="964"/>
      <c r="R85" s="964"/>
      <c r="S85" s="964"/>
      <c r="T85" s="849" t="s">
        <v>2100</v>
      </c>
      <c r="U85" s="849"/>
      <c r="V85" s="849"/>
      <c r="W85" s="849"/>
      <c r="X85" s="849"/>
      <c r="Y85" s="1007"/>
      <c r="Z85" s="852"/>
      <c r="AA85" s="855"/>
      <c r="AB85" s="852"/>
      <c r="AC85" s="852"/>
      <c r="AD85" s="852"/>
    </row>
    <row customHeight="1" ht="27">
      <c r="A86" s="851"/>
      <c r="B86" s="905">
        <v>69</v>
      </c>
      <c r="C86" s="849"/>
      <c r="D86" s="974"/>
      <c r="E86" s="849"/>
      <c r="F86" s="849"/>
      <c r="G86" s="849"/>
      <c r="H86" s="897"/>
      <c r="I86" s="1012" t="str">
        <f>INDEX(TEMPLATE_NUMBER_POINT_FHD,B86,MATCH(TEMPLATE_SPHERE,TEMPLATE_SPHERE_LIST_FOR_NOTE,0))</f>
        <v>10.3</v>
      </c>
      <c r="J86" s="1012" t="str">
        <f>INDEX(TEMPLATE_DATA_POINT_FHD,B86,MATCH(TEMPLATE_SPHERE,TEMPLATE_SPHERE_LIST_FOR_NOTE,0))</f>
        <v>По нормативам потребления коммунальных услуг и нормативам потребления коммунальных ресурсов</v>
      </c>
      <c r="K86" s="1012">
        <f>INDEX(TEMPLATE_NOTE_POINT_FHD,B86,MATCH(TEMPLATE_SPHERE,TEMPLATE_SPHERE_LIST_FOR_NOTE,0))</f>
        <v>0</v>
      </c>
      <c r="L86" s="850" t="str">
        <f>IF(I86=0,"",I86)</f>
        <v>10.3</v>
      </c>
      <c r="M86" s="850" t="str">
        <f>IF(J86=0,"",J86)</f>
        <v>По нормативам потребления коммунальных услуг и нормативам потребления коммунальных ресурсов</v>
      </c>
      <c r="N86" s="850" t="str">
        <f>IF(K86=0,"",K86)</f>
        <v/>
      </c>
      <c r="O86" s="964" t="s">
        <v>2101</v>
      </c>
      <c r="P86" s="964"/>
      <c r="Q86" s="964"/>
      <c r="R86" s="964"/>
      <c r="S86" s="964"/>
      <c r="T86" s="849" t="s">
        <v>2102</v>
      </c>
      <c r="U86" s="849"/>
      <c r="V86" s="849"/>
      <c r="W86" s="849"/>
      <c r="X86" s="849"/>
      <c r="Y86" s="1007"/>
      <c r="Z86" s="852"/>
      <c r="AA86" s="855"/>
      <c r="AB86" s="852"/>
      <c r="AC86" s="852"/>
      <c r="AD86" s="852"/>
    </row>
    <row customHeight="1" ht="36">
      <c r="A87" s="851"/>
      <c r="B87" s="905">
        <v>70</v>
      </c>
      <c r="C87" s="849" t="s">
        <v>2103</v>
      </c>
      <c r="D87" s="974"/>
      <c r="E87" s="849"/>
      <c r="F87" s="849"/>
      <c r="G87" s="849"/>
      <c r="H87" s="897"/>
      <c r="I87" s="1012" t="str">
        <f>INDEX(TEMPLATE_NUMBER_POINT_FHD,B87,MATCH(TEMPLATE_SPHERE,TEMPLATE_SPHERE_LIST_FOR_NOTE,0))</f>
        <v>11</v>
      </c>
      <c r="J87" s="1012"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12">
        <f>INDEX(TEMPLATE_NOTE_POINT_FHD,B87,MATCH(TEMPLATE_SPHERE,TEMPLATE_SPHERE_LIST_FOR_NOTE,0))</f>
        <v>0</v>
      </c>
      <c r="L87" s="850" t="str">
        <f>IF(I87=0,"",I87)</f>
        <v>11</v>
      </c>
      <c r="M87" s="850" t="str">
        <f>IF(J87=0,"",J87)</f>
        <v>Нормативы технологических потерь при передаче тепловой энергии, теплоносителя по тепловым сетям, утвержденные уполномоченным органом</v>
      </c>
      <c r="N87" s="850" t="str">
        <f>IF(K87=0,"",K87)</f>
        <v/>
      </c>
      <c r="O87" s="964" t="s">
        <v>151</v>
      </c>
      <c r="P87" s="964"/>
      <c r="Q87" s="964"/>
      <c r="R87" s="964"/>
      <c r="S87" s="964"/>
      <c r="T87" s="849" t="s">
        <v>2104</v>
      </c>
      <c r="U87" s="849"/>
      <c r="V87" s="849"/>
      <c r="W87" s="849"/>
      <c r="X87" s="849"/>
      <c r="Y87" s="1007"/>
      <c r="Z87" s="852"/>
      <c r="AA87" s="855"/>
      <c r="AB87" s="852"/>
      <c r="AC87" s="852"/>
      <c r="AD87" s="852"/>
    </row>
    <row customHeight="1" ht="18">
      <c r="A88" s="851"/>
      <c r="B88" s="905">
        <v>71</v>
      </c>
      <c r="C88" s="849" t="s">
        <v>2105</v>
      </c>
      <c r="D88" s="974"/>
      <c r="E88" s="849"/>
      <c r="F88" s="849"/>
      <c r="G88" s="849"/>
      <c r="H88" s="897"/>
      <c r="I88" s="1012" t="str">
        <f>INDEX(TEMPLATE_NUMBER_POINT_FHD,B88,MATCH(TEMPLATE_SPHERE,TEMPLATE_SPHERE_LIST_FOR_NOTE,0))</f>
        <v>12</v>
      </c>
      <c r="J88" s="1012" t="str">
        <f>INDEX(TEMPLATE_DATA_POINT_FHD,B88,MATCH(TEMPLATE_SPHERE,TEMPLATE_SPHERE_LIST_FOR_NOTE,0))</f>
        <v>Фактический объем потерь при передаче тепловой энергии</v>
      </c>
      <c r="K88" s="1012">
        <f>INDEX(TEMPLATE_NOTE_POINT_FHD,B88,MATCH(TEMPLATE_SPHERE,TEMPLATE_SPHERE_LIST_FOR_NOTE,0))</f>
        <v>0</v>
      </c>
      <c r="L88" s="850" t="str">
        <f>IF(I88=0,"",I88)</f>
        <v>12</v>
      </c>
      <c r="M88" s="850" t="str">
        <f>IF(J88=0,"",J88)</f>
        <v>Фактический объем потерь при передаче тепловой энергии</v>
      </c>
      <c r="N88" s="850" t="str">
        <f>IF(K88=0,"",K88)</f>
        <v/>
      </c>
      <c r="O88" s="964" t="s">
        <v>152</v>
      </c>
      <c r="P88" s="964"/>
      <c r="Q88" s="964"/>
      <c r="R88" s="964"/>
      <c r="S88" s="964"/>
      <c r="T88" s="849" t="s">
        <v>2106</v>
      </c>
      <c r="U88" s="849"/>
      <c r="V88" s="849"/>
      <c r="W88" s="849"/>
      <c r="X88" s="849"/>
      <c r="Y88" s="1007"/>
      <c r="Z88" s="852"/>
      <c r="AA88" s="855"/>
      <c r="AB88" s="852"/>
      <c r="AC88" s="852"/>
      <c r="AD88" s="852"/>
    </row>
    <row customHeight="1" ht="18">
      <c r="A89" s="851"/>
      <c r="B89" s="905">
        <v>72</v>
      </c>
      <c r="C89" s="849" t="s">
        <v>2107</v>
      </c>
      <c r="D89" s="974" t="s">
        <v>2103</v>
      </c>
      <c r="E89" s="849" t="s">
        <v>2103</v>
      </c>
      <c r="F89" s="849" t="s">
        <v>2068</v>
      </c>
      <c r="G89" s="849"/>
      <c r="H89" s="897"/>
      <c r="I89" s="1012" t="str">
        <f>INDEX(TEMPLATE_NUMBER_POINT_FHD,B89,MATCH(TEMPLATE_SPHERE,TEMPLATE_SPHERE_LIST_FOR_NOTE,0))</f>
        <v>13</v>
      </c>
      <c r="J89" s="1012" t="str">
        <f>INDEX(TEMPLATE_DATA_POINT_FHD,B89,MATCH(TEMPLATE_SPHERE,TEMPLATE_SPHERE_LIST_FOR_NOTE,0))</f>
        <v>Среднесписочная численность основного производственного персонала</v>
      </c>
      <c r="K89" s="1012">
        <f>INDEX(TEMPLATE_NOTE_POINT_FHD,B89,MATCH(TEMPLATE_SPHERE,TEMPLATE_SPHERE_LIST_FOR_NOTE,0))</f>
        <v>0</v>
      </c>
      <c r="L89" s="850" t="str">
        <f>IF(I89=0,"",I89)</f>
        <v>13</v>
      </c>
      <c r="M89" s="850" t="str">
        <f>IF(J89=0,"",J89)</f>
        <v>Среднесписочная численность основного производственного персонала</v>
      </c>
      <c r="N89" s="850" t="str">
        <f>IF(K89=0,"",K89)</f>
        <v/>
      </c>
      <c r="O89" s="964" t="s">
        <v>153</v>
      </c>
      <c r="P89" s="964" t="s">
        <v>152</v>
      </c>
      <c r="Q89" s="964" t="s">
        <v>152</v>
      </c>
      <c r="R89" s="964" t="s">
        <v>150</v>
      </c>
      <c r="S89" s="964"/>
      <c r="T89" s="849" t="s">
        <v>2108</v>
      </c>
      <c r="U89" s="849" t="s">
        <v>2108</v>
      </c>
      <c r="V89" s="849" t="s">
        <v>2108</v>
      </c>
      <c r="W89" s="849" t="s">
        <v>2108</v>
      </c>
      <c r="X89" s="849"/>
      <c r="Y89" s="1007"/>
      <c r="Z89" s="852"/>
      <c r="AA89" s="855"/>
      <c r="AB89" s="852"/>
      <c r="AC89" s="852"/>
      <c r="AD89" s="852"/>
    </row>
    <row customHeight="1" ht="27">
      <c r="A90" s="851"/>
      <c r="B90" s="905">
        <v>73</v>
      </c>
      <c r="C90" s="849" t="s">
        <v>2109</v>
      </c>
      <c r="D90" s="974"/>
      <c r="E90" s="849"/>
      <c r="F90" s="849"/>
      <c r="G90" s="849"/>
      <c r="H90" s="897"/>
      <c r="I90" s="1012" t="str">
        <f>INDEX(TEMPLATE_NUMBER_POINT_FHD,B90,MATCH(TEMPLATE_SPHERE,TEMPLATE_SPHERE_LIST_FOR_NOTE,0))</f>
        <v>14</v>
      </c>
      <c r="J90" s="1012" t="str">
        <f>INDEX(TEMPLATE_DATA_POINT_FHD,B90,MATCH(TEMPLATE_SPHERE,TEMPLATE_SPHERE_LIST_FOR_NOTE,0))</f>
        <v>Среднесписочная численность административно-управленческого персонала</v>
      </c>
      <c r="K90" s="1012">
        <f>INDEX(TEMPLATE_NOTE_POINT_FHD,B90,MATCH(TEMPLATE_SPHERE,TEMPLATE_SPHERE_LIST_FOR_NOTE,0))</f>
        <v>0</v>
      </c>
      <c r="L90" s="850" t="str">
        <f>IF(I90=0,"",I90)</f>
        <v>14</v>
      </c>
      <c r="M90" s="850" t="str">
        <f>IF(J90=0,"",J90)</f>
        <v>Среднесписочная численность административно-управленческого персонала</v>
      </c>
      <c r="N90" s="850" t="str">
        <f>IF(K90=0,"",K90)</f>
        <v/>
      </c>
      <c r="O90" s="964" t="s">
        <v>154</v>
      </c>
      <c r="P90" s="964"/>
      <c r="Q90" s="964"/>
      <c r="R90" s="964"/>
      <c r="S90" s="964"/>
      <c r="T90" s="849" t="s">
        <v>2110</v>
      </c>
      <c r="U90" s="849"/>
      <c r="V90" s="849"/>
      <c r="W90" s="849"/>
      <c r="X90" s="849"/>
      <c r="Y90" s="1007"/>
      <c r="Z90" s="852"/>
      <c r="AA90" s="855"/>
      <c r="AB90" s="852"/>
      <c r="AC90" s="852"/>
      <c r="AD90" s="852"/>
    </row>
    <row customHeight="1" ht="18">
      <c r="A91" s="851"/>
      <c r="B91" s="905">
        <v>74</v>
      </c>
      <c r="C91" s="849"/>
      <c r="D91" s="974" t="s">
        <v>2105</v>
      </c>
      <c r="E91" s="849" t="s">
        <v>2105</v>
      </c>
      <c r="F91" s="849"/>
      <c r="G91" s="849"/>
      <c r="H91" s="897"/>
      <c r="I91" s="1012">
        <f>INDEX(TEMPLATE_NUMBER_POINT_FHD,B91,MATCH(TEMPLATE_SPHERE,TEMPLATE_SPHERE_LIST_FOR_NOTE,0))</f>
        <v>0</v>
      </c>
      <c r="J91" s="1012">
        <f>INDEX(TEMPLATE_DATA_POINT_FHD,B91,MATCH(TEMPLATE_SPHERE,TEMPLATE_SPHERE_LIST_FOR_NOTE,0))</f>
        <v>0</v>
      </c>
      <c r="K91" s="1012">
        <f>INDEX(TEMPLATE_NOTE_POINT_FHD,B91,MATCH(TEMPLATE_SPHERE,TEMPLATE_SPHERE_LIST_FOR_NOTE,0))</f>
        <v>0</v>
      </c>
      <c r="L91" s="850" t="str">
        <f>IF(I91=0,"",I91)</f>
        <v/>
      </c>
      <c r="M91" s="850" t="str">
        <f>IF(J91=0,"",J91)</f>
        <v/>
      </c>
      <c r="N91" s="850" t="str">
        <f>IF(K91=0,"",K91)</f>
        <v/>
      </c>
      <c r="O91" s="964"/>
      <c r="P91" s="964" t="s">
        <v>153</v>
      </c>
      <c r="Q91" s="964" t="s">
        <v>153</v>
      </c>
      <c r="R91" s="964"/>
      <c r="S91" s="964"/>
      <c r="T91" s="849"/>
      <c r="U91" s="849" t="s">
        <v>2111</v>
      </c>
      <c r="V91" s="849" t="s">
        <v>2111</v>
      </c>
      <c r="W91" s="849"/>
      <c r="X91" s="849"/>
      <c r="Y91" s="1007"/>
      <c r="Z91" s="852"/>
      <c r="AA91" s="855"/>
      <c r="AB91" s="852"/>
      <c r="AC91" s="852"/>
      <c r="AD91" s="852"/>
    </row>
    <row customHeight="1" ht="27">
      <c r="A92" s="851"/>
      <c r="B92" s="905">
        <v>75</v>
      </c>
      <c r="C92" s="849"/>
      <c r="D92" s="974" t="s">
        <v>2107</v>
      </c>
      <c r="E92" s="849"/>
      <c r="F92" s="849"/>
      <c r="G92" s="849"/>
      <c r="H92" s="897"/>
      <c r="I92" s="1012">
        <f>INDEX(TEMPLATE_NUMBER_POINT_FHD,B92,MATCH(TEMPLATE_SPHERE,TEMPLATE_SPHERE_LIST_FOR_NOTE,0))</f>
        <v>0</v>
      </c>
      <c r="J92" s="1012">
        <f>INDEX(TEMPLATE_DATA_POINT_FHD,B92,MATCH(TEMPLATE_SPHERE,TEMPLATE_SPHERE_LIST_FOR_NOTE,0))</f>
        <v>0</v>
      </c>
      <c r="K92" s="1012">
        <f>INDEX(TEMPLATE_NOTE_POINT_FHD,B92,MATCH(TEMPLATE_SPHERE,TEMPLATE_SPHERE_LIST_FOR_NOTE,0))</f>
        <v>0</v>
      </c>
      <c r="L92" s="850" t="str">
        <f>IF(I92=0,"",I92)</f>
        <v/>
      </c>
      <c r="M92" s="850" t="str">
        <f>IF(J92=0,"",J92)</f>
        <v/>
      </c>
      <c r="N92" s="850" t="str">
        <f>IF(K92=0,"",K92)</f>
        <v/>
      </c>
      <c r="O92" s="964"/>
      <c r="P92" s="964" t="s">
        <v>154</v>
      </c>
      <c r="Q92" s="964"/>
      <c r="R92" s="964"/>
      <c r="S92" s="964"/>
      <c r="T92" s="849"/>
      <c r="U92" s="849" t="s">
        <v>2112</v>
      </c>
      <c r="V92" s="849"/>
      <c r="W92" s="849"/>
      <c r="X92" s="849"/>
      <c r="Y92" s="1007"/>
      <c r="Z92" s="852"/>
      <c r="AA92" s="855" t="s">
        <v>2113</v>
      </c>
      <c r="AB92" s="852"/>
      <c r="AC92" s="852"/>
      <c r="AD92" s="852"/>
    </row>
    <row customHeight="1" ht="27">
      <c r="A93" s="851"/>
      <c r="B93" s="905">
        <v>76</v>
      </c>
      <c r="C93" s="849"/>
      <c r="D93" s="974"/>
      <c r="E93" s="849"/>
      <c r="F93" s="849"/>
      <c r="G93" s="849"/>
      <c r="H93" s="897"/>
      <c r="I93" s="1012">
        <f>INDEX(TEMPLATE_NUMBER_POINT_FHD,B93,MATCH(TEMPLATE_SPHERE,TEMPLATE_SPHERE_LIST_FOR_NOTE,0))</f>
        <v>0</v>
      </c>
      <c r="J93" s="1012">
        <f>INDEX(TEMPLATE_DATA_POINT_FHD,B93,MATCH(TEMPLATE_SPHERE,TEMPLATE_SPHERE_LIST_FOR_NOTE,0))</f>
        <v>0</v>
      </c>
      <c r="K93" s="1012">
        <f>INDEX(TEMPLATE_NOTE_POINT_FHD,B93,MATCH(TEMPLATE_SPHERE,TEMPLATE_SPHERE_LIST_FOR_NOTE,0))</f>
        <v>0</v>
      </c>
      <c r="L93" s="850" t="str">
        <f>IF(I93=0,"",I93)</f>
        <v/>
      </c>
      <c r="M93" s="850" t="str">
        <f>IF(J93=0,"",J93)</f>
        <v/>
      </c>
      <c r="N93" s="850" t="str">
        <f>IF(K93=0,"",K93)</f>
        <v/>
      </c>
      <c r="O93" s="964"/>
      <c r="P93" s="964" t="s">
        <v>2012</v>
      </c>
      <c r="Q93" s="964"/>
      <c r="R93" s="964"/>
      <c r="S93" s="964"/>
      <c r="T93" s="849"/>
      <c r="U93" s="849" t="s">
        <v>2114</v>
      </c>
      <c r="V93" s="849"/>
      <c r="W93" s="849"/>
      <c r="X93" s="849"/>
      <c r="Y93" s="1007"/>
      <c r="Z93" s="852"/>
      <c r="AA93" s="855" t="s">
        <v>2115</v>
      </c>
      <c r="AB93" s="852"/>
      <c r="AC93" s="852"/>
      <c r="AD93" s="852"/>
    </row>
    <row customHeight="1" ht="45">
      <c r="A94" s="851"/>
      <c r="B94" s="905">
        <v>77</v>
      </c>
      <c r="C94" s="849"/>
      <c r="D94" s="974" t="s">
        <v>2109</v>
      </c>
      <c r="E94" s="849"/>
      <c r="F94" s="849"/>
      <c r="G94" s="849"/>
      <c r="H94" s="897"/>
      <c r="I94" s="1012">
        <f>INDEX(TEMPLATE_NUMBER_POINT_FHD,B94,MATCH(TEMPLATE_SPHERE,TEMPLATE_SPHERE_LIST_FOR_NOTE,0))</f>
        <v>0</v>
      </c>
      <c r="J94" s="1012">
        <f>INDEX(TEMPLATE_DATA_POINT_FHD,B94,MATCH(TEMPLATE_SPHERE,TEMPLATE_SPHERE_LIST_FOR_NOTE,0))</f>
        <v>0</v>
      </c>
      <c r="K94" s="1012">
        <f>INDEX(TEMPLATE_NOTE_POINT_FHD,B94,MATCH(TEMPLATE_SPHERE,TEMPLATE_SPHERE_LIST_FOR_NOTE,0))</f>
        <v>0</v>
      </c>
      <c r="L94" s="850" t="str">
        <f>IF(I94=0,"",I94)</f>
        <v/>
      </c>
      <c r="M94" s="850" t="str">
        <f>IF(J94=0,"",J94)</f>
        <v/>
      </c>
      <c r="N94" s="850" t="str">
        <f>IF(K94=0,"",K94)</f>
        <v/>
      </c>
      <c r="O94" s="964"/>
      <c r="P94" s="964" t="s">
        <v>1463</v>
      </c>
      <c r="Q94" s="964"/>
      <c r="R94" s="964"/>
      <c r="S94" s="964"/>
      <c r="T94" s="849"/>
      <c r="U94" s="849" t="s">
        <v>2116</v>
      </c>
      <c r="V94" s="849"/>
      <c r="W94" s="849"/>
      <c r="X94" s="849"/>
      <c r="Y94" s="1007"/>
      <c r="Z94" s="852"/>
      <c r="AA94" s="855" t="s">
        <v>2117</v>
      </c>
      <c r="AB94" s="852"/>
      <c r="AC94" s="852"/>
      <c r="AD94" s="852"/>
    </row>
    <row customHeight="1" ht="99">
      <c r="A95" s="851"/>
      <c r="B95" s="905">
        <v>78</v>
      </c>
      <c r="C95" s="849" t="s">
        <v>2118</v>
      </c>
      <c r="D95" s="974"/>
      <c r="E95" s="849"/>
      <c r="F95" s="849"/>
      <c r="G95" s="849"/>
      <c r="H95" s="897"/>
      <c r="I95" s="1012" t="str">
        <f>INDEX(TEMPLATE_NUMBER_POINT_FHD,B95,MATCH(TEMPLATE_SPHERE,TEMPLATE_SPHERE_LIST_FOR_NOTE,0))</f>
        <v>15</v>
      </c>
      <c r="J95" s="1012"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12">
        <f>INDEX(TEMPLATE_NOTE_POINT_FHD,B95,MATCH(TEMPLATE_SPHERE,TEMPLATE_SPHERE_LIST_FOR_NOTE,0))</f>
        <v>0</v>
      </c>
      <c r="L95" s="850" t="str">
        <f>IF(I95=0,"",I95)</f>
        <v>15</v>
      </c>
      <c r="M95" s="850"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850" t="str">
        <f>IF(K95=0,"",K95)</f>
        <v/>
      </c>
      <c r="O95" s="964" t="s">
        <v>1463</v>
      </c>
      <c r="P95" s="964"/>
      <c r="Q95" s="964"/>
      <c r="R95" s="964"/>
      <c r="S95" s="964"/>
      <c r="T95" s="849" t="s">
        <v>2119</v>
      </c>
      <c r="U95" s="849"/>
      <c r="V95" s="849"/>
      <c r="W95" s="849"/>
      <c r="X95" s="849"/>
      <c r="Y95" s="1007"/>
      <c r="Z95" s="852"/>
      <c r="AA95" s="855"/>
      <c r="AB95" s="852"/>
      <c r="AC95" s="852"/>
      <c r="AD95" s="852"/>
    </row>
    <row customHeight="1" ht="99">
      <c r="A96" s="851"/>
      <c r="B96" s="905">
        <v>79</v>
      </c>
      <c r="C96" s="849" t="s">
        <v>1059</v>
      </c>
      <c r="D96" s="974"/>
      <c r="E96" s="849"/>
      <c r="F96" s="849"/>
      <c r="G96" s="849"/>
      <c r="H96" s="897"/>
      <c r="I96" s="1012" t="str">
        <f>INDEX(TEMPLATE_NUMBER_POINT_FHD,B96,MATCH(TEMPLATE_SPHERE,TEMPLATE_SPHERE_LIST_FOR_NOTE,0))</f>
        <v>16</v>
      </c>
      <c r="J96" s="1012"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12"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850" t="str">
        <f>IF(I96=0,"",I96)</f>
        <v>16</v>
      </c>
      <c r="M96" s="850"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850"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964" t="s">
        <v>1469</v>
      </c>
      <c r="P96" s="964"/>
      <c r="Q96" s="964"/>
      <c r="R96" s="964"/>
      <c r="S96" s="964"/>
      <c r="T96" s="849" t="s">
        <v>2120</v>
      </c>
      <c r="U96" s="849"/>
      <c r="V96" s="849"/>
      <c r="W96" s="849"/>
      <c r="X96" s="849"/>
      <c r="Y96" s="1007"/>
      <c r="Z96" s="852" t="s">
        <v>2121</v>
      </c>
      <c r="AA96" s="855"/>
      <c r="AB96" s="852"/>
      <c r="AC96" s="852"/>
      <c r="AD96" s="852"/>
    </row>
    <row customHeight="1" ht="63">
      <c r="A97" s="851"/>
      <c r="B97" s="905">
        <v>80</v>
      </c>
      <c r="C97" s="849" t="s">
        <v>2122</v>
      </c>
      <c r="D97" s="974"/>
      <c r="E97" s="849"/>
      <c r="F97" s="849"/>
      <c r="G97" s="849"/>
      <c r="H97" s="897"/>
      <c r="I97" s="1012" t="str">
        <f>INDEX(TEMPLATE_NUMBER_POINT_FHD,B97,MATCH(TEMPLATE_SPHERE,TEMPLATE_SPHERE_LIST_FOR_NOTE,0))</f>
        <v>17</v>
      </c>
      <c r="J97" s="1012"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12"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850" t="str">
        <f>IF(I97=0,"",I97)</f>
        <v>17</v>
      </c>
      <c r="M97" s="850"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850" t="str">
        <f>IF(K97=0,"",K97)</f>
        <v>Регулируемыми организациями указывается информация с по договорам, заключенным в рамках осуществления регулируемой деятельности.</v>
      </c>
      <c r="O97" s="964" t="s">
        <v>1480</v>
      </c>
      <c r="P97" s="964"/>
      <c r="Q97" s="964"/>
      <c r="R97" s="964"/>
      <c r="S97" s="964"/>
      <c r="T97" s="849" t="s">
        <v>2123</v>
      </c>
      <c r="U97" s="849"/>
      <c r="V97" s="849"/>
      <c r="W97" s="849"/>
      <c r="X97" s="849"/>
      <c r="Y97" s="1007"/>
      <c r="Z97" s="852" t="s">
        <v>2124</v>
      </c>
      <c r="AA97" s="855"/>
      <c r="AB97" s="852"/>
      <c r="AC97" s="852"/>
      <c r="AD97" s="852"/>
    </row>
    <row customHeight="1" ht="63">
      <c r="A98" s="851"/>
      <c r="B98" s="905">
        <v>81</v>
      </c>
      <c r="C98" s="849" t="s">
        <v>2125</v>
      </c>
      <c r="D98" s="974"/>
      <c r="E98" s="849"/>
      <c r="F98" s="849"/>
      <c r="G98" s="849"/>
      <c r="H98" s="897"/>
      <c r="I98" s="1012" t="str">
        <f>INDEX(TEMPLATE_NUMBER_POINT_FHD,B98,MATCH(TEMPLATE_SPHERE,TEMPLATE_SPHERE_LIST_FOR_NOTE,0))</f>
        <v>18</v>
      </c>
      <c r="J98" s="1012"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12"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850" t="str">
        <f>IF(I98=0,"",I98)</f>
        <v>18</v>
      </c>
      <c r="M98" s="850"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850" t="str">
        <f>IF(K98=0,"",K98)</f>
        <v>Регулируемыми организациями указывается информация с по договорам, заключенным в рамках осуществления регулируемой деятельности.</v>
      </c>
      <c r="O98" s="964" t="s">
        <v>1494</v>
      </c>
      <c r="P98" s="964"/>
      <c r="Q98" s="964"/>
      <c r="R98" s="964"/>
      <c r="S98" s="964"/>
      <c r="T98" s="849" t="s">
        <v>2126</v>
      </c>
      <c r="U98" s="849"/>
      <c r="V98" s="849"/>
      <c r="W98" s="849"/>
      <c r="X98" s="849"/>
      <c r="Y98" s="1007"/>
      <c r="Z98" s="852" t="s">
        <v>2124</v>
      </c>
      <c r="AA98" s="855"/>
      <c r="AB98" s="852"/>
      <c r="AC98" s="852"/>
      <c r="AD98" s="852"/>
    </row>
    <row customHeight="1" ht="90">
      <c r="A99" s="851"/>
      <c r="B99" s="905">
        <v>82</v>
      </c>
      <c r="C99" s="849" t="s">
        <v>2127</v>
      </c>
      <c r="D99" s="974"/>
      <c r="E99" s="849"/>
      <c r="F99" s="849"/>
      <c r="G99" s="849"/>
      <c r="H99" s="897"/>
      <c r="I99" s="1012" t="str">
        <f>INDEX(TEMPLATE_NUMBER_POINT_FHD,B99,MATCH(TEMPLATE_SPHERE,TEMPLATE_SPHERE_LIST_FOR_NOTE,0))</f>
        <v>19</v>
      </c>
      <c r="J99" s="1012"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12" t="str">
        <f>INDEX(TEMPLATE_NOTE_POINT_FHD,B99,MATCH(TEMPLATE_SPHERE,TEMPLATE_SPHERE_LIST_FOR_NOTE,0))</f>
        <v>Указывается ссылка на документ, предварительно загруженный в хранилище файлов ФГИС ЕИАС.</v>
      </c>
      <c r="L99" s="850" t="str">
        <f>IF(I99=0,"",I99)</f>
        <v>19</v>
      </c>
      <c r="M99" s="850"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850" t="str">
        <f>IF(K99=0,"",K99)</f>
        <v>Указывается ссылка на документ, предварительно загруженный в хранилище файлов ФГИС ЕИАС.</v>
      </c>
      <c r="O99" s="964" t="s">
        <v>1506</v>
      </c>
      <c r="P99" s="964"/>
      <c r="Q99" s="964"/>
      <c r="R99" s="964"/>
      <c r="S99" s="964"/>
      <c r="T99" s="849" t="s">
        <v>2128</v>
      </c>
      <c r="U99" s="849"/>
      <c r="V99" s="849"/>
      <c r="W99" s="849"/>
      <c r="X99" s="849"/>
      <c r="Y99" s="1007"/>
      <c r="Z99" s="852" t="s">
        <v>791</v>
      </c>
      <c r="AA99" s="855"/>
      <c r="AB99" s="852"/>
      <c r="AC99" s="852"/>
      <c r="AD99" s="852"/>
    </row>
    <row customHeight="1" ht="27">
      <c r="A100" s="851"/>
      <c r="B100" s="905">
        <v>83</v>
      </c>
      <c r="C100" s="849"/>
      <c r="D100" s="974"/>
      <c r="E100" s="849"/>
      <c r="F100" s="849"/>
      <c r="G100" s="849"/>
      <c r="H100" s="897"/>
      <c r="I100" s="1012" t="str">
        <f>INDEX(TEMPLATE_NUMBER_POINT_FHD,B100,MATCH(TEMPLATE_SPHERE,TEMPLATE_SPHERE_LIST_FOR_NOTE,0))</f>
        <v>19.1</v>
      </c>
      <c r="J100" s="1012" t="str">
        <f>INDEX(TEMPLATE_DATA_POINT_FHD,B100,MATCH(TEMPLATE_SPHERE,TEMPLATE_SPHERE_LIST_FOR_NOTE,0))</f>
        <v>Информация о показателях физического износа объектов теплоснабжения</v>
      </c>
      <c r="K100" s="1012" t="str">
        <f>INDEX(TEMPLATE_NOTE_POINT_FHD,B100,MATCH(TEMPLATE_SPHERE,TEMPLATE_SPHERE_LIST_FOR_NOTE,0))</f>
        <v>Указывается ссылка на документ, предварительно загруженный в хранилище файлов ФГИС ЕИАС.</v>
      </c>
      <c r="L100" s="850" t="str">
        <f>IF(I100=0,"",I100)</f>
        <v>19.1</v>
      </c>
      <c r="M100" s="850" t="str">
        <f>IF(J100=0,"",J100)</f>
        <v>Информация о показателях физического износа объектов теплоснабжения</v>
      </c>
      <c r="N100" s="850" t="str">
        <f>IF(K100=0,"",K100)</f>
        <v>Указывается ссылка на документ, предварительно загруженный в хранилище файлов ФГИС ЕИАС.</v>
      </c>
      <c r="O100" s="964" t="s">
        <v>2129</v>
      </c>
      <c r="P100" s="964"/>
      <c r="Q100" s="964"/>
      <c r="R100" s="964"/>
      <c r="S100" s="964"/>
      <c r="T100" s="849" t="s">
        <v>2130</v>
      </c>
      <c r="U100" s="849"/>
      <c r="V100" s="849"/>
      <c r="W100" s="849"/>
      <c r="X100" s="849"/>
      <c r="Y100" s="1007"/>
      <c r="Z100" s="852" t="s">
        <v>791</v>
      </c>
      <c r="AA100" s="855"/>
      <c r="AB100" s="852"/>
      <c r="AC100" s="852"/>
      <c r="AD100" s="852"/>
    </row>
    <row customHeight="1" ht="27">
      <c r="A101" s="851"/>
      <c r="B101" s="905">
        <v>84</v>
      </c>
      <c r="C101" s="849"/>
      <c r="D101" s="974"/>
      <c r="E101" s="849"/>
      <c r="F101" s="849"/>
      <c r="G101" s="849"/>
      <c r="H101" s="897"/>
      <c r="I101" s="1012" t="str">
        <f>INDEX(TEMPLATE_NUMBER_POINT_FHD,B101,MATCH(TEMPLATE_SPHERE,TEMPLATE_SPHERE_LIST_FOR_NOTE,0))</f>
        <v>19.2</v>
      </c>
      <c r="J101" s="1012" t="str">
        <f>INDEX(TEMPLATE_DATA_POINT_FHD,B101,MATCH(TEMPLATE_SPHERE,TEMPLATE_SPHERE_LIST_FOR_NOTE,0))</f>
        <v>Информация о показателях энергетической эффективности объектов теплоснабжения</v>
      </c>
      <c r="K101" s="1012" t="str">
        <f>INDEX(TEMPLATE_NOTE_POINT_FHD,B101,MATCH(TEMPLATE_SPHERE,TEMPLATE_SPHERE_LIST_FOR_NOTE,0))</f>
        <v>Указывается ссылка на документ, предварительно загруженный в хранилище файлов ФГИС ЕИАС.</v>
      </c>
      <c r="L101" s="850" t="str">
        <f>IF(I101=0,"",I101)</f>
        <v>19.2</v>
      </c>
      <c r="M101" s="850" t="str">
        <f>IF(J101=0,"",J101)</f>
        <v>Информация о показателях энергетической эффективности объектов теплоснабжения</v>
      </c>
      <c r="N101" s="850" t="str">
        <f>IF(K101=0,"",K101)</f>
        <v>Указывается ссылка на документ, предварительно загруженный в хранилище файлов ФГИС ЕИАС.</v>
      </c>
      <c r="O101" s="964" t="s">
        <v>2131</v>
      </c>
      <c r="P101" s="964"/>
      <c r="Q101" s="964"/>
      <c r="R101" s="964"/>
      <c r="S101" s="964"/>
      <c r="T101" s="849" t="s">
        <v>2132</v>
      </c>
      <c r="U101" s="849"/>
      <c r="V101" s="849"/>
      <c r="W101" s="849"/>
      <c r="X101" s="849"/>
      <c r="Y101" s="1007"/>
      <c r="Z101" s="852" t="s">
        <v>791</v>
      </c>
      <c r="AA101" s="855"/>
      <c r="AB101" s="852"/>
      <c r="AC101" s="852"/>
      <c r="AD101" s="852"/>
    </row>
    <row customHeight="1" ht="9">
      <c r="A102" s="851"/>
      <c r="B102" s="851"/>
      <c r="C102" s="849"/>
      <c r="D102" s="849"/>
      <c r="E102" s="849"/>
      <c r="F102" s="849"/>
      <c r="G102" s="849"/>
      <c r="H102" s="897"/>
      <c r="I102" s="897"/>
      <c r="J102" s="897"/>
      <c r="K102" s="897"/>
      <c r="L102" s="897"/>
      <c r="M102" s="849"/>
      <c r="N102" s="896"/>
      <c r="O102" s="964"/>
      <c r="P102" s="964"/>
      <c r="Q102" s="964"/>
      <c r="R102" s="964"/>
      <c r="S102" s="849"/>
      <c r="T102" s="849"/>
      <c r="U102" s="849"/>
      <c r="V102" s="849"/>
      <c r="W102" s="849"/>
      <c r="X102" s="849"/>
      <c r="Y102" s="1007"/>
      <c r="Z102" s="852"/>
      <c r="AA102" s="855"/>
      <c r="AB102" s="852"/>
      <c r="AC102" s="852"/>
      <c r="AD102" s="852"/>
    </row>
    <row customHeight="1" ht="9">
      <c r="A103" s="851"/>
      <c r="B103" s="851"/>
      <c r="C103" s="849"/>
      <c r="D103" s="849"/>
      <c r="E103" s="849"/>
      <c r="F103" s="849"/>
      <c r="G103" s="849"/>
      <c r="H103" s="897"/>
      <c r="I103" s="897"/>
      <c r="J103" s="897"/>
      <c r="K103" s="897"/>
      <c r="L103" s="897"/>
      <c r="M103" s="849"/>
      <c r="N103" s="896"/>
      <c r="O103" s="964"/>
      <c r="P103" s="964"/>
      <c r="Q103" s="964"/>
      <c r="R103" s="964"/>
      <c r="S103" s="849"/>
      <c r="T103" s="849"/>
      <c r="U103" s="849"/>
      <c r="V103" s="849"/>
      <c r="W103" s="849"/>
      <c r="X103" s="849"/>
      <c r="Y103" s="1007"/>
      <c r="Z103" s="852"/>
      <c r="AA103" s="855"/>
      <c r="AB103" s="852"/>
      <c r="AC103" s="852"/>
      <c r="AD103" s="852"/>
    </row>
    <row customHeight="1" ht="9">
      <c r="A104" s="851"/>
      <c r="B104" s="851"/>
      <c r="C104" s="849"/>
      <c r="D104" s="849"/>
      <c r="E104" s="849"/>
      <c r="F104" s="849"/>
      <c r="G104" s="849"/>
      <c r="H104" s="897"/>
      <c r="I104" s="897"/>
      <c r="J104" s="897"/>
      <c r="K104" s="897"/>
      <c r="L104" s="897"/>
      <c r="M104" s="849"/>
      <c r="N104" s="896"/>
      <c r="O104" s="964"/>
      <c r="P104" s="964"/>
      <c r="Q104" s="964"/>
      <c r="R104" s="964"/>
      <c r="S104" s="849"/>
      <c r="T104" s="849"/>
      <c r="U104" s="849"/>
      <c r="V104" s="849"/>
      <c r="W104" s="849"/>
      <c r="X104" s="849"/>
      <c r="Y104" s="1007"/>
      <c r="Z104" s="852"/>
      <c r="AA104" s="855"/>
      <c r="AB104" s="852"/>
      <c r="AC104" s="852"/>
      <c r="AD104" s="852"/>
    </row>
    <row customHeight="1" ht="9">
      <c r="A105" s="851"/>
      <c r="B105" s="851"/>
      <c r="C105" s="849"/>
      <c r="D105" s="849"/>
      <c r="E105" s="849"/>
      <c r="F105" s="849"/>
      <c r="G105" s="849"/>
      <c r="H105" s="897"/>
      <c r="I105" s="897"/>
      <c r="J105" s="897"/>
      <c r="K105" s="897"/>
      <c r="L105" s="897"/>
      <c r="M105" s="849"/>
      <c r="N105" s="896"/>
      <c r="O105" s="964"/>
      <c r="P105" s="964"/>
      <c r="Q105" s="964"/>
      <c r="R105" s="964"/>
      <c r="S105" s="849"/>
      <c r="T105" s="849"/>
      <c r="U105" s="849"/>
      <c r="V105" s="849"/>
      <c r="W105" s="849"/>
      <c r="X105" s="849"/>
      <c r="Y105" s="1007"/>
      <c r="Z105" s="852"/>
      <c r="AA105" s="855"/>
      <c r="AB105" s="852"/>
      <c r="AC105" s="852"/>
      <c r="AD105" s="852"/>
    </row>
    <row customHeight="1" ht="9">
      <c r="A106" s="851"/>
      <c r="B106" s="851"/>
      <c r="C106" s="849"/>
      <c r="D106" s="849"/>
      <c r="E106" s="849"/>
      <c r="F106" s="849"/>
      <c r="G106" s="849"/>
      <c r="H106" s="897"/>
      <c r="I106" s="897"/>
      <c r="J106" s="897"/>
      <c r="K106" s="897"/>
      <c r="L106" s="897"/>
      <c r="M106" s="849"/>
      <c r="N106" s="896"/>
      <c r="O106" s="964"/>
      <c r="P106" s="964"/>
      <c r="Q106" s="964"/>
      <c r="R106" s="964"/>
      <c r="S106" s="849"/>
      <c r="T106" s="849"/>
      <c r="U106" s="849"/>
      <c r="V106" s="849"/>
      <c r="W106" s="849"/>
      <c r="X106" s="849"/>
      <c r="Y106" s="1007"/>
      <c r="Z106" s="852"/>
      <c r="AA106" s="855"/>
      <c r="AB106" s="852"/>
      <c r="AC106" s="852"/>
      <c r="AD106" s="852"/>
    </row>
    <row customHeight="1" ht="9">
      <c r="A107" s="851"/>
      <c r="B107" s="851"/>
      <c r="C107" s="849"/>
      <c r="D107" s="849"/>
      <c r="E107" s="849"/>
      <c r="F107" s="849"/>
      <c r="G107" s="849"/>
      <c r="H107" s="897"/>
      <c r="I107" s="897"/>
      <c r="J107" s="897"/>
      <c r="K107" s="897"/>
      <c r="L107" s="897"/>
      <c r="M107" s="849"/>
      <c r="N107" s="896"/>
      <c r="O107" s="964"/>
      <c r="P107" s="964"/>
      <c r="Q107" s="964"/>
      <c r="R107" s="964"/>
      <c r="S107" s="849"/>
      <c r="T107" s="849"/>
      <c r="U107" s="849"/>
      <c r="V107" s="849"/>
      <c r="W107" s="849"/>
      <c r="X107" s="849"/>
      <c r="Y107" s="1007"/>
      <c r="Z107" s="852"/>
      <c r="AA107" s="855"/>
      <c r="AB107" s="852"/>
      <c r="AC107" s="852"/>
      <c r="AD107" s="852"/>
    </row>
    <row customHeight="1" ht="9">
      <c r="A108" s="851"/>
      <c r="B108" s="851"/>
      <c r="C108" s="849"/>
      <c r="D108" s="849"/>
      <c r="E108" s="849"/>
      <c r="F108" s="849"/>
      <c r="G108" s="849"/>
      <c r="H108" s="897"/>
      <c r="I108" s="897"/>
      <c r="J108" s="897"/>
      <c r="K108" s="897"/>
      <c r="L108" s="897"/>
      <c r="M108" s="849"/>
      <c r="N108" s="896"/>
      <c r="O108" s="964"/>
      <c r="P108" s="964"/>
      <c r="Q108" s="964"/>
      <c r="R108" s="964"/>
      <c r="S108" s="849"/>
      <c r="T108" s="849"/>
      <c r="U108" s="849"/>
      <c r="V108" s="849"/>
      <c r="W108" s="849"/>
      <c r="X108" s="849"/>
      <c r="Y108" s="1007"/>
      <c r="Z108" s="852"/>
      <c r="AA108" s="855"/>
      <c r="AB108" s="852"/>
      <c r="AC108" s="852"/>
      <c r="AD108" s="852"/>
    </row>
    <row customHeight="1" ht="9">
      <c r="A109" s="851"/>
      <c r="B109" s="851"/>
      <c r="C109" s="849"/>
      <c r="D109" s="849"/>
      <c r="E109" s="849"/>
      <c r="F109" s="849"/>
      <c r="G109" s="849"/>
      <c r="H109" s="897"/>
      <c r="I109" s="897"/>
      <c r="J109" s="897"/>
      <c r="K109" s="897"/>
      <c r="L109" s="897"/>
      <c r="M109" s="849"/>
      <c r="N109" s="896"/>
      <c r="O109" s="964"/>
      <c r="P109" s="964"/>
      <c r="Q109" s="964"/>
      <c r="R109" s="964"/>
      <c r="S109" s="849"/>
      <c r="T109" s="849"/>
      <c r="U109" s="849"/>
      <c r="V109" s="849"/>
      <c r="W109" s="849"/>
      <c r="X109" s="849"/>
      <c r="Y109" s="1007"/>
      <c r="Z109" s="852"/>
      <c r="AA109" s="855"/>
      <c r="AB109" s="852"/>
      <c r="AC109" s="852"/>
      <c r="AD109" s="852"/>
    </row>
    <row customHeight="1" ht="9">
      <c r="A110" s="851"/>
      <c r="B110" s="851"/>
      <c r="C110" s="849"/>
      <c r="D110" s="849"/>
      <c r="E110" s="849"/>
      <c r="F110" s="849"/>
      <c r="G110" s="849"/>
      <c r="H110" s="897"/>
      <c r="I110" s="897"/>
      <c r="J110" s="897"/>
      <c r="K110" s="897"/>
      <c r="L110" s="897"/>
      <c r="M110" s="849"/>
      <c r="N110" s="896"/>
      <c r="O110" s="964"/>
      <c r="P110" s="964"/>
      <c r="Q110" s="964"/>
      <c r="R110" s="964"/>
      <c r="S110" s="849"/>
      <c r="T110" s="849"/>
      <c r="U110" s="849"/>
      <c r="V110" s="849"/>
      <c r="W110" s="849"/>
      <c r="X110" s="849"/>
      <c r="Y110" s="1007"/>
      <c r="Z110" s="852"/>
      <c r="AA110" s="855"/>
      <c r="AB110" s="852"/>
      <c r="AC110" s="852"/>
      <c r="AD110" s="852"/>
    </row>
    <row customHeight="1" ht="9">
      <c r="A111" s="851"/>
      <c r="B111" s="851"/>
      <c r="C111" s="849"/>
      <c r="D111" s="849"/>
      <c r="E111" s="849"/>
      <c r="F111" s="849"/>
      <c r="G111" s="849"/>
      <c r="H111" s="897"/>
      <c r="I111" s="897"/>
      <c r="J111" s="897"/>
      <c r="K111" s="897"/>
      <c r="L111" s="897"/>
      <c r="M111" s="849"/>
      <c r="N111" s="896"/>
      <c r="O111" s="964"/>
      <c r="P111" s="964"/>
      <c r="Q111" s="964"/>
      <c r="R111" s="964"/>
      <c r="S111" s="849"/>
      <c r="T111" s="849"/>
      <c r="U111" s="849"/>
      <c r="V111" s="849"/>
      <c r="W111" s="849"/>
      <c r="X111" s="849"/>
      <c r="Y111" s="1007"/>
      <c r="Z111" s="852"/>
      <c r="AA111" s="855"/>
      <c r="AB111" s="852"/>
      <c r="AC111" s="852"/>
      <c r="AD111" s="852"/>
    </row>
    <row customHeight="1" ht="9">
      <c r="A112" s="851"/>
      <c r="B112" s="851"/>
      <c r="C112" s="849"/>
      <c r="D112" s="849"/>
      <c r="E112" s="849"/>
      <c r="F112" s="849"/>
      <c r="G112" s="849"/>
      <c r="H112" s="897"/>
      <c r="I112" s="897"/>
      <c r="J112" s="897"/>
      <c r="K112" s="897"/>
      <c r="L112" s="897"/>
      <c r="M112" s="849"/>
      <c r="N112" s="896"/>
      <c r="O112" s="964"/>
      <c r="P112" s="964"/>
      <c r="Q112" s="964"/>
      <c r="R112" s="964"/>
      <c r="S112" s="849"/>
      <c r="T112" s="849"/>
      <c r="U112" s="849"/>
      <c r="V112" s="849"/>
      <c r="W112" s="849"/>
      <c r="X112" s="849"/>
      <c r="Y112" s="1007"/>
      <c r="Z112" s="852"/>
      <c r="AA112" s="855"/>
      <c r="AB112" s="852"/>
      <c r="AC112" s="852"/>
      <c r="AD112" s="852"/>
    </row>
    <row customHeight="1" ht="9">
      <c r="A113" s="851"/>
      <c r="B113" s="851"/>
      <c r="C113" s="849"/>
      <c r="D113" s="849"/>
      <c r="E113" s="849"/>
      <c r="F113" s="849"/>
      <c r="G113" s="849"/>
      <c r="H113" s="897"/>
      <c r="I113" s="897"/>
      <c r="J113" s="897"/>
      <c r="K113" s="897"/>
      <c r="L113" s="897"/>
      <c r="M113" s="849"/>
      <c r="N113" s="896"/>
      <c r="O113" s="964"/>
      <c r="P113" s="964"/>
      <c r="Q113" s="964"/>
      <c r="R113" s="964"/>
      <c r="S113" s="849"/>
      <c r="T113" s="849"/>
      <c r="U113" s="849"/>
      <c r="V113" s="849"/>
      <c r="W113" s="849"/>
      <c r="X113" s="849"/>
      <c r="Y113" s="1007"/>
      <c r="Z113" s="852"/>
      <c r="AA113" s="855"/>
      <c r="AB113" s="852"/>
      <c r="AC113" s="852"/>
      <c r="AD113" s="852"/>
    </row>
    <row customHeight="1" ht="9">
      <c r="A114" s="851"/>
      <c r="B114" s="851"/>
      <c r="C114" s="849"/>
      <c r="D114" s="849"/>
      <c r="E114" s="849"/>
      <c r="F114" s="849"/>
      <c r="G114" s="849"/>
      <c r="H114" s="897"/>
      <c r="I114" s="897"/>
      <c r="J114" s="897"/>
      <c r="K114" s="897"/>
      <c r="L114" s="897"/>
      <c r="M114" s="849"/>
      <c r="N114" s="896"/>
      <c r="O114" s="964"/>
      <c r="P114" s="964"/>
      <c r="Q114" s="964"/>
      <c r="R114" s="964"/>
      <c r="S114" s="849"/>
      <c r="T114" s="849"/>
      <c r="U114" s="849"/>
      <c r="V114" s="849"/>
      <c r="W114" s="849"/>
      <c r="X114" s="849"/>
      <c r="Y114" s="1007"/>
      <c r="Z114" s="852"/>
      <c r="AA114" s="855"/>
      <c r="AB114" s="852"/>
      <c r="AC114" s="852"/>
      <c r="AD114" s="852"/>
    </row>
    <row customHeight="1" ht="9">
      <c r="A115" s="851"/>
      <c r="B115" s="851"/>
      <c r="C115" s="849"/>
      <c r="D115" s="849"/>
      <c r="E115" s="849"/>
      <c r="F115" s="849"/>
      <c r="G115" s="849"/>
      <c r="H115" s="897"/>
      <c r="I115" s="897"/>
      <c r="J115" s="897"/>
      <c r="K115" s="897"/>
      <c r="L115" s="897"/>
      <c r="M115" s="849"/>
      <c r="N115" s="896"/>
      <c r="O115" s="964"/>
      <c r="P115" s="964"/>
      <c r="Q115" s="964"/>
      <c r="R115" s="964"/>
      <c r="S115" s="849"/>
      <c r="T115" s="849"/>
      <c r="U115" s="849"/>
      <c r="V115" s="849"/>
      <c r="W115" s="849"/>
      <c r="X115" s="849"/>
      <c r="Y115" s="1007"/>
      <c r="Z115" s="852"/>
      <c r="AA115" s="855"/>
      <c r="AB115" s="852"/>
      <c r="AC115" s="852"/>
      <c r="AD115" s="852"/>
    </row>
    <row customHeight="1" ht="9">
      <c r="A116" s="851"/>
      <c r="B116" s="851"/>
      <c r="C116" s="849"/>
      <c r="D116" s="849"/>
      <c r="E116" s="849"/>
      <c r="F116" s="849"/>
      <c r="G116" s="849"/>
      <c r="H116" s="897"/>
      <c r="I116" s="897"/>
      <c r="J116" s="897"/>
      <c r="K116" s="897"/>
      <c r="L116" s="897"/>
      <c r="M116" s="849"/>
      <c r="N116" s="896"/>
      <c r="O116" s="964"/>
      <c r="P116" s="964"/>
      <c r="Q116" s="964"/>
      <c r="R116" s="964"/>
      <c r="S116" s="849"/>
      <c r="T116" s="849"/>
      <c r="U116" s="849"/>
      <c r="V116" s="849"/>
      <c r="W116" s="849"/>
      <c r="X116" s="849"/>
      <c r="Y116" s="1007"/>
      <c r="Z116" s="852"/>
      <c r="AA116" s="855"/>
      <c r="AB116" s="852"/>
      <c r="AC116" s="852"/>
      <c r="AD116" s="852"/>
    </row>
    <row customHeight="1" ht="9">
      <c r="A117" s="851"/>
      <c r="B117" s="851"/>
      <c r="C117" s="849"/>
      <c r="D117" s="849"/>
      <c r="E117" s="849"/>
      <c r="F117" s="849"/>
      <c r="G117" s="849"/>
      <c r="H117" s="897"/>
      <c r="I117" s="897"/>
      <c r="J117" s="897"/>
      <c r="K117" s="897"/>
      <c r="L117" s="897"/>
      <c r="M117" s="849"/>
      <c r="N117" s="896"/>
      <c r="O117" s="964"/>
      <c r="P117" s="964"/>
      <c r="Q117" s="964"/>
      <c r="R117" s="964"/>
      <c r="S117" s="849"/>
      <c r="T117" s="849"/>
      <c r="U117" s="849"/>
      <c r="V117" s="849"/>
      <c r="W117" s="849"/>
      <c r="X117" s="849"/>
      <c r="Y117" s="1007"/>
      <c r="Z117" s="852"/>
      <c r="AA117" s="855"/>
      <c r="AB117" s="852"/>
      <c r="AC117" s="852"/>
      <c r="AD117" s="852"/>
    </row>
    <row customHeight="1" ht="9">
      <c r="A118" s="851"/>
      <c r="B118" s="851"/>
      <c r="C118" s="849"/>
      <c r="D118" s="849"/>
      <c r="E118" s="849"/>
      <c r="F118" s="849"/>
      <c r="G118" s="849"/>
      <c r="H118" s="897"/>
      <c r="I118" s="897"/>
      <c r="J118" s="897"/>
      <c r="K118" s="897"/>
      <c r="L118" s="897"/>
      <c r="M118" s="849"/>
      <c r="N118" s="896"/>
      <c r="O118" s="964"/>
      <c r="P118" s="964"/>
      <c r="Q118" s="964"/>
      <c r="R118" s="964"/>
      <c r="S118" s="849"/>
      <c r="T118" s="849"/>
      <c r="U118" s="849"/>
      <c r="V118" s="849"/>
      <c r="W118" s="849"/>
      <c r="X118" s="849"/>
      <c r="Y118" s="1007"/>
      <c r="Z118" s="852"/>
      <c r="AA118" s="855"/>
      <c r="AB118" s="852"/>
      <c r="AC118" s="852"/>
      <c r="AD118" s="852"/>
    </row>
    <row customHeight="1" ht="9">
      <c r="A119" s="851"/>
      <c r="B119" s="851"/>
      <c r="C119" s="849"/>
      <c r="D119" s="849"/>
      <c r="E119" s="849"/>
      <c r="F119" s="849"/>
      <c r="G119" s="849"/>
      <c r="H119" s="897"/>
      <c r="I119" s="897"/>
      <c r="J119" s="897"/>
      <c r="K119" s="897"/>
      <c r="L119" s="897"/>
      <c r="M119" s="849"/>
      <c r="N119" s="896"/>
      <c r="O119" s="964"/>
      <c r="P119" s="964"/>
      <c r="Q119" s="964"/>
      <c r="R119" s="964"/>
      <c r="S119" s="849"/>
      <c r="T119" s="849"/>
      <c r="U119" s="849"/>
      <c r="V119" s="849"/>
      <c r="W119" s="849"/>
      <c r="X119" s="849"/>
      <c r="Y119" s="1007"/>
      <c r="Z119" s="852"/>
      <c r="AA119" s="855"/>
      <c r="AB119" s="852"/>
      <c r="AC119" s="852"/>
      <c r="AD119" s="852"/>
    </row>
    <row customHeight="1" ht="9">
      <c r="A120" s="851"/>
      <c r="B120" s="851"/>
      <c r="C120" s="849"/>
      <c r="D120" s="849"/>
      <c r="E120" s="849"/>
      <c r="F120" s="849"/>
      <c r="G120" s="849"/>
      <c r="H120" s="897"/>
      <c r="I120" s="897"/>
      <c r="J120" s="897"/>
      <c r="K120" s="897"/>
      <c r="L120" s="897"/>
      <c r="M120" s="849"/>
      <c r="N120" s="896"/>
      <c r="O120" s="964"/>
      <c r="P120" s="964"/>
      <c r="Q120" s="964"/>
      <c r="R120" s="964"/>
      <c r="S120" s="849"/>
      <c r="T120" s="849"/>
      <c r="U120" s="849"/>
      <c r="V120" s="849"/>
      <c r="W120" s="849"/>
      <c r="X120" s="849"/>
      <c r="Y120" s="1007"/>
      <c r="Z120" s="852"/>
      <c r="AA120" s="855"/>
      <c r="AB120" s="852"/>
      <c r="AC120" s="852"/>
      <c r="AD120" s="852"/>
    </row>
    <row customHeight="1" ht="9">
      <c r="A121" s="851"/>
      <c r="B121" s="851"/>
      <c r="C121" s="849"/>
      <c r="D121" s="849"/>
      <c r="E121" s="849"/>
      <c r="F121" s="849"/>
      <c r="G121" s="849"/>
      <c r="H121" s="897"/>
      <c r="I121" s="897"/>
      <c r="J121" s="897"/>
      <c r="K121" s="897"/>
      <c r="L121" s="897"/>
      <c r="M121" s="849"/>
      <c r="N121" s="896"/>
      <c r="O121" s="964"/>
      <c r="P121" s="964"/>
      <c r="Q121" s="964"/>
      <c r="R121" s="964"/>
      <c r="S121" s="849"/>
      <c r="T121" s="849"/>
      <c r="U121" s="849"/>
      <c r="V121" s="849"/>
      <c r="W121" s="849"/>
      <c r="X121" s="849"/>
      <c r="Y121" s="1007"/>
      <c r="Z121" s="852"/>
      <c r="AA121" s="855"/>
      <c r="AB121" s="852"/>
      <c r="AC121" s="852"/>
      <c r="AD121" s="852"/>
    </row>
    <row customHeight="1" ht="9">
      <c r="A122" s="851"/>
      <c r="B122" s="851"/>
      <c r="C122" s="849"/>
      <c r="D122" s="849"/>
      <c r="E122" s="849"/>
      <c r="F122" s="849"/>
      <c r="G122" s="849"/>
      <c r="H122" s="897"/>
      <c r="I122" s="897"/>
      <c r="J122" s="897"/>
      <c r="K122" s="897"/>
      <c r="L122" s="897"/>
      <c r="M122" s="849"/>
      <c r="N122" s="896"/>
      <c r="O122" s="964"/>
      <c r="P122" s="964"/>
      <c r="Q122" s="964"/>
      <c r="R122" s="964"/>
      <c r="S122" s="849"/>
      <c r="T122" s="849"/>
      <c r="U122" s="849"/>
      <c r="V122" s="849"/>
      <c r="W122" s="849"/>
      <c r="X122" s="849"/>
      <c r="Y122" s="1007"/>
      <c r="Z122" s="852"/>
      <c r="AA122" s="855"/>
      <c r="AB122" s="852"/>
      <c r="AC122" s="852"/>
      <c r="AD122" s="852"/>
    </row>
    <row customHeight="1" ht="9">
      <c r="A123" s="851"/>
      <c r="B123" s="851"/>
      <c r="C123" s="849"/>
      <c r="D123" s="849"/>
      <c r="E123" s="849"/>
      <c r="F123" s="849"/>
      <c r="G123" s="849"/>
      <c r="H123" s="897"/>
      <c r="I123" s="897"/>
      <c r="J123" s="897"/>
      <c r="K123" s="897"/>
      <c r="L123" s="897"/>
      <c r="M123" s="849"/>
      <c r="N123" s="896"/>
      <c r="O123" s="964"/>
      <c r="P123" s="964"/>
      <c r="Q123" s="964"/>
      <c r="R123" s="964"/>
      <c r="S123" s="849"/>
      <c r="T123" s="849"/>
      <c r="U123" s="849"/>
      <c r="V123" s="849"/>
      <c r="W123" s="849"/>
      <c r="X123" s="849"/>
      <c r="Y123" s="1007"/>
      <c r="Z123" s="852"/>
      <c r="AA123" s="855"/>
      <c r="AB123" s="852"/>
      <c r="AC123" s="852"/>
      <c r="AD123" s="852"/>
    </row>
    <row customHeight="1" ht="9">
      <c r="A124" s="851"/>
      <c r="B124" s="851"/>
      <c r="C124" s="849"/>
      <c r="D124" s="849"/>
      <c r="E124" s="849"/>
      <c r="F124" s="849"/>
      <c r="G124" s="849"/>
      <c r="H124" s="897"/>
      <c r="I124" s="897"/>
      <c r="J124" s="897"/>
      <c r="K124" s="897"/>
      <c r="L124" s="897"/>
      <c r="M124" s="849"/>
      <c r="N124" s="896"/>
      <c r="O124" s="964"/>
      <c r="P124" s="964"/>
      <c r="Q124" s="964"/>
      <c r="R124" s="964"/>
      <c r="S124" s="849"/>
      <c r="T124" s="849"/>
      <c r="U124" s="849"/>
      <c r="V124" s="849"/>
      <c r="W124" s="849"/>
      <c r="X124" s="849"/>
      <c r="Y124" s="1007"/>
      <c r="Z124" s="852"/>
      <c r="AA124" s="855"/>
      <c r="AB124" s="852"/>
      <c r="AC124" s="852"/>
      <c r="AD124" s="852"/>
    </row>
    <row customHeight="1" ht="9">
      <c r="A125" s="851"/>
      <c r="B125" s="851"/>
      <c r="C125" s="849"/>
      <c r="D125" s="849"/>
      <c r="E125" s="849"/>
      <c r="F125" s="849"/>
      <c r="G125" s="849"/>
      <c r="H125" s="897"/>
      <c r="I125" s="897"/>
      <c r="J125" s="897"/>
      <c r="K125" s="897"/>
      <c r="L125" s="897"/>
      <c r="M125" s="849"/>
      <c r="N125" s="896"/>
      <c r="O125" s="964"/>
      <c r="P125" s="964"/>
      <c r="Q125" s="964"/>
      <c r="R125" s="964"/>
      <c r="S125" s="849"/>
      <c r="T125" s="849"/>
      <c r="U125" s="849"/>
      <c r="V125" s="849"/>
      <c r="W125" s="849"/>
      <c r="X125" s="849"/>
      <c r="Y125" s="1007"/>
      <c r="Z125" s="852"/>
      <c r="AA125" s="855"/>
      <c r="AB125" s="852"/>
      <c r="AC125" s="852"/>
      <c r="AD125" s="852"/>
    </row>
    <row customHeight="1" ht="9">
      <c r="A126" s="851"/>
      <c r="B126" s="851"/>
      <c r="C126" s="849"/>
      <c r="D126" s="849"/>
      <c r="E126" s="849"/>
      <c r="F126" s="849"/>
      <c r="G126" s="849"/>
      <c r="H126" s="897"/>
      <c r="I126" s="897"/>
      <c r="J126" s="897"/>
      <c r="K126" s="897"/>
      <c r="L126" s="897"/>
      <c r="M126" s="849"/>
      <c r="N126" s="896"/>
      <c r="O126" s="964"/>
      <c r="P126" s="964"/>
      <c r="Q126" s="964"/>
      <c r="R126" s="964"/>
      <c r="S126" s="849"/>
      <c r="T126" s="849"/>
      <c r="U126" s="849"/>
      <c r="V126" s="849"/>
      <c r="W126" s="849"/>
      <c r="X126" s="849"/>
      <c r="Y126" s="1007"/>
      <c r="Z126" s="852"/>
      <c r="AA126" s="855"/>
      <c r="AB126" s="852"/>
      <c r="AC126" s="852"/>
      <c r="AD126" s="852"/>
    </row>
    <row customHeight="1" ht="9">
      <c r="A127" s="851"/>
      <c r="B127" s="851"/>
      <c r="C127" s="849"/>
      <c r="D127" s="849"/>
      <c r="E127" s="849"/>
      <c r="F127" s="849"/>
      <c r="G127" s="849"/>
      <c r="H127" s="897"/>
      <c r="I127" s="897"/>
      <c r="J127" s="897"/>
      <c r="K127" s="897"/>
      <c r="L127" s="897"/>
      <c r="M127" s="849"/>
      <c r="N127" s="896"/>
      <c r="O127" s="964"/>
      <c r="P127" s="964"/>
      <c r="Q127" s="964"/>
      <c r="R127" s="964"/>
      <c r="S127" s="849"/>
      <c r="T127" s="849"/>
      <c r="U127" s="849"/>
      <c r="V127" s="849"/>
      <c r="W127" s="849"/>
      <c r="X127" s="849"/>
      <c r="Y127" s="1007"/>
      <c r="Z127" s="852"/>
      <c r="AA127" s="855"/>
      <c r="AB127" s="852"/>
      <c r="AC127" s="852"/>
      <c r="AD127" s="852"/>
    </row>
    <row customHeight="1" ht="9">
      <c r="A128" s="851"/>
      <c r="B128" s="851"/>
      <c r="C128" s="849"/>
      <c r="D128" s="849"/>
      <c r="E128" s="849"/>
      <c r="F128" s="849"/>
      <c r="G128" s="849"/>
      <c r="H128" s="897"/>
      <c r="I128" s="897"/>
      <c r="J128" s="897"/>
      <c r="K128" s="897"/>
      <c r="L128" s="897"/>
      <c r="M128" s="849"/>
      <c r="N128" s="896"/>
      <c r="O128" s="964"/>
      <c r="P128" s="964"/>
      <c r="Q128" s="964"/>
      <c r="R128" s="964"/>
      <c r="S128" s="849"/>
      <c r="T128" s="849"/>
      <c r="U128" s="849"/>
      <c r="V128" s="849"/>
      <c r="W128" s="849"/>
      <c r="X128" s="849"/>
      <c r="Y128" s="1007"/>
      <c r="Z128" s="852"/>
      <c r="AA128" s="855"/>
      <c r="AB128" s="852"/>
      <c r="AC128" s="852"/>
      <c r="AD128" s="852"/>
    </row>
    <row customHeight="1" ht="9">
      <c r="A129" s="851"/>
      <c r="B129" s="851"/>
      <c r="C129" s="849"/>
      <c r="D129" s="849"/>
      <c r="E129" s="849"/>
      <c r="F129" s="849"/>
      <c r="G129" s="849"/>
      <c r="H129" s="897"/>
      <c r="I129" s="897"/>
      <c r="J129" s="897"/>
      <c r="K129" s="897"/>
      <c r="L129" s="897"/>
      <c r="M129" s="849"/>
      <c r="N129" s="896"/>
      <c r="O129" s="964"/>
      <c r="P129" s="964"/>
      <c r="Q129" s="964"/>
      <c r="R129" s="964"/>
      <c r="S129" s="849"/>
      <c r="T129" s="849"/>
      <c r="U129" s="849"/>
      <c r="V129" s="849"/>
      <c r="W129" s="849"/>
      <c r="X129" s="849"/>
      <c r="Y129" s="1007"/>
      <c r="Z129" s="852"/>
      <c r="AA129" s="855"/>
      <c r="AB129" s="852"/>
      <c r="AC129" s="852"/>
      <c r="AD129" s="852"/>
    </row>
    <row customHeight="1" ht="9">
      <c r="A130" s="851"/>
      <c r="B130" s="851"/>
      <c r="C130" s="849"/>
      <c r="D130" s="849"/>
      <c r="E130" s="849"/>
      <c r="F130" s="849"/>
      <c r="G130" s="849"/>
      <c r="H130" s="897"/>
      <c r="I130" s="897"/>
      <c r="J130" s="897"/>
      <c r="K130" s="897"/>
      <c r="L130" s="897"/>
      <c r="M130" s="849"/>
      <c r="N130" s="896"/>
      <c r="O130" s="966"/>
      <c r="P130" s="966"/>
      <c r="Q130" s="966"/>
      <c r="R130" s="966"/>
      <c r="S130" s="849"/>
      <c r="T130" s="849"/>
      <c r="U130" s="849"/>
      <c r="V130" s="849"/>
      <c r="W130" s="849"/>
      <c r="X130" s="849"/>
      <c r="Y130" s="1007"/>
      <c r="Z130" s="852"/>
      <c r="AA130" s="855"/>
      <c r="AB130" s="852"/>
      <c r="AC130" s="852"/>
      <c r="AD130" s="852"/>
    </row>
    <row customHeight="1" ht="9">
      <c r="A131" s="851"/>
      <c r="B131" s="851"/>
      <c r="C131" s="849"/>
      <c r="D131" s="849"/>
      <c r="E131" s="849"/>
      <c r="F131" s="849"/>
      <c r="G131" s="849"/>
      <c r="H131" s="897"/>
      <c r="I131" s="897"/>
      <c r="J131" s="897"/>
      <c r="K131" s="897"/>
      <c r="L131" s="897"/>
      <c r="M131" s="849"/>
      <c r="N131" s="896"/>
      <c r="O131" s="967"/>
      <c r="P131" s="967"/>
      <c r="Q131" s="967"/>
      <c r="R131" s="967"/>
      <c r="S131" s="849"/>
      <c r="T131" s="849"/>
      <c r="U131" s="849"/>
      <c r="V131" s="849"/>
      <c r="W131" s="849"/>
      <c r="X131" s="849"/>
      <c r="Y131" s="1007"/>
      <c r="Z131" s="852"/>
      <c r="AA131" s="855"/>
      <c r="AB131" s="852"/>
      <c r="AC131" s="852"/>
      <c r="AD131" s="852"/>
    </row>
    <row customHeight="1" ht="9">
      <c r="A132" s="851"/>
      <c r="B132" s="851"/>
      <c r="C132" s="849"/>
      <c r="D132" s="849"/>
      <c r="E132" s="849"/>
      <c r="F132" s="849"/>
      <c r="G132" s="849"/>
      <c r="H132" s="897"/>
      <c r="I132" s="897"/>
      <c r="J132" s="897"/>
      <c r="K132" s="897"/>
      <c r="L132" s="897"/>
      <c r="M132" s="849"/>
      <c r="N132" s="896"/>
      <c r="O132" s="966"/>
      <c r="P132" s="966"/>
      <c r="Q132" s="966"/>
      <c r="R132" s="966"/>
      <c r="S132" s="849"/>
      <c r="T132" s="849"/>
      <c r="U132" s="849"/>
      <c r="V132" s="849"/>
      <c r="W132" s="849"/>
      <c r="X132" s="849"/>
      <c r="Y132" s="1007"/>
      <c r="Z132" s="852"/>
      <c r="AA132" s="855"/>
      <c r="AB132" s="852"/>
      <c r="AC132" s="852"/>
      <c r="AD132" s="852"/>
    </row>
    <row customHeight="1" ht="9">
      <c r="A133" s="851"/>
      <c r="B133" s="851"/>
      <c r="C133" s="849"/>
      <c r="D133" s="849"/>
      <c r="E133" s="849"/>
      <c r="F133" s="849"/>
      <c r="G133" s="849"/>
      <c r="H133" s="897"/>
      <c r="I133" s="897"/>
      <c r="J133" s="897"/>
      <c r="K133" s="897"/>
      <c r="L133" s="897"/>
      <c r="M133" s="849"/>
      <c r="N133" s="896"/>
      <c r="O133" s="967"/>
      <c r="P133" s="967"/>
      <c r="Q133" s="967"/>
      <c r="R133" s="967"/>
      <c r="S133" s="849"/>
      <c r="T133" s="849"/>
      <c r="U133" s="849"/>
      <c r="V133" s="849"/>
      <c r="W133" s="849"/>
      <c r="X133" s="849"/>
      <c r="Y133" s="1007"/>
      <c r="Z133" s="852"/>
      <c r="AA133" s="855"/>
      <c r="AB133" s="852"/>
      <c r="AC133" s="852"/>
      <c r="AD133" s="852"/>
    </row>
    <row customHeight="1" ht="9">
      <c r="A134" s="851"/>
      <c r="B134" s="851"/>
      <c r="C134" s="849"/>
      <c r="D134" s="849"/>
      <c r="E134" s="849"/>
      <c r="F134" s="849"/>
      <c r="G134" s="849"/>
      <c r="H134" s="897"/>
      <c r="I134" s="897"/>
      <c r="J134" s="897"/>
      <c r="K134" s="897"/>
      <c r="L134" s="897"/>
      <c r="M134" s="849"/>
      <c r="N134" s="896"/>
      <c r="O134" s="964"/>
      <c r="P134" s="964"/>
      <c r="Q134" s="964"/>
      <c r="R134" s="964"/>
      <c r="S134" s="849"/>
      <c r="T134" s="849"/>
      <c r="U134" s="849"/>
      <c r="V134" s="849"/>
      <c r="W134" s="849"/>
      <c r="X134" s="849"/>
      <c r="Y134" s="1007"/>
      <c r="Z134" s="852"/>
      <c r="AA134" s="855"/>
      <c r="AB134" s="852"/>
      <c r="AC134" s="852"/>
      <c r="AD134" s="852"/>
    </row>
    <row customHeight="1" ht="9">
      <c r="A135" s="851"/>
      <c r="B135" s="851"/>
      <c r="C135" s="849"/>
      <c r="D135" s="849"/>
      <c r="E135" s="849"/>
      <c r="F135" s="849"/>
      <c r="G135" s="849"/>
      <c r="H135" s="897"/>
      <c r="I135" s="897"/>
      <c r="J135" s="897"/>
      <c r="K135" s="897"/>
      <c r="L135" s="897"/>
      <c r="M135" s="849"/>
      <c r="N135" s="896"/>
      <c r="O135" s="964"/>
      <c r="P135" s="964"/>
      <c r="Q135" s="964"/>
      <c r="R135" s="964"/>
      <c r="S135" s="849"/>
      <c r="T135" s="849"/>
      <c r="U135" s="849"/>
      <c r="V135" s="849"/>
      <c r="W135" s="849"/>
      <c r="X135" s="849"/>
      <c r="Y135" s="1007"/>
      <c r="Z135" s="852"/>
      <c r="AA135" s="855"/>
      <c r="AB135" s="852"/>
      <c r="AC135" s="852"/>
      <c r="AD135" s="852"/>
    </row>
    <row customHeight="1" ht="9">
      <c r="A136" s="851"/>
      <c r="B136" s="851"/>
      <c r="C136" s="849"/>
      <c r="D136" s="849"/>
      <c r="E136" s="849"/>
      <c r="F136" s="849"/>
      <c r="G136" s="849"/>
      <c r="H136" s="897"/>
      <c r="I136" s="897"/>
      <c r="J136" s="897"/>
      <c r="K136" s="897"/>
      <c r="L136" s="897"/>
      <c r="M136" s="849"/>
      <c r="N136" s="896"/>
      <c r="O136" s="964"/>
      <c r="P136" s="964"/>
      <c r="Q136" s="964"/>
      <c r="R136" s="964"/>
      <c r="S136" s="849"/>
      <c r="T136" s="849"/>
      <c r="U136" s="849"/>
      <c r="V136" s="849"/>
      <c r="W136" s="849"/>
      <c r="X136" s="849"/>
      <c r="Y136" s="1007"/>
      <c r="Z136" s="852"/>
      <c r="AA136" s="855"/>
      <c r="AB136" s="852"/>
      <c r="AC136" s="852"/>
      <c r="AD136" s="852"/>
    </row>
    <row customHeight="1" ht="9">
      <c r="A137" s="851"/>
      <c r="B137" s="851"/>
      <c r="C137" s="849"/>
      <c r="D137" s="849"/>
      <c r="E137" s="849"/>
      <c r="F137" s="849"/>
      <c r="G137" s="849"/>
      <c r="H137" s="897"/>
      <c r="I137" s="897"/>
      <c r="J137" s="897"/>
      <c r="K137" s="897"/>
      <c r="L137" s="897"/>
      <c r="M137" s="849"/>
      <c r="N137" s="896"/>
      <c r="O137" s="968"/>
      <c r="P137" s="968"/>
      <c r="Q137" s="968"/>
      <c r="R137" s="968"/>
      <c r="S137" s="849"/>
      <c r="T137" s="849"/>
      <c r="U137" s="849"/>
      <c r="V137" s="849"/>
      <c r="W137" s="849"/>
      <c r="X137" s="849"/>
      <c r="Y137" s="1007"/>
      <c r="Z137" s="852"/>
      <c r="AA137" s="855"/>
      <c r="AB137" s="852"/>
      <c r="AC137" s="852"/>
      <c r="AD137" s="852"/>
    </row>
    <row customHeight="1" ht="9">
      <c r="A138" s="851"/>
      <c r="B138" s="851"/>
      <c r="C138" s="849"/>
      <c r="D138" s="849"/>
      <c r="E138" s="849"/>
      <c r="F138" s="849"/>
      <c r="G138" s="849"/>
      <c r="H138" s="897"/>
      <c r="I138" s="897"/>
      <c r="J138" s="897"/>
      <c r="K138" s="897"/>
      <c r="L138" s="897"/>
      <c r="M138" s="849"/>
      <c r="N138" s="896"/>
      <c r="O138" s="965"/>
      <c r="P138" s="965"/>
      <c r="Q138" s="965"/>
      <c r="R138" s="965"/>
      <c r="S138" s="849"/>
      <c r="T138" s="849"/>
      <c r="U138" s="849"/>
      <c r="V138" s="849"/>
      <c r="W138" s="849"/>
      <c r="X138" s="849"/>
      <c r="Y138" s="1007"/>
      <c r="Z138" s="852"/>
      <c r="AA138" s="855"/>
      <c r="AB138" s="852"/>
      <c r="AC138" s="852"/>
      <c r="AD138" s="852"/>
    </row>
    <row customHeight="1" ht="9">
      <c r="A139" s="851"/>
      <c r="B139" s="851"/>
      <c r="C139" s="849"/>
      <c r="D139" s="849"/>
      <c r="E139" s="849"/>
      <c r="F139" s="849"/>
      <c r="G139" s="849"/>
      <c r="H139" s="897"/>
      <c r="I139" s="897"/>
      <c r="J139" s="897"/>
      <c r="K139" s="897"/>
      <c r="L139" s="897"/>
      <c r="M139" s="849"/>
      <c r="N139" s="896"/>
      <c r="O139" s="849"/>
      <c r="P139" s="849"/>
      <c r="Q139" s="849"/>
      <c r="R139" s="849"/>
      <c r="S139" s="849"/>
      <c r="T139" s="849"/>
      <c r="U139" s="849"/>
      <c r="V139" s="849"/>
      <c r="W139" s="849"/>
      <c r="X139" s="849"/>
      <c r="Y139" s="1007"/>
      <c r="Z139" s="852"/>
      <c r="AA139" s="855"/>
      <c r="AB139" s="852"/>
      <c r="AC139" s="852"/>
      <c r="AD139" s="852"/>
    </row>
    <row customHeight="1" ht="9">
      <c r="A140" s="851"/>
      <c r="B140" s="851"/>
      <c r="C140" s="849"/>
      <c r="D140" s="849"/>
      <c r="E140" s="849"/>
      <c r="F140" s="849"/>
      <c r="G140" s="849"/>
      <c r="H140" s="897"/>
      <c r="I140" s="897"/>
      <c r="J140" s="897"/>
      <c r="K140" s="897"/>
      <c r="L140" s="897"/>
      <c r="M140" s="849"/>
      <c r="N140" s="896"/>
      <c r="O140" s="849"/>
      <c r="P140" s="849"/>
      <c r="Q140" s="849"/>
      <c r="R140" s="849"/>
      <c r="S140" s="849"/>
      <c r="T140" s="849"/>
      <c r="U140" s="849"/>
      <c r="V140" s="849"/>
      <c r="W140" s="849"/>
      <c r="X140" s="849"/>
      <c r="Y140" s="1007"/>
      <c r="Z140" s="852"/>
      <c r="AA140" s="855"/>
      <c r="AB140" s="852"/>
      <c r="AC140" s="852"/>
      <c r="AD140" s="852"/>
    </row>
    <row customHeight="1" ht="9">
      <c r="A141" s="851"/>
      <c r="B141" s="851"/>
      <c r="C141" s="849"/>
      <c r="D141" s="849"/>
      <c r="E141" s="849"/>
      <c r="F141" s="849"/>
      <c r="G141" s="849"/>
      <c r="H141" s="897"/>
      <c r="I141" s="897"/>
      <c r="J141" s="897"/>
      <c r="K141" s="897"/>
      <c r="L141" s="897"/>
      <c r="M141" s="849"/>
      <c r="N141" s="896"/>
      <c r="O141" s="849"/>
      <c r="P141" s="849"/>
      <c r="Q141" s="849"/>
      <c r="R141" s="849"/>
      <c r="S141" s="849"/>
      <c r="T141" s="849"/>
      <c r="U141" s="849"/>
      <c r="V141" s="849"/>
      <c r="W141" s="849"/>
      <c r="X141" s="849"/>
      <c r="Y141" s="1007"/>
      <c r="Z141" s="852"/>
      <c r="AA141" s="855"/>
      <c r="AB141" s="852"/>
      <c r="AC141" s="852"/>
      <c r="AD141" s="852"/>
    </row>
    <row customHeight="1" ht="9">
      <c r="A142" s="851"/>
      <c r="B142" s="851"/>
      <c r="C142" s="849"/>
      <c r="D142" s="849"/>
      <c r="E142" s="849"/>
      <c r="F142" s="849"/>
      <c r="G142" s="849"/>
      <c r="H142" s="897"/>
      <c r="I142" s="897"/>
      <c r="J142" s="897"/>
      <c r="K142" s="897"/>
      <c r="L142" s="897"/>
      <c r="M142" s="849"/>
      <c r="N142" s="896"/>
      <c r="O142" s="849"/>
      <c r="P142" s="849"/>
      <c r="Q142" s="849"/>
      <c r="R142" s="849"/>
      <c r="S142" s="849"/>
      <c r="T142" s="849"/>
      <c r="U142" s="849"/>
      <c r="V142" s="849"/>
      <c r="W142" s="849"/>
      <c r="X142" s="849"/>
      <c r="Y142" s="1007"/>
      <c r="Z142" s="852"/>
      <c r="AA142" s="855"/>
      <c r="AB142" s="852"/>
      <c r="AC142" s="852"/>
      <c r="AD142" s="852"/>
    </row>
    <row customHeight="1" ht="9">
      <c r="A143" s="851"/>
      <c r="B143" s="851"/>
      <c r="C143" s="849"/>
      <c r="D143" s="849"/>
      <c r="E143" s="849"/>
      <c r="F143" s="849"/>
      <c r="G143" s="849"/>
      <c r="H143" s="897"/>
      <c r="I143" s="897"/>
      <c r="J143" s="897"/>
      <c r="K143" s="897"/>
      <c r="L143" s="897"/>
      <c r="M143" s="849"/>
      <c r="N143" s="896"/>
      <c r="O143" s="849"/>
      <c r="P143" s="849"/>
      <c r="Q143" s="849"/>
      <c r="R143" s="849"/>
      <c r="S143" s="849"/>
      <c r="T143" s="849"/>
      <c r="U143" s="849"/>
      <c r="V143" s="849"/>
      <c r="W143" s="849"/>
      <c r="X143" s="849"/>
      <c r="Y143" s="1007"/>
      <c r="Z143" s="852"/>
      <c r="AA143" s="855"/>
      <c r="AB143" s="852"/>
      <c r="AC143" s="852"/>
      <c r="AD143" s="852"/>
    </row>
    <row customHeight="1" ht="9">
      <c r="A144" s="851"/>
      <c r="B144" s="851"/>
      <c r="C144" s="849"/>
      <c r="D144" s="849"/>
      <c r="E144" s="849"/>
      <c r="F144" s="849"/>
      <c r="G144" s="849"/>
      <c r="H144" s="897"/>
      <c r="I144" s="897"/>
      <c r="J144" s="897"/>
      <c r="K144" s="897"/>
      <c r="L144" s="897"/>
      <c r="M144" s="849"/>
      <c r="N144" s="896"/>
      <c r="O144" s="849"/>
      <c r="P144" s="849"/>
      <c r="Q144" s="849"/>
      <c r="R144" s="849"/>
      <c r="S144" s="849"/>
      <c r="T144" s="849"/>
      <c r="U144" s="849"/>
      <c r="V144" s="849"/>
      <c r="W144" s="849"/>
      <c r="X144" s="849"/>
      <c r="Y144" s="1007"/>
      <c r="Z144" s="852"/>
      <c r="AA144" s="855"/>
      <c r="AB144" s="852"/>
      <c r="AC144" s="852"/>
      <c r="AD144" s="852"/>
    </row>
    <row customHeight="1" ht="9">
      <c r="A145" s="851"/>
      <c r="B145" s="851"/>
      <c r="C145" s="849"/>
      <c r="D145" s="849"/>
      <c r="E145" s="849"/>
      <c r="F145" s="849"/>
      <c r="G145" s="849"/>
      <c r="H145" s="897"/>
      <c r="I145" s="897"/>
      <c r="J145" s="897"/>
      <c r="K145" s="897"/>
      <c r="L145" s="897"/>
      <c r="M145" s="849"/>
      <c r="N145" s="896"/>
      <c r="O145" s="849"/>
      <c r="P145" s="849"/>
      <c r="Q145" s="849"/>
      <c r="R145" s="849"/>
      <c r="S145" s="849"/>
      <c r="T145" s="849"/>
      <c r="U145" s="849"/>
      <c r="V145" s="849"/>
      <c r="W145" s="849"/>
      <c r="X145" s="849"/>
      <c r="Y145" s="1007"/>
      <c r="Z145" s="852"/>
      <c r="AA145" s="855"/>
      <c r="AB145" s="852"/>
      <c r="AC145" s="852"/>
      <c r="AD145" s="852"/>
    </row>
    <row customHeight="1" ht="9">
      <c r="A146" s="851"/>
      <c r="B146" s="851"/>
      <c r="C146" s="849"/>
      <c r="D146" s="849"/>
      <c r="E146" s="849"/>
      <c r="F146" s="849"/>
      <c r="G146" s="849"/>
      <c r="H146" s="897"/>
      <c r="I146" s="897"/>
      <c r="J146" s="897"/>
      <c r="K146" s="897"/>
      <c r="L146" s="897"/>
      <c r="M146" s="849"/>
      <c r="N146" s="896"/>
      <c r="O146" s="849"/>
      <c r="P146" s="849"/>
      <c r="Q146" s="849"/>
      <c r="R146" s="849"/>
      <c r="S146" s="849"/>
      <c r="T146" s="849"/>
      <c r="U146" s="849"/>
      <c r="V146" s="849"/>
      <c r="W146" s="849"/>
      <c r="X146" s="849"/>
      <c r="Y146" s="1007"/>
      <c r="Z146" s="852"/>
      <c r="AA146" s="855"/>
      <c r="AB146" s="852"/>
      <c r="AC146" s="852"/>
      <c r="AD146" s="852"/>
    </row>
    <row customHeight="1" ht="9">
      <c r="A147" s="851"/>
      <c r="B147" s="851"/>
      <c r="C147" s="851"/>
      <c r="D147" s="851"/>
      <c r="E147" s="851"/>
      <c r="F147" s="851"/>
      <c r="G147" s="851"/>
      <c r="H147" s="851"/>
      <c r="I147" s="851"/>
      <c r="J147" s="851"/>
      <c r="K147" s="851"/>
      <c r="L147" s="851"/>
      <c r="M147" s="851"/>
      <c r="N147" s="851"/>
      <c r="O147" s="851"/>
      <c r="P147" s="851"/>
      <c r="Q147" s="851"/>
      <c r="R147" s="851"/>
      <c r="S147" s="851"/>
      <c r="T147" s="851"/>
      <c r="U147" s="851"/>
      <c r="V147" s="851"/>
      <c r="W147" s="851"/>
      <c r="X147" s="851"/>
      <c r="Y147" s="851"/>
      <c r="Z147" s="851"/>
      <c r="AA147" s="851"/>
      <c r="AB147" s="851"/>
      <c r="AC147" s="851"/>
      <c r="AD147" s="851"/>
    </row>
    <row customHeight="1" ht="90">
      <c r="A148" s="851" t="s">
        <v>1659</v>
      </c>
      <c r="B148" s="851"/>
      <c r="C148" s="849" t="s">
        <v>2133</v>
      </c>
      <c r="D148" s="849" t="s">
        <v>1561</v>
      </c>
      <c r="E148" s="849" t="s">
        <v>1661</v>
      </c>
      <c r="F148" s="849" t="s">
        <v>2134</v>
      </c>
      <c r="G148" s="849"/>
      <c r="H148" s="849"/>
      <c r="I148" s="970"/>
      <c r="J148" s="970"/>
      <c r="K148" s="970"/>
      <c r="L148" s="970"/>
      <c r="M148" s="899"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854"/>
      <c r="O148" s="849"/>
      <c r="P148" s="850"/>
      <c r="Q148" s="850"/>
      <c r="R148" s="850"/>
      <c r="S148" s="849"/>
      <c r="T148" s="849" t="s">
        <v>2135</v>
      </c>
      <c r="U148" s="850"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850"/>
      <c r="W148" s="850"/>
      <c r="X148" s="849" t="s">
        <v>2136</v>
      </c>
      <c r="Y148" s="1007"/>
      <c r="Z148" s="852"/>
      <c r="AA148" s="855"/>
      <c r="AB148" s="852"/>
      <c r="AC148" s="852"/>
      <c r="AD148" s="852"/>
    </row>
    <row customHeight="1" ht="9">
      <c r="A149" s="851"/>
      <c r="B149" s="851"/>
      <c r="C149" s="851"/>
      <c r="D149" s="851"/>
      <c r="E149" s="851"/>
      <c r="F149" s="851"/>
      <c r="G149" s="851"/>
      <c r="H149" s="851"/>
      <c r="I149" s="851"/>
      <c r="J149" s="851"/>
      <c r="K149" s="851"/>
      <c r="L149" s="851"/>
      <c r="M149" s="851"/>
      <c r="N149" s="851"/>
      <c r="O149" s="851"/>
      <c r="P149" s="851"/>
      <c r="Q149" s="851"/>
      <c r="R149" s="851"/>
      <c r="S149" s="851"/>
      <c r="T149" s="851"/>
      <c r="U149" s="851"/>
      <c r="V149" s="851"/>
      <c r="W149" s="851"/>
      <c r="X149" s="851"/>
      <c r="Y149" s="851"/>
      <c r="Z149" s="851"/>
      <c r="AA149" s="851"/>
      <c r="AB149" s="851"/>
      <c r="AC149" s="851"/>
      <c r="AD149" s="851"/>
    </row>
    <row customHeight="1" ht="9">
      <c r="A150" s="851" t="s">
        <v>1663</v>
      </c>
      <c r="B150" s="851"/>
      <c r="C150" s="849"/>
      <c r="D150" s="849"/>
      <c r="E150" s="849"/>
      <c r="F150" s="849"/>
      <c r="G150" s="849"/>
      <c r="H150" s="849"/>
      <c r="I150" s="849"/>
      <c r="J150" s="849"/>
      <c r="K150" s="849"/>
      <c r="L150" s="849"/>
      <c r="M150" s="849"/>
      <c r="N150" s="849"/>
      <c r="O150" s="849"/>
      <c r="P150" s="849"/>
      <c r="Q150" s="849"/>
      <c r="R150" s="849"/>
      <c r="S150" s="849"/>
      <c r="T150" s="849"/>
      <c r="U150" s="849"/>
      <c r="V150" s="849"/>
      <c r="W150" s="849"/>
      <c r="X150" s="849"/>
      <c r="Y150" s="1007"/>
      <c r="Z150" s="852"/>
      <c r="AA150" s="855"/>
      <c r="AB150" s="852"/>
      <c r="AC150" s="852"/>
      <c r="AD150" s="852"/>
    </row>
    <row customHeight="1" ht="9">
      <c r="A151" s="851"/>
      <c r="B151" s="851"/>
      <c r="C151" s="851"/>
      <c r="D151" s="851"/>
      <c r="E151" s="851"/>
      <c r="F151" s="851"/>
      <c r="G151" s="851"/>
      <c r="H151" s="851"/>
      <c r="I151" s="851"/>
      <c r="J151" s="851"/>
      <c r="K151" s="851"/>
      <c r="L151" s="851"/>
      <c r="M151" s="851"/>
      <c r="N151" s="851"/>
      <c r="O151" s="851"/>
      <c r="P151" s="851"/>
      <c r="Q151" s="851"/>
      <c r="R151" s="851"/>
      <c r="S151" s="851"/>
      <c r="T151" s="851"/>
      <c r="U151" s="851"/>
      <c r="V151" s="851"/>
      <c r="W151" s="851"/>
      <c r="X151" s="851"/>
      <c r="Y151" s="851"/>
      <c r="Z151" s="851"/>
      <c r="AA151" s="851"/>
      <c r="AB151" s="851"/>
      <c r="AC151" s="851"/>
      <c r="AD151" s="851"/>
    </row>
    <row customHeight="1" ht="9">
      <c r="A152" s="851" t="s">
        <v>1666</v>
      </c>
      <c r="B152" s="851"/>
      <c r="C152" s="849"/>
      <c r="D152" s="849"/>
      <c r="E152" s="849"/>
      <c r="F152" s="849"/>
      <c r="G152" s="849"/>
      <c r="H152" s="849"/>
      <c r="I152" s="849"/>
      <c r="J152" s="849"/>
      <c r="K152" s="849"/>
      <c r="L152" s="849"/>
      <c r="M152" s="849"/>
      <c r="N152" s="849"/>
      <c r="O152" s="849"/>
      <c r="P152" s="849"/>
      <c r="Q152" s="849"/>
      <c r="R152" s="849"/>
      <c r="S152" s="849"/>
      <c r="T152" s="849"/>
      <c r="U152" s="849"/>
      <c r="V152" s="849"/>
      <c r="W152" s="849"/>
      <c r="X152" s="849"/>
      <c r="Y152" s="1007"/>
      <c r="Z152" s="852"/>
      <c r="AA152" s="855"/>
      <c r="AB152" s="852"/>
      <c r="AC152" s="852"/>
      <c r="AD152" s="852"/>
    </row>
    <row customHeight="1" ht="9">
      <c r="A153" s="851"/>
      <c r="B153" s="851"/>
      <c r="C153" s="851"/>
      <c r="D153" s="851"/>
      <c r="E153" s="851"/>
      <c r="F153" s="851"/>
      <c r="G153" s="851"/>
      <c r="H153" s="851"/>
      <c r="I153" s="851"/>
      <c r="J153" s="851"/>
      <c r="K153" s="851"/>
      <c r="L153" s="851"/>
      <c r="M153" s="851"/>
      <c r="N153" s="851"/>
      <c r="O153" s="851"/>
      <c r="P153" s="851"/>
      <c r="Q153" s="851"/>
      <c r="R153" s="851"/>
      <c r="S153" s="851"/>
      <c r="T153" s="851"/>
      <c r="U153" s="851"/>
      <c r="V153" s="851"/>
      <c r="W153" s="851"/>
      <c r="X153" s="851"/>
      <c r="Y153" s="851"/>
      <c r="Z153" s="851"/>
      <c r="AA153" s="851"/>
      <c r="AB153" s="851"/>
      <c r="AC153" s="851"/>
      <c r="AD153" s="851"/>
    </row>
    <row customHeight="1" ht="9">
      <c r="A154" s="851" t="s">
        <v>1671</v>
      </c>
      <c r="B154" s="851"/>
      <c r="C154" s="849"/>
      <c r="D154" s="849"/>
      <c r="E154" s="849"/>
      <c r="F154" s="849"/>
      <c r="G154" s="849"/>
      <c r="H154" s="849"/>
      <c r="I154" s="849"/>
      <c r="J154" s="849"/>
      <c r="K154" s="849"/>
      <c r="L154" s="849"/>
      <c r="M154" s="849"/>
      <c r="N154" s="849"/>
      <c r="O154" s="849"/>
      <c r="P154" s="849"/>
      <c r="Q154" s="849"/>
      <c r="R154" s="849"/>
      <c r="S154" s="849"/>
      <c r="T154" s="849"/>
      <c r="U154" s="849"/>
      <c r="V154" s="849"/>
      <c r="W154" s="849"/>
      <c r="X154" s="849"/>
      <c r="Y154" s="1007"/>
      <c r="Z154" s="852"/>
      <c r="AA154" s="855"/>
      <c r="AB154" s="852"/>
      <c r="AC154" s="852"/>
      <c r="AD154" s="852"/>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14CB6A-810E-B468-D16D-8963722B7B85}" mc:Ignorable="x14ac xr xr2 xr3">
  <sheetPr>
    <tabColor theme="6" tint="0.4"/>
  </sheetPr>
  <dimension ref="A1:AC40"/>
  <sheetViews>
    <sheetView topLeftCell="A1" showGridLines="0" workbookViewId="0">
      <selection activeCell="A1" sqref="A1"/>
    </sheetView>
  </sheetViews>
  <sheetFormatPr defaultColWidth="10.57421875" customHeight="1" defaultRowHeight="14.25"/>
  <cols>
    <col min="1" max="1" style="3292" width="10.57421875" hidden="1"/>
    <col min="2" max="2" style="3292" width="11.00390625" hidden="1" customWidth="1"/>
    <col min="3" max="3" style="3292" width="10.57421875" hidden="1"/>
    <col min="4" max="4" style="3292" width="11.8515625" hidden="1" customWidth="1"/>
    <col min="5" max="5" style="3292" width="12.28125" hidden="1" customWidth="1"/>
    <col min="6" max="8" style="3294" width="12.28125" hidden="1" customWidth="1"/>
    <col min="9" max="9" style="5079" width="3.7109375" customWidth="1"/>
    <col min="10" max="11" style="3371" width="3.7109375" customWidth="1"/>
    <col min="12" max="12" style="3372" width="12.7109375" customWidth="1"/>
    <col min="13" max="13" style="2939" width="32.00390625" customWidth="1"/>
    <col min="14" max="14" style="2939" width="1.7109375" customWidth="1"/>
    <col min="15" max="18" style="2939" width="24.7109375" customWidth="1"/>
    <col min="19" max="19" style="2939" width="11.7109375" customWidth="1"/>
    <col min="20" max="20" style="2939" width="3.7109375" customWidth="1"/>
    <col min="21" max="21" style="2939" width="11.7109375" customWidth="1"/>
    <col min="22" max="22" style="2939" width="8.57421875" customWidth="1"/>
    <col min="23" max="23" style="2939" width="4.7109375" customWidth="1"/>
    <col min="24" max="24" style="2939" width="115.7109375" customWidth="1"/>
    <col min="25" max="26" style="2611" width="10.57421875"/>
    <col min="27" max="27" style="2611" width="11.140625" customWidth="1"/>
    <col min="28" max="29" style="2611" width="10.57421875"/>
  </cols>
  <sheetData>
    <row customHeight="1" ht="14.25" hidden="1">
      <c r="R1" s="323"/>
      <c r="S1" s="323"/>
    </row>
    <row customHeight="1" ht="14.25" hidden="1">
      <c r="V2" s="323"/>
    </row>
    <row customHeight="1" ht="14.25" hidden="1"/>
    <row customHeight="1" ht="14.25">
      <c r="J4" s="377"/>
      <c r="K4" s="377"/>
      <c r="L4" s="1305"/>
      <c r="M4" s="361"/>
      <c r="N4" s="361"/>
      <c r="O4" s="515"/>
      <c r="P4" s="515"/>
      <c r="Q4" s="515"/>
      <c r="R4" s="515"/>
      <c r="S4" s="515"/>
      <c r="T4" s="515"/>
      <c r="U4" s="515"/>
      <c r="V4" s="515"/>
    </row>
    <row customHeight="1" ht="64.5">
      <c r="J5" s="377"/>
      <c r="K5" s="377"/>
      <c r="L5" s="2441" t="s">
        <v>2137</v>
      </c>
      <c r="M5" s="2441"/>
      <c r="N5" s="2441"/>
      <c r="O5" s="2441"/>
      <c r="P5" s="2441"/>
      <c r="Q5" s="2441"/>
      <c r="R5" s="2441"/>
      <c r="S5" s="2441"/>
      <c r="T5" s="2441"/>
      <c r="U5" s="2441"/>
      <c r="V5" s="1261"/>
    </row>
    <row customHeight="1" ht="14.25">
      <c r="J6" s="377"/>
      <c r="K6" s="377"/>
      <c r="L6" s="2442" t="str">
        <f>IF(org=0,"Не определено",org)</f>
        <v>ЗАО "Байкалэнерго"</v>
      </c>
      <c r="M6" s="2442"/>
      <c r="N6" s="2442"/>
      <c r="O6" s="2442"/>
      <c r="P6" s="2442"/>
      <c r="Q6" s="2442"/>
      <c r="R6" s="2442"/>
      <c r="S6" s="2442"/>
      <c r="T6" s="2442"/>
      <c r="U6" s="2442"/>
      <c r="V6" s="1261"/>
    </row>
    <row customHeight="1" ht="14.25">
      <c r="J7" s="377"/>
      <c r="K7" s="377"/>
      <c r="L7" s="1305"/>
      <c r="M7" s="361"/>
      <c r="N7" s="361"/>
      <c r="O7" s="316"/>
      <c r="P7" s="316"/>
      <c r="Q7" s="316"/>
      <c r="R7" s="316"/>
      <c r="S7" s="316"/>
      <c r="T7" s="316"/>
      <c r="U7" s="316"/>
      <c r="V7" s="316"/>
      <c r="W7" s="515"/>
    </row>
    <row s="3305" customFormat="1" customHeight="1" ht="45">
      <c r="A8" s="1398"/>
      <c r="B8" s="1398"/>
      <c r="C8" s="1398"/>
      <c r="D8" s="1398"/>
      <c r="E8" s="1398"/>
      <c r="F8" s="1398"/>
      <c r="G8" s="1398"/>
      <c r="H8" s="1398"/>
      <c r="L8" s="1306"/>
      <c r="M8" s="283" t="s">
        <v>38</v>
      </c>
      <c r="N8" s="292"/>
      <c r="O8" s="2100" t="str">
        <f>IF(TITLE_NAME_OR_PR_CHANGE="",IF(TITLE_NAME_OR_PR="","",TITLE_NAME_OR_PR),TITLE_NAME_OR_PR_CHANGE)</f>
        <v>Служба по тарифам Иркутской области</v>
      </c>
      <c r="P8" s="2100"/>
      <c r="Q8" s="2100"/>
      <c r="R8" s="2100"/>
      <c r="S8" s="2100"/>
      <c r="T8" s="2100"/>
      <c r="U8" s="2100"/>
      <c r="V8" s="322"/>
      <c r="W8" s="322"/>
      <c r="X8" s="268"/>
      <c r="Y8" s="368"/>
      <c r="Z8" s="368"/>
      <c r="AA8" s="368"/>
      <c r="AB8" s="368"/>
      <c r="AC8" s="368"/>
    </row>
    <row s="3305" customFormat="1" customHeight="1" ht="22.5">
      <c r="A9" s="1398"/>
      <c r="B9" s="1398"/>
      <c r="C9" s="1398"/>
      <c r="D9" s="1398"/>
      <c r="E9" s="1398"/>
      <c r="F9" s="1398"/>
      <c r="G9" s="1398"/>
      <c r="H9" s="1398"/>
      <c r="L9" s="1306"/>
      <c r="M9" s="283" t="s">
        <v>415</v>
      </c>
      <c r="N9" s="292"/>
      <c r="O9" s="2100" t="str">
        <f>IF(TITLE_DATE_CHANGE_PERIOD="",IF(TITLE_DATE_PR="","",TITLE_DATE_PR),TITLE_DATE_CHANGE_PERIOD)</f>
        <v>45474.560960648145</v>
      </c>
      <c r="P9" s="2100"/>
      <c r="Q9" s="2100"/>
      <c r="R9" s="2100"/>
      <c r="S9" s="2100"/>
      <c r="T9" s="2100"/>
      <c r="U9" s="2100"/>
      <c r="V9" s="322"/>
      <c r="W9" s="322"/>
      <c r="X9" s="268"/>
      <c r="Y9" s="368"/>
      <c r="Z9" s="368"/>
      <c r="AA9" s="368"/>
      <c r="AB9" s="368"/>
      <c r="AC9" s="368"/>
    </row>
    <row s="3305" customFormat="1" customHeight="1" ht="22.5">
      <c r="A10" s="1398"/>
      <c r="B10" s="1398"/>
      <c r="C10" s="1398"/>
      <c r="D10" s="1398"/>
      <c r="E10" s="1398"/>
      <c r="F10" s="1398"/>
      <c r="G10" s="1398"/>
      <c r="H10" s="1398"/>
      <c r="L10" s="1269"/>
      <c r="M10" s="283" t="s">
        <v>416</v>
      </c>
      <c r="N10" s="292"/>
      <c r="O10" s="2100" t="str">
        <f>IF(TITLE_NUMBER_PR_CHANGE="",IF(TITLE_NUMBER_PR="","",TITLE_NUMBER_PR),TITLE_NUMBER_PR_CHANGE)</f>
        <v>79-477-спр</v>
      </c>
      <c r="P10" s="2100"/>
      <c r="Q10" s="2100"/>
      <c r="R10" s="2100"/>
      <c r="S10" s="2100"/>
      <c r="T10" s="2100"/>
      <c r="U10" s="2100"/>
      <c r="V10" s="322"/>
      <c r="W10" s="322"/>
      <c r="X10" s="268"/>
      <c r="Y10" s="368"/>
      <c r="Z10" s="368"/>
      <c r="AA10" s="368"/>
      <c r="AB10" s="368"/>
      <c r="AC10" s="368"/>
    </row>
    <row s="3305" customFormat="1" customHeight="1" ht="22.5">
      <c r="A11" s="1398"/>
      <c r="B11" s="1398"/>
      <c r="C11" s="1398"/>
      <c r="D11" s="1398"/>
      <c r="E11" s="1398"/>
      <c r="F11" s="1398"/>
      <c r="G11" s="1398"/>
      <c r="H11" s="1398"/>
      <c r="L11" s="1269"/>
      <c r="M11" s="283" t="s">
        <v>40</v>
      </c>
      <c r="N11" s="292"/>
      <c r="O11" s="2100" t="str">
        <f>IF(TITLE_IST_PUB_CHANGE="",IF(TITLE_IST_PUB="","",TITLE_IST_PUB),TITLE_IST_PUB_CHANGE)</f>
        <v>Официальный сайт службы по тарифам Иркутской области http://irkobl.ru</v>
      </c>
      <c r="P11" s="2100"/>
      <c r="Q11" s="2100"/>
      <c r="R11" s="2100"/>
      <c r="S11" s="2100"/>
      <c r="T11" s="2100"/>
      <c r="U11" s="2100"/>
      <c r="V11" s="322"/>
      <c r="W11" s="322"/>
      <c r="X11" s="268"/>
      <c r="Y11" s="368"/>
      <c r="Z11" s="368"/>
      <c r="AA11" s="368"/>
      <c r="AB11" s="368"/>
      <c r="AC11" s="368"/>
    </row>
    <row s="3305" customFormat="1" customHeight="1" ht="11.25" hidden="1">
      <c r="A12" s="1398"/>
      <c r="B12" s="1398"/>
      <c r="C12" s="1398"/>
      <c r="D12" s="1398"/>
      <c r="E12" s="1398"/>
      <c r="F12" s="1398"/>
      <c r="G12" s="1398"/>
      <c r="H12" s="1398"/>
      <c r="L12" s="2440"/>
      <c r="M12" s="2440"/>
      <c r="N12" s="1317"/>
      <c r="O12" s="322"/>
      <c r="P12" s="322"/>
      <c r="Q12" s="322"/>
      <c r="R12" s="322"/>
      <c r="S12" s="322"/>
      <c r="T12" s="322"/>
      <c r="U12" s="322"/>
      <c r="V12" s="266" t="s">
        <v>419</v>
      </c>
      <c r="Y12" s="368"/>
      <c r="Z12" s="368"/>
      <c r="AA12" s="368"/>
      <c r="AB12" s="368"/>
      <c r="AC12" s="368"/>
    </row>
    <row customHeight="1" ht="14.25">
      <c r="J13" s="377"/>
      <c r="K13" s="377"/>
      <c r="L13" s="1305"/>
      <c r="M13" s="361"/>
      <c r="N13" s="1262"/>
      <c r="O13" s="2124"/>
      <c r="P13" s="2124"/>
      <c r="Q13" s="2124"/>
      <c r="R13" s="2124"/>
      <c r="S13" s="2124"/>
      <c r="T13" s="2124"/>
      <c r="U13" s="2124"/>
      <c r="V13" s="2124"/>
    </row>
    <row customHeight="1" ht="14.25">
      <c r="J14" s="377"/>
      <c r="K14" s="377"/>
      <c r="L14" s="1971" t="s">
        <v>293</v>
      </c>
      <c r="M14" s="1971"/>
      <c r="N14" s="1971"/>
      <c r="O14" s="1971"/>
      <c r="P14" s="1971"/>
      <c r="Q14" s="1971"/>
      <c r="R14" s="1971"/>
      <c r="S14" s="1971"/>
      <c r="T14" s="1971"/>
      <c r="U14" s="1971"/>
      <c r="V14" s="1971"/>
      <c r="W14" s="1971"/>
      <c r="X14" s="1971" t="s">
        <v>294</v>
      </c>
    </row>
    <row customHeight="1" ht="14.25">
      <c r="J15" s="377"/>
      <c r="K15" s="377"/>
      <c r="L15" s="2125" t="s">
        <v>88</v>
      </c>
      <c r="M15" s="2062" t="s">
        <v>420</v>
      </c>
      <c r="N15" s="289"/>
      <c r="O15" s="2126" t="s">
        <v>2138</v>
      </c>
      <c r="P15" s="2127"/>
      <c r="Q15" s="2127"/>
      <c r="R15" s="2127"/>
      <c r="S15" s="2127"/>
      <c r="T15" s="2127"/>
      <c r="U15" s="2128"/>
      <c r="V15" s="2129" t="s">
        <v>422</v>
      </c>
      <c r="W15" s="2132" t="s">
        <v>1056</v>
      </c>
      <c r="X15" s="1971"/>
    </row>
    <row customHeight="1" ht="33.75">
      <c r="J16" s="377"/>
      <c r="K16" s="377"/>
      <c r="L16" s="2125"/>
      <c r="M16" s="2062"/>
      <c r="N16" s="1038"/>
      <c r="O16" s="2135" t="s">
        <v>425</v>
      </c>
      <c r="P16" s="2135" t="s">
        <v>426</v>
      </c>
      <c r="Q16" s="2118" t="s">
        <v>427</v>
      </c>
      <c r="R16" s="2120"/>
      <c r="S16" s="2118" t="s">
        <v>440</v>
      </c>
      <c r="T16" s="2119"/>
      <c r="U16" s="2120"/>
      <c r="V16" s="2130"/>
      <c r="W16" s="2133"/>
      <c r="X16" s="1971"/>
    </row>
    <row customHeight="1" ht="33.75">
      <c r="A17" s="1400" t="s">
        <v>135</v>
      </c>
      <c r="B17" s="1400" t="s">
        <v>136</v>
      </c>
      <c r="C17" s="1400" t="s">
        <v>137</v>
      </c>
      <c r="D17" s="1400" t="s">
        <v>138</v>
      </c>
      <c r="E17" s="1400"/>
      <c r="J17" s="377"/>
      <c r="K17" s="377"/>
      <c r="L17" s="2125"/>
      <c r="M17" s="2062"/>
      <c r="N17" s="290"/>
      <c r="O17" s="2136"/>
      <c r="P17" s="2136"/>
      <c r="Q17" s="1237" t="s">
        <v>436</v>
      </c>
      <c r="R17" s="1237" t="s">
        <v>437</v>
      </c>
      <c r="S17" s="1322" t="s">
        <v>438</v>
      </c>
      <c r="T17" s="2121" t="s">
        <v>439</v>
      </c>
      <c r="U17" s="2122"/>
      <c r="V17" s="2131"/>
      <c r="W17" s="2134"/>
      <c r="X17" s="1971"/>
    </row>
    <row s="2610" customFormat="1" customHeight="1" ht="11.25">
      <c r="A18" s="1400"/>
      <c r="B18" s="1400"/>
      <c r="C18" s="1400"/>
      <c r="D18" s="1400"/>
      <c r="E18" s="1400"/>
      <c r="F18" s="1392"/>
      <c r="G18" s="1392"/>
      <c r="H18" s="1392"/>
      <c r="I18" s="1264"/>
      <c r="J18" s="1265"/>
      <c r="K18" s="1280">
        <v>1</v>
      </c>
      <c r="L18" s="1307" t="s">
        <v>110</v>
      </c>
      <c r="M18" s="1281" t="s">
        <v>111</v>
      </c>
      <c r="N18" s="1263" t="str">
        <f>OFFSET(N18,0,-1)</f>
        <v>2</v>
      </c>
      <c r="O18" s="1319">
        <f>OFFSET(O18,0,-1)+1</f>
        <v>3</v>
      </c>
      <c r="P18" s="1319"/>
      <c r="Q18" s="1319">
        <f>OFFSET(Q18,0,-1)+1</f>
        <v>1</v>
      </c>
      <c r="R18" s="1319">
        <f>OFFSET(R18,0,-1)+1</f>
        <v>2</v>
      </c>
      <c r="S18" s="1319">
        <f>OFFSET(S18,0,-1)+1</f>
        <v>3</v>
      </c>
      <c r="T18" s="2123">
        <f>OFFSET(T18,0,-1)+1</f>
        <v>4</v>
      </c>
      <c r="U18" s="2123"/>
      <c r="V18" s="1319">
        <f>OFFSET(V18,0,-2)+1</f>
        <v>5</v>
      </c>
      <c r="W18" s="1263">
        <f>OFFSET(W18,0,-1)</f>
        <v>5</v>
      </c>
      <c r="X18" s="1319">
        <f>OFFSET(X18,0,-1)+1</f>
        <v>6</v>
      </c>
      <c r="Y18" s="517"/>
      <c r="Z18" s="517"/>
      <c r="AA18" s="517"/>
      <c r="AB18" s="517"/>
      <c r="AC18" s="517"/>
    </row>
    <row customHeight="1" ht="21">
      <c r="A19" s="1393" t="s">
        <v>169</v>
      </c>
      <c r="B19" s="1393" t="s">
        <v>170</v>
      </c>
      <c r="C19" s="1393" t="s">
        <v>171</v>
      </c>
      <c r="D19" s="1393" t="s">
        <v>172</v>
      </c>
      <c r="E19" s="1393"/>
      <c r="F19" s="1395"/>
      <c r="G19" s="1395"/>
      <c r="H19" s="1395"/>
      <c r="I19" s="357"/>
      <c r="J19" s="356"/>
      <c r="K19" s="351"/>
      <c r="L19" s="1323">
        <f>INDEX(PT_DIFFERENTIATION_NUM_NTAR,MATCH(A19,PT_DIFFERENTIATION_NTAR_ID,0))</f>
        <v>0</v>
      </c>
      <c r="M19" s="286" t="s">
        <v>124</v>
      </c>
      <c r="N19" s="288"/>
      <c r="O19" s="2434" t="str">
        <f>INDEX(PT_DIFFERENTIATION_NTAR,MATCH(A19,PT_DIFFERENTIATION_NTAR_ID,0))</f>
        <v/>
      </c>
      <c r="P19" s="2434"/>
      <c r="Q19" s="2434"/>
      <c r="R19" s="2434"/>
      <c r="S19" s="2434"/>
      <c r="T19" s="2434"/>
      <c r="U19" s="2434"/>
      <c r="V19" s="2434"/>
      <c r="W19" s="2434"/>
      <c r="X19" s="1286" t="s">
        <v>391</v>
      </c>
      <c r="Z19" s="506"/>
      <c r="AA19" s="506" t="str">
        <f>IF(M19="","",M19)</f>
        <v>Наименование тарифа</v>
      </c>
      <c r="AB19" s="506"/>
      <c r="AC19" s="506"/>
    </row>
    <row customHeight="1" ht="21">
      <c r="A20" s="1393" t="s">
        <v>169</v>
      </c>
      <c r="B20" s="1393" t="s">
        <v>170</v>
      </c>
      <c r="C20" s="1393" t="s">
        <v>171</v>
      </c>
      <c r="D20" s="1393" t="s">
        <v>172</v>
      </c>
      <c r="E20" s="1393"/>
      <c r="F20" s="1395"/>
      <c r="G20" s="1395"/>
      <c r="H20" s="1395"/>
      <c r="I20" s="1320"/>
      <c r="J20" s="348"/>
      <c r="K20" s="349"/>
      <c r="L20" s="1323" t="str">
        <f>INDEX(PT_DIFFERENTIATION_NUM_TER,MATCH(B19,PT_DIFFERENTIATION_TER_ID,0))</f>
        <v>.</v>
      </c>
      <c r="M20" s="298" t="s">
        <v>392</v>
      </c>
      <c r="N20" s="288"/>
      <c r="O20" s="2434" t="str">
        <f>INDEX(PT_DIFFERENTIATION_TER,MATCH(B19,PT_DIFFERENTIATION_TER_ID,0))</f>
        <v/>
      </c>
      <c r="P20" s="2434"/>
      <c r="Q20" s="2434"/>
      <c r="R20" s="2434"/>
      <c r="S20" s="2434"/>
      <c r="T20" s="2434"/>
      <c r="U20" s="2434"/>
      <c r="V20" s="2434"/>
      <c r="W20" s="2434"/>
      <c r="X20" s="1286" t="s">
        <v>393</v>
      </c>
      <c r="Z20" s="506"/>
      <c r="AA20" s="506" t="str">
        <f>IF(M20="","",M20)</f>
        <v>Территория действия тарифа</v>
      </c>
      <c r="AB20" s="506"/>
      <c r="AC20" s="506"/>
    </row>
    <row customHeight="1" ht="22.5">
      <c r="A21" s="1393" t="s">
        <v>169</v>
      </c>
      <c r="B21" s="1393" t="s">
        <v>170</v>
      </c>
      <c r="C21" s="1393" t="s">
        <v>171</v>
      </c>
      <c r="D21" s="1393" t="s">
        <v>172</v>
      </c>
      <c r="E21" s="1393"/>
      <c r="F21" s="1395"/>
      <c r="G21" s="1395"/>
      <c r="H21" s="1395"/>
      <c r="I21" s="350"/>
      <c r="J21" s="348"/>
      <c r="K21" s="349"/>
      <c r="L21" s="1323" t="str">
        <f>INDEX(PT_DIFFERENTIATION_NUM_CS,MATCH(C19,PT_DIFFERENTIATION_CS_ID,0))</f>
        <v>..</v>
      </c>
      <c r="M21" s="299" t="s">
        <v>394</v>
      </c>
      <c r="N21" s="288"/>
      <c r="O21" s="2434" t="str">
        <f>INDEX(PT_DIFFERENTIATION_CS,MATCH(C19,PT_DIFFERENTIATION_CS_ID,0))</f>
        <v/>
      </c>
      <c r="P21" s="2434"/>
      <c r="Q21" s="2434"/>
      <c r="R21" s="2434"/>
      <c r="S21" s="2434"/>
      <c r="T21" s="2434"/>
      <c r="U21" s="2434"/>
      <c r="V21" s="2434"/>
      <c r="W21" s="2434"/>
      <c r="X21" s="1286" t="s">
        <v>395</v>
      </c>
      <c r="Z21" s="506"/>
      <c r="AA21" s="506" t="str">
        <f>IF(M21="","",M21)</f>
        <v>Наименование системы теплоснабжения </v>
      </c>
      <c r="AB21" s="506"/>
      <c r="AC21" s="506"/>
    </row>
    <row customHeight="1" ht="21">
      <c r="A22" s="1393" t="s">
        <v>169</v>
      </c>
      <c r="B22" s="1393" t="s">
        <v>170</v>
      </c>
      <c r="C22" s="1393" t="s">
        <v>171</v>
      </c>
      <c r="D22" s="1393" t="s">
        <v>172</v>
      </c>
      <c r="E22" s="1393"/>
      <c r="F22" s="1395"/>
      <c r="G22" s="1395"/>
      <c r="H22" s="1395"/>
      <c r="I22" s="350"/>
      <c r="J22" s="348"/>
      <c r="K22" s="349"/>
      <c r="L22" s="1323" t="str">
        <f>INDEX(PT_DIFFERENTIATION_NUM_IST_TE,MATCH(D19,PT_DIFFERENTIATION_IST_TE_ID,0))</f>
        <v>...</v>
      </c>
      <c r="M22" s="300" t="s">
        <v>396</v>
      </c>
      <c r="N22" s="288"/>
      <c r="O22" s="2434" t="str">
        <f>INDEX(PT_DIFFERENTIATION_IST_TE,MATCH(D19,PT_DIFFERENTIATION_IST_TE_ID,0))</f>
        <v/>
      </c>
      <c r="P22" s="2434"/>
      <c r="Q22" s="2434"/>
      <c r="R22" s="2434"/>
      <c r="S22" s="2434"/>
      <c r="T22" s="2434"/>
      <c r="U22" s="2434"/>
      <c r="V22" s="2434"/>
      <c r="W22" s="2434"/>
      <c r="X22" s="1286" t="s">
        <v>397</v>
      </c>
      <c r="Z22" s="506"/>
      <c r="AA22" s="506" t="str">
        <f>IF(M22="","",M22)</f>
        <v>Источник тепловой энергии  </v>
      </c>
      <c r="AB22" s="506"/>
      <c r="AC22" s="506"/>
    </row>
    <row customHeight="1" ht="94.5">
      <c r="A23" s="1393" t="s">
        <v>169</v>
      </c>
      <c r="B23" s="1393" t="s">
        <v>170</v>
      </c>
      <c r="C23" s="1393" t="s">
        <v>171</v>
      </c>
      <c r="D23" s="1393" t="s">
        <v>172</v>
      </c>
      <c r="E23" s="1393"/>
      <c r="F23" s="2435" t="str">
        <f>L22&amp;".1"</f>
        <v>....1</v>
      </c>
      <c r="I23" s="2111">
        <v>1</v>
      </c>
      <c r="J23" s="1321"/>
      <c r="K23" s="352"/>
      <c r="L23" s="1323" t="str">
        <f>$F$23</f>
        <v>....1</v>
      </c>
      <c r="M23" s="273" t="s">
        <v>399</v>
      </c>
      <c r="N23" s="288"/>
      <c r="O23" s="2436"/>
      <c r="P23" s="2436"/>
      <c r="Q23" s="2436"/>
      <c r="R23" s="2436"/>
      <c r="S23" s="2436"/>
      <c r="T23" s="2436"/>
      <c r="U23" s="2436"/>
      <c r="V23" s="2436"/>
      <c r="W23" s="2436"/>
      <c r="X23" s="1286" t="s">
        <v>400</v>
      </c>
      <c r="Z23" s="506"/>
      <c r="AA23" s="506" t="str">
        <f>IF(M23="","",M23)</f>
        <v>Схема подключения теплопотребляющей установки к коллектору источника тепловой энергии</v>
      </c>
      <c r="AB23" s="506"/>
      <c r="AC23" s="506"/>
    </row>
    <row customHeight="1" ht="84">
      <c r="A24" s="1393" t="s">
        <v>169</v>
      </c>
      <c r="B24" s="1393" t="s">
        <v>170</v>
      </c>
      <c r="C24" s="1393" t="s">
        <v>171</v>
      </c>
      <c r="D24" s="1393" t="s">
        <v>172</v>
      </c>
      <c r="E24" s="1393"/>
      <c r="F24" s="2435"/>
      <c r="G24" s="2082" t="str">
        <f>F23&amp;".1"</f>
        <v>....1.1</v>
      </c>
      <c r="I24" s="2111"/>
      <c r="J24" s="2111">
        <v>1</v>
      </c>
      <c r="K24" s="353"/>
      <c r="L24" s="1323" t="str">
        <f>$G$24</f>
        <v>....1.1</v>
      </c>
      <c r="M24" s="274" t="s">
        <v>402</v>
      </c>
      <c r="N24" s="288"/>
      <c r="O24" s="2437"/>
      <c r="P24" s="2438"/>
      <c r="Q24" s="2438"/>
      <c r="R24" s="2438"/>
      <c r="S24" s="2438"/>
      <c r="T24" s="2438"/>
      <c r="U24" s="2438"/>
      <c r="V24" s="2438"/>
      <c r="W24" s="2439"/>
      <c r="X24" s="1286" t="s">
        <v>403</v>
      </c>
      <c r="Z24" s="506"/>
      <c r="AA24" s="506" t="str">
        <f>IF(M24="","",M24)</f>
        <v>Группа потребителей</v>
      </c>
      <c r="AB24" s="506"/>
      <c r="AC24" s="506"/>
    </row>
    <row customHeight="1" ht="11.25">
      <c r="A25" s="1393" t="s">
        <v>169</v>
      </c>
      <c r="B25" s="1393" t="s">
        <v>170</v>
      </c>
      <c r="C25" s="1393" t="s">
        <v>171</v>
      </c>
      <c r="D25" s="1393" t="s">
        <v>172</v>
      </c>
      <c r="E25" s="1393"/>
      <c r="F25" s="2435"/>
      <c r="G25" s="2082"/>
      <c r="H25" s="2082" t="str">
        <f>G24&amp;".1"</f>
        <v>....1.1.1</v>
      </c>
      <c r="I25" s="2111"/>
      <c r="J25" s="2111"/>
      <c r="K25" s="353">
        <v>1</v>
      </c>
      <c r="L25" s="1323" t="str">
        <f>$H$25</f>
        <v>....1.1.1</v>
      </c>
      <c r="M25" s="1287"/>
      <c r="N25" s="288"/>
      <c r="O25" s="757"/>
      <c r="P25" s="320"/>
      <c r="Q25" s="757"/>
      <c r="R25" s="1285"/>
      <c r="S25" s="2443"/>
      <c r="T25" s="1981" t="s">
        <v>62</v>
      </c>
      <c r="U25" s="2443"/>
      <c r="V25" s="1981" t="s">
        <v>57</v>
      </c>
      <c r="W25" s="320"/>
      <c r="X25" s="2137" t="s">
        <v>405</v>
      </c>
      <c r="Y25" s="517">
        <f>STRCHECKDATE(O26:W26)</f>
      </c>
      <c r="Z25" s="506"/>
      <c r="AA25" s="506" t="str">
        <f>IF(M25="","",M25)</f>
        <v/>
      </c>
      <c r="AB25" s="506"/>
      <c r="AC25" s="506"/>
    </row>
    <row customHeight="1" ht="11.25">
      <c r="A26" s="1393" t="s">
        <v>169</v>
      </c>
      <c r="B26" s="1393" t="s">
        <v>170</v>
      </c>
      <c r="C26" s="1393" t="s">
        <v>171</v>
      </c>
      <c r="D26" s="1393" t="s">
        <v>172</v>
      </c>
      <c r="E26" s="1393"/>
      <c r="F26" s="2435"/>
      <c r="G26" s="2082"/>
      <c r="H26" s="2082"/>
      <c r="I26" s="2111"/>
      <c r="J26" s="2111"/>
      <c r="K26" s="353"/>
      <c r="L26" s="1324"/>
      <c r="M26" s="288"/>
      <c r="N26" s="288"/>
      <c r="O26" s="320"/>
      <c r="P26" s="320"/>
      <c r="Q26" s="320"/>
      <c r="R26" s="324" t="str">
        <f>S25&amp;"-"&amp;U25</f>
        <v>-</v>
      </c>
      <c r="S26" s="2113"/>
      <c r="T26" s="1981"/>
      <c r="U26" s="2113"/>
      <c r="V26" s="1981"/>
      <c r="W26" s="320"/>
      <c r="X26" s="2138"/>
      <c r="Z26" s="506"/>
      <c r="AA26" s="506" t="str">
        <f>IF(M26="","",M26)</f>
        <v/>
      </c>
      <c r="AB26" s="506"/>
      <c r="AC26" s="506"/>
    </row>
    <row customHeight="1" ht="15">
      <c r="A27" s="1393" t="s">
        <v>169</v>
      </c>
      <c r="B27" s="1393" t="s">
        <v>170</v>
      </c>
      <c r="C27" s="1393" t="s">
        <v>171</v>
      </c>
      <c r="D27" s="1393" t="s">
        <v>172</v>
      </c>
      <c r="E27" s="1393"/>
      <c r="F27" s="2435"/>
      <c r="G27" s="2082"/>
      <c r="I27" s="2111"/>
      <c r="J27" s="2111"/>
      <c r="K27" s="352"/>
      <c r="L27" s="1308"/>
      <c r="M27" s="276" t="s">
        <v>406</v>
      </c>
      <c r="N27" s="367"/>
      <c r="O27" s="367"/>
      <c r="P27" s="367"/>
      <c r="Q27" s="367"/>
      <c r="R27" s="367"/>
      <c r="S27" s="367"/>
      <c r="T27" s="367"/>
      <c r="U27" s="367"/>
      <c r="V27" s="367"/>
      <c r="W27" s="319"/>
      <c r="X27" s="2139"/>
      <c r="Z27" s="506"/>
      <c r="AA27" s="506" t="str">
        <f>IF(M27="","",M27)</f>
        <v>Добавить вид теплоносителя (параметры теплоносителя)</v>
      </c>
      <c r="AB27" s="506"/>
      <c r="AC27" s="506"/>
    </row>
    <row customHeight="1" ht="15">
      <c r="A28" s="1393" t="s">
        <v>169</v>
      </c>
      <c r="B28" s="1393" t="s">
        <v>170</v>
      </c>
      <c r="C28" s="1393" t="s">
        <v>171</v>
      </c>
      <c r="D28" s="1393" t="s">
        <v>172</v>
      </c>
      <c r="E28" s="1393"/>
      <c r="F28" s="2435"/>
      <c r="I28" s="2111"/>
      <c r="J28" s="1321"/>
      <c r="K28" s="352"/>
      <c r="L28" s="1308"/>
      <c r="M28" s="275" t="s">
        <v>407</v>
      </c>
      <c r="N28" s="367"/>
      <c r="O28" s="367"/>
      <c r="P28" s="367"/>
      <c r="Q28" s="367"/>
      <c r="R28" s="367"/>
      <c r="S28" s="367"/>
      <c r="T28" s="367"/>
      <c r="U28" s="367"/>
      <c r="V28" s="366"/>
      <c r="W28" s="367"/>
      <c r="X28" s="291"/>
      <c r="Z28" s="506"/>
      <c r="AA28" s="506" t="str">
        <f>IF(M28="","",M28)</f>
        <v>Добавить группу потребителей</v>
      </c>
      <c r="AB28" s="506"/>
      <c r="AC28" s="506"/>
    </row>
    <row customHeight="1" ht="14.25">
      <c r="A29" s="1393" t="s">
        <v>169</v>
      </c>
      <c r="B29" s="1393" t="s">
        <v>170</v>
      </c>
      <c r="C29" s="1393" t="s">
        <v>171</v>
      </c>
      <c r="D29" s="1393" t="s">
        <v>172</v>
      </c>
      <c r="E29" s="1393"/>
      <c r="F29" s="1395"/>
      <c r="G29" s="1395"/>
      <c r="H29" s="543"/>
      <c r="I29" s="356"/>
      <c r="J29" s="376"/>
      <c r="K29" s="351"/>
      <c r="L29" s="1308"/>
      <c r="M29" s="364" t="s">
        <v>408</v>
      </c>
      <c r="N29" s="367"/>
      <c r="O29" s="367"/>
      <c r="P29" s="367"/>
      <c r="Q29" s="367"/>
      <c r="R29" s="367"/>
      <c r="S29" s="367"/>
      <c r="T29" s="367"/>
      <c r="U29" s="367"/>
      <c r="V29" s="366"/>
      <c r="W29" s="367"/>
      <c r="X29" s="291"/>
      <c r="Z29" s="506"/>
      <c r="AA29" s="506" t="str">
        <f>IF(M29="","",M29)</f>
        <v>Добавить схему подключения</v>
      </c>
      <c r="AB29" s="506"/>
      <c r="AC29" s="506"/>
    </row>
    <row customHeight="1" ht="14.25">
      <c r="A30" s="1393" t="s">
        <v>169</v>
      </c>
      <c r="B30" s="1393" t="s">
        <v>170</v>
      </c>
      <c r="C30" s="1393" t="s">
        <v>171</v>
      </c>
      <c r="D30" s="1393"/>
      <c r="E30" s="1393" t="s">
        <v>574</v>
      </c>
      <c r="F30" s="1395"/>
      <c r="G30" s="1395"/>
      <c r="H30" s="543"/>
      <c r="I30" s="356"/>
      <c r="J30" s="376"/>
      <c r="K30" s="351"/>
      <c r="L30" s="1309"/>
      <c r="M30" s="1298"/>
      <c r="N30" s="1299"/>
      <c r="O30" s="1299"/>
      <c r="P30" s="1299"/>
      <c r="Q30" s="1299"/>
      <c r="R30" s="1299"/>
      <c r="S30" s="1299"/>
      <c r="T30" s="1299"/>
      <c r="U30" s="1299"/>
      <c r="V30" s="1300"/>
      <c r="W30" s="1299"/>
      <c r="X30" s="1301"/>
      <c r="Z30" s="506"/>
      <c r="AA30" s="506" t="str">
        <f>IF(M30="","",M30)</f>
        <v/>
      </c>
      <c r="AB30" s="506"/>
      <c r="AC30" s="506"/>
    </row>
    <row customHeight="1" ht="14.25">
      <c r="A31" s="1393" t="s">
        <v>169</v>
      </c>
      <c r="B31" s="1393" t="s">
        <v>170</v>
      </c>
      <c r="C31" s="1393"/>
      <c r="D31" s="1393"/>
      <c r="E31" s="1393" t="s">
        <v>2139</v>
      </c>
      <c r="F31" s="1547"/>
      <c r="G31" s="1547"/>
      <c r="H31" s="543"/>
      <c r="I31" s="354"/>
      <c r="J31" s="376"/>
      <c r="K31" s="355"/>
      <c r="L31" s="1309"/>
      <c r="M31" s="1302"/>
      <c r="N31" s="1299"/>
      <c r="O31" s="1299"/>
      <c r="P31" s="1299"/>
      <c r="Q31" s="1299"/>
      <c r="R31" s="1299"/>
      <c r="S31" s="1299"/>
      <c r="T31" s="1299"/>
      <c r="U31" s="1299"/>
      <c r="V31" s="1300"/>
      <c r="W31" s="1299"/>
      <c r="X31" s="1301"/>
      <c r="Z31" s="506"/>
      <c r="AA31" s="506" t="str">
        <f>IF(M31="","",M31)</f>
        <v/>
      </c>
      <c r="AB31" s="506"/>
      <c r="AC31" s="506"/>
    </row>
    <row customHeight="1" ht="14.25">
      <c r="A32" s="1393" t="s">
        <v>2140</v>
      </c>
      <c r="B32" s="1393"/>
      <c r="C32" s="1393"/>
      <c r="D32" s="1393"/>
      <c r="E32" s="1393" t="s">
        <v>105</v>
      </c>
      <c r="F32" s="1547"/>
      <c r="G32" s="1547"/>
      <c r="H32" s="543"/>
      <c r="I32" s="356"/>
      <c r="J32" s="376"/>
      <c r="K32" s="351"/>
      <c r="L32" s="1309"/>
      <c r="M32" s="1303"/>
      <c r="N32" s="1299"/>
      <c r="O32" s="1299"/>
      <c r="P32" s="1299"/>
      <c r="Q32" s="1299"/>
      <c r="R32" s="1299"/>
      <c r="S32" s="1299"/>
      <c r="T32" s="1299"/>
      <c r="U32" s="1299"/>
      <c r="V32" s="1300"/>
      <c r="W32" s="1299"/>
      <c r="X32" s="1301"/>
      <c r="Z32" s="506"/>
      <c r="AA32" s="506" t="str">
        <f>IF(M32="","",M32)</f>
        <v/>
      </c>
      <c r="AB32" s="506"/>
      <c r="AC32" s="506"/>
    </row>
    <row s="4554" customFormat="1" customHeight="1" ht="11.25">
      <c r="A33" s="1393"/>
      <c r="B33" s="1393"/>
      <c r="C33" s="1393"/>
      <c r="D33" s="1393"/>
      <c r="E33" s="1393" t="s">
        <v>184</v>
      </c>
      <c r="F33" s="1548"/>
      <c r="G33" s="1549"/>
      <c r="H33" s="543"/>
      <c r="L33" s="1310"/>
      <c r="M33" s="1304"/>
      <c r="N33" s="1299"/>
      <c r="O33" s="1299"/>
      <c r="P33" s="1299"/>
      <c r="Q33" s="1299"/>
      <c r="R33" s="1299"/>
      <c r="S33" s="1299"/>
      <c r="T33" s="1299"/>
      <c r="U33" s="1299"/>
      <c r="V33" s="1300"/>
      <c r="W33" s="1299"/>
      <c r="X33" s="1301"/>
      <c r="Y33" s="383"/>
      <c r="Z33" s="383"/>
      <c r="AA33" s="383"/>
      <c r="AB33" s="383"/>
      <c r="AC33" s="383"/>
    </row>
    <row customHeight="1" ht="11.25">
      <c r="F34" s="1168"/>
      <c r="G34" s="1168"/>
      <c r="H34" s="543"/>
      <c r="I34" s="1163"/>
      <c r="J34" s="1163"/>
      <c r="K34" s="1163"/>
      <c r="Y34" s="1163"/>
      <c r="Z34" s="1163"/>
      <c r="AA34" s="1163"/>
      <c r="AB34" s="1163"/>
      <c r="AC34" s="1163"/>
    </row>
    <row customHeight="1" ht="27">
      <c r="H35" s="543"/>
      <c r="L35" s="1318" t="s">
        <v>706</v>
      </c>
      <c r="M35" s="2106" t="s">
        <v>2141</v>
      </c>
      <c r="N35" s="2106"/>
      <c r="O35" s="2106"/>
      <c r="P35" s="2106"/>
      <c r="Q35" s="2106"/>
      <c r="R35" s="2106"/>
      <c r="S35" s="2106"/>
      <c r="T35" s="2106"/>
      <c r="U35" s="2106"/>
      <c r="V35" s="2106"/>
      <c r="W35" s="2106"/>
      <c r="X35" s="2106"/>
    </row>
    <row customHeight="1" ht="104.25">
      <c r="H36" s="543"/>
      <c r="I36" s="1333"/>
      <c r="M36" s="2106" t="s">
        <v>2142</v>
      </c>
      <c r="N36" s="2106"/>
      <c r="O36" s="2106"/>
      <c r="P36" s="2106"/>
      <c r="Q36" s="2106"/>
      <c r="R36" s="2106"/>
      <c r="S36" s="2106"/>
      <c r="T36" s="2106"/>
      <c r="U36" s="2106"/>
      <c r="V36" s="2106"/>
      <c r="W36" s="2106"/>
      <c r="X36" s="2106"/>
    </row>
    <row customHeight="1" ht="14.25">
      <c r="H37" s="543"/>
    </row>
    <row customHeight="1" ht="14.25">
      <c r="H38" s="543"/>
    </row>
    <row customHeight="1" ht="14.25">
      <c r="H39" s="543"/>
    </row>
    <row customHeight="1" ht="14.25">
      <c r="H40" s="543"/>
    </row>
  </sheetData>
  <sheetProtection formatColumns="0" formatRows="0" autoFilter="0" sort="0" insertRows="0" insertColumns="1" deleteRows="0" deleteColumns="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8077EC3-4846-3FBA-28FE-185E31BB9DE1}" mc:Ignorable="x14ac xr xr2 xr3">
  <sheetPr>
    <tabColor theme="6" tint="0.4"/>
  </sheetPr>
  <dimension ref="A1:AC40"/>
  <sheetViews>
    <sheetView topLeftCell="A1" showGridLines="0" workbookViewId="0">
      <selection activeCell="A1" sqref="A1"/>
    </sheetView>
  </sheetViews>
  <sheetFormatPr defaultColWidth="10.57421875" customHeight="1" defaultRowHeight="14.25"/>
  <cols>
    <col min="1" max="1" style="2939" width="11.57421875" customWidth="1"/>
    <col min="2" max="2" style="2939" width="10.7109375" customWidth="1"/>
    <col min="3" max="3" style="2939" width="10.00390625" customWidth="1"/>
    <col min="4" max="4" style="2939" width="12.8515625" customWidth="1"/>
    <col min="5" max="5" style="2939" width="12.28125" customWidth="1"/>
    <col min="6" max="8" style="5079" width="12.28125" customWidth="1"/>
    <col min="9" max="9" style="5079" width="3.7109375" customWidth="1"/>
    <col min="10" max="11" style="3371" width="3.7109375" customWidth="1"/>
    <col min="12" max="12" style="3372" width="12.7109375" customWidth="1"/>
    <col min="13" max="13" style="2939" width="32.00390625" customWidth="1"/>
    <col min="14" max="14" style="2939" width="1.7109375" customWidth="1"/>
    <col min="15" max="18" style="2939" width="24.7109375" customWidth="1"/>
    <col min="19" max="19" style="2939" width="11.7109375" customWidth="1"/>
    <col min="20" max="20" style="2939" width="3.7109375" customWidth="1"/>
    <col min="21" max="21" style="2939" width="11.7109375" customWidth="1"/>
    <col min="22" max="22" style="2939" width="8.57421875" customWidth="1"/>
    <col min="23" max="23" style="2939" width="4.7109375" customWidth="1"/>
    <col min="24" max="24" style="2939" width="115.7109375" customWidth="1"/>
    <col min="25" max="26" style="2611" width="10.57421875"/>
    <col min="27" max="27" style="2611" width="11.140625" customWidth="1"/>
    <col min="28" max="29" style="2611" width="10.57421875"/>
  </cols>
  <sheetData>
    <row customHeight="1" ht="14.25" hidden="1">
      <c r="R1" s="323"/>
      <c r="S1" s="323"/>
    </row>
    <row customHeight="1" ht="14.25" hidden="1">
      <c r="V2" s="323"/>
    </row>
    <row customHeight="1" ht="14.25" hidden="1"/>
    <row customHeight="1" ht="14.25">
      <c r="J4" s="377"/>
      <c r="K4" s="377"/>
      <c r="L4" s="1305"/>
      <c r="M4" s="361"/>
      <c r="N4" s="361"/>
      <c r="O4" s="515"/>
      <c r="P4" s="515"/>
      <c r="Q4" s="515"/>
      <c r="R4" s="515"/>
      <c r="S4" s="515"/>
      <c r="T4" s="515"/>
      <c r="U4" s="515"/>
      <c r="V4" s="515"/>
    </row>
    <row customHeight="1" ht="64.5">
      <c r="J5" s="377"/>
      <c r="K5" s="377"/>
      <c r="L5" s="2441" t="s">
        <v>2137</v>
      </c>
      <c r="M5" s="2441"/>
      <c r="N5" s="2441"/>
      <c r="O5" s="2441"/>
      <c r="P5" s="2441"/>
      <c r="Q5" s="2441"/>
      <c r="R5" s="2441"/>
      <c r="S5" s="2441"/>
      <c r="T5" s="2441"/>
      <c r="U5" s="2441"/>
      <c r="V5" s="1261"/>
    </row>
    <row customHeight="1" ht="14.25">
      <c r="J6" s="377"/>
      <c r="K6" s="377"/>
      <c r="L6" s="2442" t="str">
        <f>IF(org=0,"Не определено",org)</f>
        <v>ЗАО "Байкалэнерго"</v>
      </c>
      <c r="M6" s="2442"/>
      <c r="N6" s="2442"/>
      <c r="O6" s="2442"/>
      <c r="P6" s="2442"/>
      <c r="Q6" s="2442"/>
      <c r="R6" s="2442"/>
      <c r="S6" s="2442"/>
      <c r="T6" s="2442"/>
      <c r="U6" s="2442"/>
      <c r="V6" s="1261"/>
    </row>
    <row customHeight="1" ht="14.25">
      <c r="J7" s="377"/>
      <c r="K7" s="377"/>
      <c r="L7" s="1305"/>
      <c r="M7" s="361"/>
      <c r="N7" s="361"/>
      <c r="O7" s="316"/>
      <c r="P7" s="316"/>
      <c r="Q7" s="316"/>
      <c r="R7" s="316"/>
      <c r="S7" s="316"/>
      <c r="T7" s="316"/>
      <c r="U7" s="316"/>
      <c r="V7" s="316"/>
      <c r="W7" s="515"/>
    </row>
    <row s="3305" customFormat="1" customHeight="1" ht="45">
      <c r="F8" s="1267"/>
      <c r="G8" s="1267"/>
      <c r="H8" s="1267"/>
      <c r="L8" s="1306"/>
      <c r="M8" s="283" t="s">
        <v>38</v>
      </c>
      <c r="N8" s="292"/>
      <c r="O8" s="2100" t="str">
        <f>IF(TITLE_NAME_OR_PR_CHANGE="",IF(TITLE_NAME_OR_PR="","",TITLE_NAME_OR_PR),TITLE_NAME_OR_PR_CHANGE)</f>
        <v>Служба по тарифам Иркутской области</v>
      </c>
      <c r="P8" s="2100"/>
      <c r="Q8" s="2100"/>
      <c r="R8" s="2100"/>
      <c r="S8" s="2100"/>
      <c r="T8" s="2100"/>
      <c r="U8" s="2100"/>
      <c r="V8" s="322"/>
      <c r="W8" s="322"/>
      <c r="X8" s="268"/>
      <c r="Y8" s="368"/>
      <c r="Z8" s="368"/>
      <c r="AA8" s="368"/>
      <c r="AB8" s="368"/>
      <c r="AC8" s="368"/>
    </row>
    <row s="3305" customFormat="1" customHeight="1" ht="22.5">
      <c r="F9" s="1267"/>
      <c r="G9" s="1267"/>
      <c r="H9" s="1267"/>
      <c r="L9" s="1306"/>
      <c r="M9" s="283" t="s">
        <v>415</v>
      </c>
      <c r="N9" s="292"/>
      <c r="O9" s="2100" t="str">
        <f>IF(TITLE_DATE_CHANGE_PERIOD="",IF(TITLE_DATE_PR="","",TITLE_DATE_PR),TITLE_DATE_CHANGE_PERIOD)</f>
        <v>45474.560960648145</v>
      </c>
      <c r="P9" s="2100"/>
      <c r="Q9" s="2100"/>
      <c r="R9" s="2100"/>
      <c r="S9" s="2100"/>
      <c r="T9" s="2100"/>
      <c r="U9" s="2100"/>
      <c r="V9" s="322"/>
      <c r="W9" s="322"/>
      <c r="X9" s="268"/>
      <c r="Y9" s="368"/>
      <c r="Z9" s="368"/>
      <c r="AA9" s="368"/>
      <c r="AB9" s="368"/>
      <c r="AC9" s="368"/>
    </row>
    <row s="3305" customFormat="1" customHeight="1" ht="22.5">
      <c r="F10" s="1267"/>
      <c r="G10" s="1267"/>
      <c r="H10" s="1267"/>
      <c r="L10" s="1269"/>
      <c r="M10" s="283" t="s">
        <v>416</v>
      </c>
      <c r="N10" s="292"/>
      <c r="O10" s="2100" t="str">
        <f>IF(TITLE_NUMBER_PR_CHANGE="",IF(TITLE_NUMBER_PR="","",TITLE_NUMBER_PR),TITLE_NUMBER_PR_CHANGE)</f>
        <v>79-477-спр</v>
      </c>
      <c r="P10" s="2100"/>
      <c r="Q10" s="2100"/>
      <c r="R10" s="2100"/>
      <c r="S10" s="2100"/>
      <c r="T10" s="2100"/>
      <c r="U10" s="2100"/>
      <c r="V10" s="322"/>
      <c r="W10" s="322"/>
      <c r="X10" s="268"/>
      <c r="Y10" s="368"/>
      <c r="Z10" s="368"/>
      <c r="AA10" s="368"/>
      <c r="AB10" s="368"/>
      <c r="AC10" s="368"/>
    </row>
    <row s="3305" customFormat="1" customHeight="1" ht="22.5">
      <c r="F11" s="1267"/>
      <c r="G11" s="1267"/>
      <c r="H11" s="1267"/>
      <c r="L11" s="1269"/>
      <c r="M11" s="283" t="s">
        <v>40</v>
      </c>
      <c r="N11" s="292"/>
      <c r="O11" s="2100" t="str">
        <f>IF(TITLE_IST_PUB_CHANGE="",IF(TITLE_IST_PUB="","",TITLE_IST_PUB),TITLE_IST_PUB_CHANGE)</f>
        <v>Официальный сайт службы по тарифам Иркутской области http://irkobl.ru</v>
      </c>
      <c r="P11" s="2100"/>
      <c r="Q11" s="2100"/>
      <c r="R11" s="2100"/>
      <c r="S11" s="2100"/>
      <c r="T11" s="2100"/>
      <c r="U11" s="2100"/>
      <c r="V11" s="322"/>
      <c r="W11" s="322"/>
      <c r="X11" s="268"/>
      <c r="Y11" s="368"/>
      <c r="Z11" s="368"/>
      <c r="AA11" s="368"/>
      <c r="AB11" s="368"/>
      <c r="AC11" s="368"/>
    </row>
    <row s="3305" customFormat="1" customHeight="1" ht="11.25" hidden="1">
      <c r="F12" s="1267"/>
      <c r="G12" s="1267"/>
      <c r="H12" s="1267"/>
      <c r="L12" s="2440"/>
      <c r="M12" s="2440"/>
      <c r="N12" s="1317"/>
      <c r="O12" s="322"/>
      <c r="P12" s="322"/>
      <c r="Q12" s="322"/>
      <c r="R12" s="322"/>
      <c r="S12" s="322"/>
      <c r="T12" s="322"/>
      <c r="U12" s="322"/>
      <c r="V12" s="266" t="s">
        <v>419</v>
      </c>
      <c r="Y12" s="368"/>
      <c r="Z12" s="368"/>
      <c r="AA12" s="368"/>
      <c r="AB12" s="368"/>
      <c r="AC12" s="368"/>
    </row>
    <row customHeight="1" ht="14.25">
      <c r="J13" s="377"/>
      <c r="K13" s="377"/>
      <c r="L13" s="1305"/>
      <c r="M13" s="361"/>
      <c r="N13" s="1262"/>
      <c r="O13" s="2124"/>
      <c r="P13" s="2124"/>
      <c r="Q13" s="2124"/>
      <c r="R13" s="2124"/>
      <c r="S13" s="2124"/>
      <c r="T13" s="2124"/>
      <c r="U13" s="2124"/>
      <c r="V13" s="2124"/>
    </row>
    <row customHeight="1" ht="14.25">
      <c r="J14" s="377"/>
      <c r="K14" s="377"/>
      <c r="L14" s="1971" t="s">
        <v>293</v>
      </c>
      <c r="M14" s="1971"/>
      <c r="N14" s="1971"/>
      <c r="O14" s="1971"/>
      <c r="P14" s="1971"/>
      <c r="Q14" s="1971"/>
      <c r="R14" s="1971"/>
      <c r="S14" s="1971"/>
      <c r="T14" s="1971"/>
      <c r="U14" s="1971"/>
      <c r="V14" s="1971"/>
      <c r="W14" s="1971"/>
      <c r="X14" s="1971" t="s">
        <v>294</v>
      </c>
    </row>
    <row customHeight="1" ht="14.25">
      <c r="J15" s="377"/>
      <c r="K15" s="377"/>
      <c r="L15" s="2125" t="s">
        <v>88</v>
      </c>
      <c r="M15" s="2062" t="s">
        <v>420</v>
      </c>
      <c r="N15" s="289"/>
      <c r="O15" s="2126" t="s">
        <v>2138</v>
      </c>
      <c r="P15" s="2127"/>
      <c r="Q15" s="2127"/>
      <c r="R15" s="2127"/>
      <c r="S15" s="2127"/>
      <c r="T15" s="2127"/>
      <c r="U15" s="2128"/>
      <c r="V15" s="2129" t="s">
        <v>422</v>
      </c>
      <c r="W15" s="2132" t="s">
        <v>1056</v>
      </c>
      <c r="X15" s="1971"/>
    </row>
    <row customHeight="1" ht="33.75">
      <c r="J16" s="377"/>
      <c r="K16" s="377"/>
      <c r="L16" s="2125"/>
      <c r="M16" s="2062"/>
      <c r="N16" s="1038"/>
      <c r="O16" s="2135" t="s">
        <v>425</v>
      </c>
      <c r="P16" s="2135" t="s">
        <v>426</v>
      </c>
      <c r="Q16" s="2118" t="s">
        <v>427</v>
      </c>
      <c r="R16" s="2120"/>
      <c r="S16" s="2118" t="s">
        <v>440</v>
      </c>
      <c r="T16" s="2119"/>
      <c r="U16" s="2120"/>
      <c r="V16" s="2130"/>
      <c r="W16" s="2133"/>
      <c r="X16" s="1971"/>
    </row>
    <row customHeight="1" ht="33.75">
      <c r="A17" s="1288" t="s">
        <v>135</v>
      </c>
      <c r="B17" s="1288" t="s">
        <v>136</v>
      </c>
      <c r="C17" s="1288" t="s">
        <v>137</v>
      </c>
      <c r="D17" s="1288" t="s">
        <v>138</v>
      </c>
      <c r="E17" s="1288"/>
      <c r="J17" s="377"/>
      <c r="K17" s="377"/>
      <c r="L17" s="2125"/>
      <c r="M17" s="2062"/>
      <c r="N17" s="290"/>
      <c r="O17" s="2136"/>
      <c r="P17" s="2136"/>
      <c r="Q17" s="1237" t="s">
        <v>436</v>
      </c>
      <c r="R17" s="1237" t="s">
        <v>437</v>
      </c>
      <c r="S17" s="1322" t="s">
        <v>438</v>
      </c>
      <c r="T17" s="2121" t="s">
        <v>439</v>
      </c>
      <c r="U17" s="2122"/>
      <c r="V17" s="2131"/>
      <c r="W17" s="2134"/>
      <c r="X17" s="1971"/>
    </row>
    <row s="2610" customFormat="1" customHeight="1" ht="11.25">
      <c r="A18" s="1288"/>
      <c r="B18" s="1288"/>
      <c r="C18" s="1288"/>
      <c r="D18" s="1288"/>
      <c r="E18" s="1288"/>
      <c r="F18" s="1316"/>
      <c r="G18" s="1316"/>
      <c r="H18" s="1316"/>
      <c r="I18" s="1264"/>
      <c r="J18" s="1265"/>
      <c r="K18" s="1280">
        <v>1</v>
      </c>
      <c r="L18" s="1307" t="s">
        <v>110</v>
      </c>
      <c r="M18" s="1281" t="s">
        <v>111</v>
      </c>
      <c r="N18" s="1263" t="str">
        <f>OFFSET(N18,0,-1)</f>
        <v>2</v>
      </c>
      <c r="O18" s="1319">
        <f>OFFSET(O18,0,-1)+1</f>
        <v>3</v>
      </c>
      <c r="P18" s="1319"/>
      <c r="Q18" s="1319">
        <f>OFFSET(Q18,0,-1)+1</f>
        <v>1</v>
      </c>
      <c r="R18" s="1319">
        <f>OFFSET(R18,0,-1)+1</f>
        <v>2</v>
      </c>
      <c r="S18" s="1319">
        <f>OFFSET(S18,0,-1)+1</f>
        <v>3</v>
      </c>
      <c r="T18" s="2123">
        <f>OFFSET(T18,0,-1)+1</f>
        <v>4</v>
      </c>
      <c r="U18" s="2123"/>
      <c r="V18" s="1319">
        <f>OFFSET(V18,0,-2)+1</f>
        <v>5</v>
      </c>
      <c r="W18" s="1263">
        <f>OFFSET(W18,0,-1)</f>
        <v>5</v>
      </c>
      <c r="X18" s="1319">
        <f>OFFSET(X18,0,-1)+1</f>
        <v>6</v>
      </c>
      <c r="Y18" s="517"/>
      <c r="Z18" s="517"/>
      <c r="AA18" s="517"/>
      <c r="AB18" s="517"/>
      <c r="AC18" s="517"/>
    </row>
    <row customHeight="1" ht="21">
      <c r="A19" s="1296" t="s">
        <v>2143</v>
      </c>
      <c r="B19" s="1296" t="s">
        <v>2144</v>
      </c>
      <c r="C19" s="1296" t="s">
        <v>2145</v>
      </c>
      <c r="D19" s="1296" t="s">
        <v>2146</v>
      </c>
      <c r="E19" s="1296"/>
      <c r="F19" s="694"/>
      <c r="G19" s="694"/>
      <c r="H19" s="694"/>
      <c r="I19" s="357"/>
      <c r="J19" s="356"/>
      <c r="K19" s="351"/>
      <c r="L19" s="1323">
        <f>INDEX(PT_DIFFERENTIATION_NUM_NTAR,MATCH(A19,PT_DIFFERENTIATION_NTAR_ID,0))</f>
      </c>
      <c r="M19" s="286" t="s">
        <v>124</v>
      </c>
      <c r="N19" s="288"/>
      <c r="O19" s="2434">
        <f>INDEX(PT_DIFFERENTIATION_NTAR,MATCH(A19,PT_DIFFERENTIATION_NTAR_ID,0))</f>
      </c>
      <c r="P19" s="2434"/>
      <c r="Q19" s="2434"/>
      <c r="R19" s="2434"/>
      <c r="S19" s="2434"/>
      <c r="T19" s="2434"/>
      <c r="U19" s="2434"/>
      <c r="V19" s="2434"/>
      <c r="W19" s="2434"/>
      <c r="X19" s="1286" t="s">
        <v>391</v>
      </c>
      <c r="Z19" s="506"/>
      <c r="AA19" s="506" t="str">
        <f>IF(M19="","",M19)</f>
        <v>Наименование тарифа</v>
      </c>
      <c r="AB19" s="506"/>
      <c r="AC19" s="506"/>
    </row>
    <row customHeight="1" ht="21">
      <c r="A20" s="1296" t="s">
        <v>2143</v>
      </c>
      <c r="B20" s="1296" t="s">
        <v>2144</v>
      </c>
      <c r="C20" s="1296" t="s">
        <v>2145</v>
      </c>
      <c r="D20" s="1296" t="s">
        <v>2146</v>
      </c>
      <c r="E20" s="1296"/>
      <c r="F20" s="694"/>
      <c r="G20" s="694"/>
      <c r="H20" s="694"/>
      <c r="I20" s="1320"/>
      <c r="J20" s="348"/>
      <c r="K20" s="349"/>
      <c r="L20" s="1323">
        <f>INDEX(PT_DIFFERENTIATION_NUM_TER,MATCH(B19,PT_DIFFERENTIATION_TER_ID,0))</f>
      </c>
      <c r="M20" s="298" t="s">
        <v>392</v>
      </c>
      <c r="N20" s="288"/>
      <c r="O20" s="2434">
        <f>INDEX(PT_DIFFERENTIATION_TER,MATCH(B19,PT_DIFFERENTIATION_TER_ID,0))</f>
      </c>
      <c r="P20" s="2434"/>
      <c r="Q20" s="2434"/>
      <c r="R20" s="2434"/>
      <c r="S20" s="2434"/>
      <c r="T20" s="2434"/>
      <c r="U20" s="2434"/>
      <c r="V20" s="2434"/>
      <c r="W20" s="2434"/>
      <c r="X20" s="1286" t="s">
        <v>393</v>
      </c>
      <c r="Z20" s="506"/>
      <c r="AA20" s="506" t="str">
        <f>IF(M20="","",M20)</f>
        <v>Территория действия тарифа</v>
      </c>
      <c r="AB20" s="506"/>
      <c r="AC20" s="506"/>
    </row>
    <row customHeight="1" ht="22.5">
      <c r="A21" s="1296" t="s">
        <v>2143</v>
      </c>
      <c r="B21" s="1296" t="s">
        <v>2144</v>
      </c>
      <c r="C21" s="1296" t="s">
        <v>2145</v>
      </c>
      <c r="D21" s="1296" t="s">
        <v>2146</v>
      </c>
      <c r="E21" s="1296"/>
      <c r="F21" s="694"/>
      <c r="G21" s="694"/>
      <c r="H21" s="694"/>
      <c r="I21" s="350"/>
      <c r="J21" s="348"/>
      <c r="K21" s="349"/>
      <c r="L21" s="1323">
        <f>INDEX(PT_DIFFERENTIATION_NUM_CS,MATCH(C19,PT_DIFFERENTIATION_CS_ID,0))</f>
      </c>
      <c r="M21" s="299" t="s">
        <v>394</v>
      </c>
      <c r="N21" s="288"/>
      <c r="O21" s="2434">
        <f>INDEX(PT_DIFFERENTIATION_CS,MATCH(C19,PT_DIFFERENTIATION_CS_ID,0))</f>
      </c>
      <c r="P21" s="2434"/>
      <c r="Q21" s="2434"/>
      <c r="R21" s="2434"/>
      <c r="S21" s="2434"/>
      <c r="T21" s="2434"/>
      <c r="U21" s="2434"/>
      <c r="V21" s="2434"/>
      <c r="W21" s="2434"/>
      <c r="X21" s="1286" t="s">
        <v>395</v>
      </c>
      <c r="Z21" s="506"/>
      <c r="AA21" s="506" t="str">
        <f>IF(M21="","",M21)</f>
        <v>Наименование системы теплоснабжения </v>
      </c>
      <c r="AB21" s="506"/>
      <c r="AC21" s="506"/>
    </row>
    <row customHeight="1" ht="21">
      <c r="A22" s="1296" t="s">
        <v>2143</v>
      </c>
      <c r="B22" s="1296" t="s">
        <v>2144</v>
      </c>
      <c r="C22" s="1296" t="s">
        <v>2145</v>
      </c>
      <c r="D22" s="1296" t="s">
        <v>2146</v>
      </c>
      <c r="E22" s="1296"/>
      <c r="F22" s="694"/>
      <c r="G22" s="694"/>
      <c r="H22" s="694"/>
      <c r="I22" s="350"/>
      <c r="J22" s="348"/>
      <c r="K22" s="349"/>
      <c r="L22" s="1323">
        <f>INDEX(PT_DIFFERENTIATION_NUM_IST_TE,MATCH(D19,PT_DIFFERENTIATION_IST_TE_ID,0))</f>
      </c>
      <c r="M22" s="300" t="s">
        <v>396</v>
      </c>
      <c r="N22" s="288"/>
      <c r="O22" s="2434">
        <f>INDEX(PT_DIFFERENTIATION_IST_TE,MATCH(D19,PT_DIFFERENTIATION_IST_TE_ID,0))</f>
      </c>
      <c r="P22" s="2434"/>
      <c r="Q22" s="2434"/>
      <c r="R22" s="2434"/>
      <c r="S22" s="2434"/>
      <c r="T22" s="2434"/>
      <c r="U22" s="2434"/>
      <c r="V22" s="2434"/>
      <c r="W22" s="2434"/>
      <c r="X22" s="1286" t="s">
        <v>397</v>
      </c>
      <c r="Z22" s="506"/>
      <c r="AA22" s="506" t="str">
        <f>IF(M22="","",M22)</f>
        <v>Источник тепловой энергии  </v>
      </c>
      <c r="AB22" s="506"/>
      <c r="AC22" s="506"/>
    </row>
    <row customHeight="1" ht="94.5">
      <c r="A23" s="1296" t="s">
        <v>2143</v>
      </c>
      <c r="B23" s="1296" t="s">
        <v>2144</v>
      </c>
      <c r="C23" s="1296" t="s">
        <v>2145</v>
      </c>
      <c r="D23" s="1296" t="s">
        <v>2146</v>
      </c>
      <c r="E23" s="1296"/>
      <c r="F23" s="1969">
        <f>L22&amp;".1"</f>
      </c>
      <c r="I23" s="2111">
        <v>1</v>
      </c>
      <c r="J23" s="1321"/>
      <c r="K23" s="352"/>
      <c r="L23" s="1323">
        <f>$F$23</f>
      </c>
      <c r="M23" s="273" t="s">
        <v>399</v>
      </c>
      <c r="N23" s="288"/>
      <c r="O23" s="2436"/>
      <c r="P23" s="2436"/>
      <c r="Q23" s="2436"/>
      <c r="R23" s="2436"/>
      <c r="S23" s="2436"/>
      <c r="T23" s="2436"/>
      <c r="U23" s="2436"/>
      <c r="V23" s="2436"/>
      <c r="W23" s="2436"/>
      <c r="X23" s="1286" t="s">
        <v>400</v>
      </c>
      <c r="Z23" s="506"/>
      <c r="AA23" s="506" t="str">
        <f>IF(M23="","",M23)</f>
        <v>Схема подключения теплопотребляющей установки к коллектору источника тепловой энергии</v>
      </c>
      <c r="AB23" s="506"/>
      <c r="AC23" s="506"/>
    </row>
    <row customHeight="1" ht="84">
      <c r="A24" s="1296" t="s">
        <v>2143</v>
      </c>
      <c r="B24" s="1296" t="s">
        <v>2144</v>
      </c>
      <c r="C24" s="1296" t="s">
        <v>2145</v>
      </c>
      <c r="D24" s="1296" t="s">
        <v>2146</v>
      </c>
      <c r="E24" s="1296"/>
      <c r="F24" s="1969"/>
      <c r="G24" s="1953">
        <f>F23&amp;".1"</f>
      </c>
      <c r="I24" s="2111"/>
      <c r="J24" s="2111">
        <v>1</v>
      </c>
      <c r="K24" s="353"/>
      <c r="L24" s="1323">
        <f>$G$24</f>
      </c>
      <c r="M24" s="274" t="s">
        <v>402</v>
      </c>
      <c r="N24" s="288"/>
      <c r="O24" s="2437"/>
      <c r="P24" s="2438"/>
      <c r="Q24" s="2438"/>
      <c r="R24" s="2438"/>
      <c r="S24" s="2438"/>
      <c r="T24" s="2438"/>
      <c r="U24" s="2438"/>
      <c r="V24" s="2438"/>
      <c r="W24" s="2439"/>
      <c r="X24" s="1286" t="s">
        <v>403</v>
      </c>
      <c r="Z24" s="506"/>
      <c r="AA24" s="506" t="str">
        <f>IF(M24="","",M24)</f>
        <v>Группа потребителей</v>
      </c>
      <c r="AB24" s="506"/>
      <c r="AC24" s="506"/>
    </row>
    <row customHeight="1" ht="11.25">
      <c r="A25" s="1296" t="s">
        <v>2143</v>
      </c>
      <c r="B25" s="1296" t="s">
        <v>2144</v>
      </c>
      <c r="C25" s="1296" t="s">
        <v>2145</v>
      </c>
      <c r="D25" s="1296" t="s">
        <v>2146</v>
      </c>
      <c r="E25" s="1296"/>
      <c r="F25" s="1969"/>
      <c r="G25" s="1953"/>
      <c r="H25" s="1953">
        <f>G24&amp;".1"</f>
      </c>
      <c r="I25" s="2111"/>
      <c r="J25" s="2111"/>
      <c r="K25" s="353">
        <v>1</v>
      </c>
      <c r="L25" s="1323">
        <f>$H$25</f>
      </c>
      <c r="M25" s="1287"/>
      <c r="N25" s="288"/>
      <c r="O25" s="757"/>
      <c r="P25" s="320"/>
      <c r="Q25" s="757"/>
      <c r="R25" s="1285"/>
      <c r="S25" s="2443"/>
      <c r="T25" s="1981" t="s">
        <v>62</v>
      </c>
      <c r="U25" s="2443"/>
      <c r="V25" s="1981" t="s">
        <v>57</v>
      </c>
      <c r="W25" s="320"/>
      <c r="X25" s="2137" t="s">
        <v>405</v>
      </c>
      <c r="Y25" s="517">
        <f>STRCHECKDATE(O26:W26)</f>
      </c>
      <c r="Z25" s="506"/>
      <c r="AA25" s="506" t="str">
        <f>IF(M25="","",M25)</f>
        <v/>
      </c>
      <c r="AB25" s="506"/>
      <c r="AC25" s="506"/>
    </row>
    <row customHeight="1" ht="11.25">
      <c r="A26" s="1296" t="s">
        <v>2143</v>
      </c>
      <c r="B26" s="1296" t="s">
        <v>2144</v>
      </c>
      <c r="C26" s="1296" t="s">
        <v>2145</v>
      </c>
      <c r="D26" s="1296" t="s">
        <v>2146</v>
      </c>
      <c r="E26" s="1296"/>
      <c r="F26" s="1969"/>
      <c r="G26" s="1953"/>
      <c r="H26" s="1953"/>
      <c r="I26" s="2111"/>
      <c r="J26" s="2111"/>
      <c r="K26" s="353"/>
      <c r="L26" s="1324"/>
      <c r="M26" s="288"/>
      <c r="N26" s="288"/>
      <c r="O26" s="320"/>
      <c r="P26" s="320"/>
      <c r="Q26" s="320"/>
      <c r="R26" s="324" t="str">
        <f>S25&amp;"-"&amp;U25</f>
        <v>-</v>
      </c>
      <c r="S26" s="2113"/>
      <c r="T26" s="1981"/>
      <c r="U26" s="2113"/>
      <c r="V26" s="1981"/>
      <c r="W26" s="320"/>
      <c r="X26" s="2138"/>
      <c r="Z26" s="506"/>
      <c r="AA26" s="506" t="str">
        <f>IF(M26="","",M26)</f>
        <v/>
      </c>
      <c r="AB26" s="506"/>
      <c r="AC26" s="506"/>
    </row>
    <row customHeight="1" ht="15">
      <c r="A27" s="1296" t="s">
        <v>2143</v>
      </c>
      <c r="B27" s="1296" t="s">
        <v>2144</v>
      </c>
      <c r="C27" s="1296" t="s">
        <v>2145</v>
      </c>
      <c r="D27" s="1296" t="s">
        <v>2146</v>
      </c>
      <c r="E27" s="1296"/>
      <c r="F27" s="1969"/>
      <c r="G27" s="1953"/>
      <c r="I27" s="2111"/>
      <c r="J27" s="2111"/>
      <c r="K27" s="352"/>
      <c r="L27" s="1308"/>
      <c r="M27" s="276" t="s">
        <v>406</v>
      </c>
      <c r="N27" s="367"/>
      <c r="O27" s="367"/>
      <c r="P27" s="367"/>
      <c r="Q27" s="367"/>
      <c r="R27" s="367"/>
      <c r="S27" s="367"/>
      <c r="T27" s="367"/>
      <c r="U27" s="367"/>
      <c r="V27" s="367"/>
      <c r="W27" s="319"/>
      <c r="X27" s="2139"/>
      <c r="Z27" s="506"/>
      <c r="AA27" s="506" t="str">
        <f>IF(M27="","",M27)</f>
        <v>Добавить вид теплоносителя (параметры теплоносителя)</v>
      </c>
      <c r="AB27" s="506"/>
      <c r="AC27" s="506"/>
    </row>
    <row customHeight="1" ht="15">
      <c r="A28" s="1296" t="s">
        <v>2143</v>
      </c>
      <c r="B28" s="1296" t="s">
        <v>2144</v>
      </c>
      <c r="C28" s="1296" t="s">
        <v>2145</v>
      </c>
      <c r="D28" s="1296" t="s">
        <v>2146</v>
      </c>
      <c r="E28" s="1296"/>
      <c r="F28" s="1969"/>
      <c r="I28" s="2111"/>
      <c r="J28" s="1321"/>
      <c r="K28" s="352"/>
      <c r="L28" s="1308"/>
      <c r="M28" s="275" t="s">
        <v>407</v>
      </c>
      <c r="N28" s="367"/>
      <c r="O28" s="367"/>
      <c r="P28" s="367"/>
      <c r="Q28" s="367"/>
      <c r="R28" s="367"/>
      <c r="S28" s="367"/>
      <c r="T28" s="367"/>
      <c r="U28" s="367"/>
      <c r="V28" s="366"/>
      <c r="W28" s="367"/>
      <c r="X28" s="291"/>
      <c r="Z28" s="506"/>
      <c r="AA28" s="506" t="str">
        <f>IF(M28="","",M28)</f>
        <v>Добавить группу потребителей</v>
      </c>
      <c r="AB28" s="506"/>
      <c r="AC28" s="506"/>
    </row>
    <row customHeight="1" ht="14.25">
      <c r="A29" s="1296" t="s">
        <v>2143</v>
      </c>
      <c r="B29" s="1296" t="s">
        <v>2144</v>
      </c>
      <c r="C29" s="1296" t="s">
        <v>2145</v>
      </c>
      <c r="D29" s="1296" t="s">
        <v>2146</v>
      </c>
      <c r="E29" s="1296"/>
      <c r="F29" s="694"/>
      <c r="G29" s="694"/>
      <c r="H29" s="515"/>
      <c r="I29" s="356"/>
      <c r="J29" s="376"/>
      <c r="K29" s="351"/>
      <c r="L29" s="1308"/>
      <c r="M29" s="364" t="s">
        <v>408</v>
      </c>
      <c r="N29" s="367"/>
      <c r="O29" s="367"/>
      <c r="P29" s="367"/>
      <c r="Q29" s="367"/>
      <c r="R29" s="367"/>
      <c r="S29" s="367"/>
      <c r="T29" s="367"/>
      <c r="U29" s="367"/>
      <c r="V29" s="366"/>
      <c r="W29" s="367"/>
      <c r="X29" s="291"/>
      <c r="Z29" s="506"/>
      <c r="AA29" s="506" t="str">
        <f>IF(M29="","",M29)</f>
        <v>Добавить схему подключения</v>
      </c>
      <c r="AB29" s="506"/>
      <c r="AC29" s="506"/>
    </row>
    <row customHeight="1" ht="14.25">
      <c r="A30" s="1296" t="s">
        <v>2143</v>
      </c>
      <c r="B30" s="1296" t="s">
        <v>2144</v>
      </c>
      <c r="C30" s="1296" t="s">
        <v>2145</v>
      </c>
      <c r="D30" s="1296"/>
      <c r="E30" s="1296" t="s">
        <v>574</v>
      </c>
      <c r="F30" s="694"/>
      <c r="G30" s="694"/>
      <c r="H30" s="515"/>
      <c r="I30" s="356"/>
      <c r="J30" s="376"/>
      <c r="K30" s="351"/>
      <c r="L30" s="1309"/>
      <c r="M30" s="1298"/>
      <c r="N30" s="1299"/>
      <c r="O30" s="1299"/>
      <c r="P30" s="1299"/>
      <c r="Q30" s="1299"/>
      <c r="R30" s="1299"/>
      <c r="S30" s="1299"/>
      <c r="T30" s="1299"/>
      <c r="U30" s="1299"/>
      <c r="V30" s="1300"/>
      <c r="W30" s="1299"/>
      <c r="X30" s="1301"/>
      <c r="Z30" s="506"/>
      <c r="AA30" s="506" t="str">
        <f>IF(M30="","",M30)</f>
        <v/>
      </c>
      <c r="AB30" s="506"/>
      <c r="AC30" s="506"/>
    </row>
    <row customHeight="1" ht="14.25">
      <c r="A31" s="1296" t="s">
        <v>2143</v>
      </c>
      <c r="B31" s="1296" t="s">
        <v>2144</v>
      </c>
      <c r="C31" s="1296"/>
      <c r="D31" s="1296"/>
      <c r="E31" s="1296" t="s">
        <v>2139</v>
      </c>
      <c r="F31" s="1283"/>
      <c r="G31" s="1283"/>
      <c r="H31" s="515"/>
      <c r="I31" s="354"/>
      <c r="J31" s="376"/>
      <c r="K31" s="355"/>
      <c r="L31" s="1309"/>
      <c r="M31" s="1302"/>
      <c r="N31" s="1299"/>
      <c r="O31" s="1299"/>
      <c r="P31" s="1299"/>
      <c r="Q31" s="1299"/>
      <c r="R31" s="1299"/>
      <c r="S31" s="1299"/>
      <c r="T31" s="1299"/>
      <c r="U31" s="1299"/>
      <c r="V31" s="1300"/>
      <c r="W31" s="1299"/>
      <c r="X31" s="1301"/>
      <c r="Z31" s="506"/>
      <c r="AA31" s="506" t="str">
        <f>IF(M31="","",M31)</f>
        <v/>
      </c>
      <c r="AB31" s="506"/>
      <c r="AC31" s="506"/>
    </row>
    <row customHeight="1" ht="14.25">
      <c r="A32" s="1296" t="s">
        <v>2147</v>
      </c>
      <c r="B32" s="1296"/>
      <c r="C32" s="1296"/>
      <c r="D32" s="1296"/>
      <c r="E32" s="1296" t="s">
        <v>105</v>
      </c>
      <c r="F32" s="1283"/>
      <c r="G32" s="1283"/>
      <c r="H32" s="515"/>
      <c r="I32" s="356"/>
      <c r="J32" s="376"/>
      <c r="K32" s="351"/>
      <c r="L32" s="1309"/>
      <c r="M32" s="1303"/>
      <c r="N32" s="1299"/>
      <c r="O32" s="1299"/>
      <c r="P32" s="1299"/>
      <c r="Q32" s="1299"/>
      <c r="R32" s="1299"/>
      <c r="S32" s="1299"/>
      <c r="T32" s="1299"/>
      <c r="U32" s="1299"/>
      <c r="V32" s="1300"/>
      <c r="W32" s="1299"/>
      <c r="X32" s="1301"/>
      <c r="Z32" s="506"/>
      <c r="AA32" s="506" t="str">
        <f>IF(M32="","",M32)</f>
        <v/>
      </c>
      <c r="AB32" s="506"/>
      <c r="AC32" s="506"/>
    </row>
    <row s="4554" customFormat="1" customHeight="1" ht="11.25">
      <c r="A33" s="1296"/>
      <c r="B33" s="1296"/>
      <c r="C33" s="1296"/>
      <c r="D33" s="1296"/>
      <c r="E33" s="1296" t="s">
        <v>184</v>
      </c>
      <c r="F33" s="1297"/>
      <c r="G33" s="1284"/>
      <c r="H33" s="515"/>
      <c r="L33" s="1310"/>
      <c r="M33" s="1304"/>
      <c r="N33" s="1299"/>
      <c r="O33" s="1299"/>
      <c r="P33" s="1299"/>
      <c r="Q33" s="1299"/>
      <c r="R33" s="1299"/>
      <c r="S33" s="1299"/>
      <c r="T33" s="1299"/>
      <c r="U33" s="1299"/>
      <c r="V33" s="1300"/>
      <c r="W33" s="1299"/>
      <c r="X33" s="1301"/>
      <c r="Y33" s="383"/>
      <c r="Z33" s="383"/>
      <c r="AA33" s="383"/>
      <c r="AB33" s="383"/>
      <c r="AC33" s="383"/>
    </row>
    <row customHeight="1" ht="11.25">
      <c r="F34" s="1163"/>
      <c r="G34" s="1163"/>
      <c r="H34" s="515"/>
      <c r="I34" s="1163"/>
      <c r="J34" s="1163"/>
      <c r="K34" s="1163"/>
      <c r="Y34" s="1163"/>
      <c r="Z34" s="1163"/>
      <c r="AA34" s="1163"/>
      <c r="AB34" s="1163"/>
      <c r="AC34" s="1163"/>
    </row>
    <row customHeight="1" ht="27">
      <c r="H35" s="515"/>
      <c r="L35" s="1318" t="s">
        <v>706</v>
      </c>
      <c r="M35" s="2106" t="s">
        <v>2141</v>
      </c>
      <c r="N35" s="2106"/>
      <c r="O35" s="2106"/>
      <c r="P35" s="2106"/>
      <c r="Q35" s="2106"/>
      <c r="R35" s="2106"/>
      <c r="S35" s="2106"/>
      <c r="T35" s="2106"/>
      <c r="U35" s="2106"/>
      <c r="V35" s="2106"/>
      <c r="W35" s="2106"/>
      <c r="X35" s="2106"/>
    </row>
    <row customHeight="1" ht="104.25">
      <c r="F36" s="1333"/>
      <c r="G36" s="1333"/>
      <c r="H36" s="515"/>
      <c r="I36" s="1333"/>
      <c r="M36" s="2106" t="s">
        <v>2142</v>
      </c>
      <c r="N36" s="2106"/>
      <c r="O36" s="2106"/>
      <c r="P36" s="2106"/>
      <c r="Q36" s="2106"/>
      <c r="R36" s="2106"/>
      <c r="S36" s="2106"/>
      <c r="T36" s="2106"/>
      <c r="U36" s="2106"/>
      <c r="V36" s="2106"/>
      <c r="W36" s="2106"/>
      <c r="X36" s="2106"/>
    </row>
    <row customHeight="1" ht="14.25">
      <c r="H37" s="515"/>
    </row>
    <row customHeight="1" ht="14.25">
      <c r="H38" s="515"/>
    </row>
    <row customHeight="1" ht="14.25">
      <c r="H39" s="515"/>
    </row>
    <row customHeight="1" ht="14.25">
      <c r="H40" s="515"/>
    </row>
  </sheetData>
  <sheetProtection formatColumns="0" formatRows="0" autoFilter="0" sort="0" insertRows="0" insertColumns="1" deleteRows="0" deleteColumns="0"/>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21FA247-2DD1-6F54-672A-549887DC48C8}" mc:Ignorable="x14ac xr xr2 xr3">
  <sheetPr>
    <tabColor theme="6" tint="0.4"/>
  </sheetPr>
  <dimension ref="A1:AC40"/>
  <sheetViews>
    <sheetView topLeftCell="A1" showGridLines="0" workbookViewId="0">
      <selection activeCell="A1" sqref="A1"/>
    </sheetView>
  </sheetViews>
  <sheetFormatPr defaultColWidth="10.57421875" customHeight="1" defaultRowHeight="14.25"/>
  <cols>
    <col min="1" max="1" style="2939" width="10.57421875"/>
    <col min="2" max="2" style="2939" width="11.00390625" customWidth="1"/>
    <col min="3" max="3" style="2939" width="10.57421875"/>
    <col min="4" max="4" style="2939" width="11.8515625" customWidth="1"/>
    <col min="5" max="5" style="2939" width="12.28125" customWidth="1"/>
    <col min="6" max="8" style="5079" width="12.28125" customWidth="1"/>
    <col min="9" max="9" style="5079" width="3.7109375" customWidth="1"/>
    <col min="10" max="11" style="3371" width="3.7109375" customWidth="1"/>
    <col min="12" max="12" style="3372" width="12.7109375" customWidth="1"/>
    <col min="13" max="13" style="2939" width="32.00390625" customWidth="1"/>
    <col min="14" max="14" style="2939" width="1.7109375" customWidth="1"/>
    <col min="15" max="18" style="2939" width="24.7109375" customWidth="1"/>
    <col min="19" max="19" style="2939" width="11.7109375" customWidth="1"/>
    <col min="20" max="20" style="2939" width="3.7109375" customWidth="1"/>
    <col min="21" max="21" style="2939" width="11.7109375" customWidth="1"/>
    <col min="22" max="22" style="2939" width="8.57421875" customWidth="1"/>
    <col min="23" max="23" style="2939" width="4.7109375" customWidth="1"/>
    <col min="24" max="24" style="2939" width="115.7109375" customWidth="1"/>
    <col min="25" max="26" style="2611" width="10.57421875"/>
    <col min="27" max="27" style="2611" width="11.140625" customWidth="1"/>
    <col min="28" max="29" style="2611" width="10.57421875"/>
  </cols>
  <sheetData>
    <row customHeight="1" ht="14.25" hidden="1">
      <c r="R1" s="323"/>
      <c r="S1" s="323"/>
    </row>
    <row customHeight="1" ht="14.25" hidden="1">
      <c r="V2" s="323"/>
    </row>
    <row customHeight="1" ht="14.25" hidden="1"/>
    <row customHeight="1" ht="14.25">
      <c r="J4" s="377"/>
      <c r="K4" s="377"/>
      <c r="L4" s="1305"/>
      <c r="M4" s="361"/>
      <c r="N4" s="361"/>
      <c r="O4" s="515"/>
      <c r="P4" s="515"/>
      <c r="Q4" s="515"/>
      <c r="R4" s="515"/>
      <c r="S4" s="515"/>
      <c r="T4" s="515"/>
      <c r="U4" s="515"/>
      <c r="V4" s="515"/>
    </row>
    <row customHeight="1" ht="64.5">
      <c r="J5" s="377"/>
      <c r="K5" s="377"/>
      <c r="L5" s="2441" t="s">
        <v>2137</v>
      </c>
      <c r="M5" s="2441"/>
      <c r="N5" s="2441"/>
      <c r="O5" s="2441"/>
      <c r="P5" s="2441"/>
      <c r="Q5" s="2441"/>
      <c r="R5" s="2441"/>
      <c r="S5" s="2441"/>
      <c r="T5" s="2441"/>
      <c r="U5" s="2441"/>
      <c r="V5" s="1261"/>
    </row>
    <row customHeight="1" ht="14.25">
      <c r="J6" s="377"/>
      <c r="K6" s="377"/>
      <c r="L6" s="2442" t="str">
        <f>IF(org=0,"Не определено",org)</f>
        <v>ЗАО "Байкалэнерго"</v>
      </c>
      <c r="M6" s="2442"/>
      <c r="N6" s="2442"/>
      <c r="O6" s="2442"/>
      <c r="P6" s="2442"/>
      <c r="Q6" s="2442"/>
      <c r="R6" s="2442"/>
      <c r="S6" s="2442"/>
      <c r="T6" s="2442"/>
      <c r="U6" s="2442"/>
      <c r="V6" s="1261"/>
    </row>
    <row customHeight="1" ht="14.25">
      <c r="J7" s="377"/>
      <c r="K7" s="377"/>
      <c r="L7" s="1305"/>
      <c r="M7" s="361"/>
      <c r="N7" s="361"/>
      <c r="O7" s="316"/>
      <c r="P7" s="316"/>
      <c r="Q7" s="316"/>
      <c r="R7" s="316"/>
      <c r="S7" s="316"/>
      <c r="T7" s="316"/>
      <c r="U7" s="316"/>
      <c r="V7" s="316"/>
      <c r="W7" s="515"/>
    </row>
    <row s="3305" customFormat="1" customHeight="1" ht="45">
      <c r="F8" s="1267"/>
      <c r="G8" s="1267"/>
      <c r="H8" s="1267"/>
      <c r="L8" s="1306"/>
      <c r="M8" s="283" t="s">
        <v>38</v>
      </c>
      <c r="N8" s="292"/>
      <c r="O8" s="2100" t="str">
        <f>IF(TITLE_NAME_OR_PR_CHANGE="",IF(TITLE_NAME_OR_PR="","",TITLE_NAME_OR_PR),TITLE_NAME_OR_PR_CHANGE)</f>
        <v>Служба по тарифам Иркутской области</v>
      </c>
      <c r="P8" s="2100"/>
      <c r="Q8" s="2100"/>
      <c r="R8" s="2100"/>
      <c r="S8" s="2100"/>
      <c r="T8" s="2100"/>
      <c r="U8" s="2100"/>
      <c r="V8" s="322"/>
      <c r="W8" s="322"/>
      <c r="X8" s="268"/>
      <c r="Y8" s="368"/>
      <c r="Z8" s="368"/>
      <c r="AA8" s="368"/>
      <c r="AB8" s="368"/>
      <c r="AC8" s="368"/>
    </row>
    <row s="3305" customFormat="1" customHeight="1" ht="22.5">
      <c r="F9" s="1267"/>
      <c r="G9" s="1267"/>
      <c r="H9" s="1267"/>
      <c r="L9" s="1306"/>
      <c r="M9" s="283" t="s">
        <v>415</v>
      </c>
      <c r="N9" s="292"/>
      <c r="O9" s="2100" t="str">
        <f>IF(TITLE_DATE_CHANGE_PERIOD="",IF(TITLE_DATE_PR="","",TITLE_DATE_PR),TITLE_DATE_CHANGE_PERIOD)</f>
        <v>45474.560960648145</v>
      </c>
      <c r="P9" s="2100"/>
      <c r="Q9" s="2100"/>
      <c r="R9" s="2100"/>
      <c r="S9" s="2100"/>
      <c r="T9" s="2100"/>
      <c r="U9" s="2100"/>
      <c r="V9" s="322"/>
      <c r="W9" s="322"/>
      <c r="X9" s="268"/>
      <c r="Y9" s="368"/>
      <c r="Z9" s="368"/>
      <c r="AA9" s="368"/>
      <c r="AB9" s="368"/>
      <c r="AC9" s="368"/>
    </row>
    <row s="3305" customFormat="1" customHeight="1" ht="22.5">
      <c r="F10" s="1267"/>
      <c r="G10" s="1267"/>
      <c r="H10" s="1267"/>
      <c r="L10" s="1269"/>
      <c r="M10" s="283" t="s">
        <v>416</v>
      </c>
      <c r="N10" s="292"/>
      <c r="O10" s="2100" t="str">
        <f>IF(TITLE_NUMBER_PR_CHANGE="",IF(TITLE_NUMBER_PR="","",TITLE_NUMBER_PR),TITLE_NUMBER_PR_CHANGE)</f>
        <v>79-477-спр</v>
      </c>
      <c r="P10" s="2100"/>
      <c r="Q10" s="2100"/>
      <c r="R10" s="2100"/>
      <c r="S10" s="2100"/>
      <c r="T10" s="2100"/>
      <c r="U10" s="2100"/>
      <c r="V10" s="322"/>
      <c r="W10" s="322"/>
      <c r="X10" s="268"/>
      <c r="Y10" s="368"/>
      <c r="Z10" s="368"/>
      <c r="AA10" s="368"/>
      <c r="AB10" s="368"/>
      <c r="AC10" s="368"/>
    </row>
    <row s="3305" customFormat="1" customHeight="1" ht="22.5">
      <c r="F11" s="1267"/>
      <c r="G11" s="1267"/>
      <c r="H11" s="1267"/>
      <c r="L11" s="1269"/>
      <c r="M11" s="283" t="s">
        <v>40</v>
      </c>
      <c r="N11" s="292"/>
      <c r="O11" s="2100" t="str">
        <f>IF(TITLE_IST_PUB_CHANGE="",IF(TITLE_IST_PUB="","",TITLE_IST_PUB),TITLE_IST_PUB_CHANGE)</f>
        <v>Официальный сайт службы по тарифам Иркутской области http://irkobl.ru</v>
      </c>
      <c r="P11" s="2100"/>
      <c r="Q11" s="2100"/>
      <c r="R11" s="2100"/>
      <c r="S11" s="2100"/>
      <c r="T11" s="2100"/>
      <c r="U11" s="2100"/>
      <c r="V11" s="322"/>
      <c r="W11" s="322"/>
      <c r="X11" s="268"/>
      <c r="Y11" s="368"/>
      <c r="Z11" s="368"/>
      <c r="AA11" s="368"/>
      <c r="AB11" s="368"/>
      <c r="AC11" s="368"/>
    </row>
    <row s="3305" customFormat="1" customHeight="1" ht="11.25" hidden="1">
      <c r="F12" s="1267"/>
      <c r="G12" s="1267"/>
      <c r="H12" s="1267"/>
      <c r="L12" s="2440"/>
      <c r="M12" s="2440"/>
      <c r="N12" s="1317"/>
      <c r="O12" s="322"/>
      <c r="P12" s="322"/>
      <c r="Q12" s="322"/>
      <c r="R12" s="322"/>
      <c r="S12" s="322"/>
      <c r="T12" s="322"/>
      <c r="U12" s="322"/>
      <c r="V12" s="266" t="s">
        <v>419</v>
      </c>
      <c r="Y12" s="368"/>
      <c r="Z12" s="368"/>
      <c r="AA12" s="368"/>
      <c r="AB12" s="368"/>
      <c r="AC12" s="368"/>
    </row>
    <row customHeight="1" ht="14.25">
      <c r="J13" s="377"/>
      <c r="K13" s="377"/>
      <c r="L13" s="1305"/>
      <c r="M13" s="361"/>
      <c r="N13" s="1262"/>
      <c r="O13" s="2124"/>
      <c r="P13" s="2124"/>
      <c r="Q13" s="2124"/>
      <c r="R13" s="2124"/>
      <c r="S13" s="2124"/>
      <c r="T13" s="2124"/>
      <c r="U13" s="2124"/>
      <c r="V13" s="2124"/>
    </row>
    <row customHeight="1" ht="14.25">
      <c r="J14" s="377"/>
      <c r="K14" s="377"/>
      <c r="L14" s="1971" t="s">
        <v>293</v>
      </c>
      <c r="M14" s="1971"/>
      <c r="N14" s="1971"/>
      <c r="O14" s="1971"/>
      <c r="P14" s="1971"/>
      <c r="Q14" s="1971"/>
      <c r="R14" s="1971"/>
      <c r="S14" s="1971"/>
      <c r="T14" s="1971"/>
      <c r="U14" s="1971"/>
      <c r="V14" s="1971"/>
      <c r="W14" s="1971"/>
      <c r="X14" s="1971" t="s">
        <v>294</v>
      </c>
    </row>
    <row customHeight="1" ht="14.25">
      <c r="J15" s="377"/>
      <c r="K15" s="377"/>
      <c r="L15" s="2125" t="s">
        <v>88</v>
      </c>
      <c r="M15" s="2062" t="s">
        <v>420</v>
      </c>
      <c r="N15" s="289"/>
      <c r="O15" s="2126" t="s">
        <v>2138</v>
      </c>
      <c r="P15" s="2127"/>
      <c r="Q15" s="2127"/>
      <c r="R15" s="2127"/>
      <c r="S15" s="2127"/>
      <c r="T15" s="2127"/>
      <c r="U15" s="2128"/>
      <c r="V15" s="2129" t="s">
        <v>422</v>
      </c>
      <c r="W15" s="2132" t="s">
        <v>1056</v>
      </c>
      <c r="X15" s="1971"/>
    </row>
    <row customHeight="1" ht="33.75">
      <c r="J16" s="377"/>
      <c r="K16" s="377"/>
      <c r="L16" s="2125"/>
      <c r="M16" s="2062"/>
      <c r="N16" s="1038"/>
      <c r="O16" s="2135" t="s">
        <v>425</v>
      </c>
      <c r="P16" s="2135" t="s">
        <v>426</v>
      </c>
      <c r="Q16" s="2118" t="s">
        <v>427</v>
      </c>
      <c r="R16" s="2120"/>
      <c r="S16" s="2118" t="s">
        <v>440</v>
      </c>
      <c r="T16" s="2119"/>
      <c r="U16" s="2120"/>
      <c r="V16" s="2130"/>
      <c r="W16" s="2133"/>
      <c r="X16" s="1971"/>
    </row>
    <row customHeight="1" ht="33.75">
      <c r="A17" s="1288" t="s">
        <v>135</v>
      </c>
      <c r="B17" s="1288" t="s">
        <v>136</v>
      </c>
      <c r="C17" s="1288" t="s">
        <v>137</v>
      </c>
      <c r="D17" s="1288" t="s">
        <v>138</v>
      </c>
      <c r="E17" s="1288"/>
      <c r="J17" s="377"/>
      <c r="K17" s="377"/>
      <c r="L17" s="2125"/>
      <c r="M17" s="2062"/>
      <c r="N17" s="290"/>
      <c r="O17" s="2136"/>
      <c r="P17" s="2136"/>
      <c r="Q17" s="1237" t="s">
        <v>436</v>
      </c>
      <c r="R17" s="1237" t="s">
        <v>437</v>
      </c>
      <c r="S17" s="1322" t="s">
        <v>438</v>
      </c>
      <c r="T17" s="2121" t="s">
        <v>439</v>
      </c>
      <c r="U17" s="2122"/>
      <c r="V17" s="2131"/>
      <c r="W17" s="2134"/>
      <c r="X17" s="1971"/>
    </row>
    <row s="2610" customFormat="1" customHeight="1" ht="11.25">
      <c r="A18" s="1288"/>
      <c r="B18" s="1288"/>
      <c r="C18" s="1288"/>
      <c r="D18" s="1288"/>
      <c r="E18" s="1288"/>
      <c r="F18" s="1316"/>
      <c r="G18" s="1316"/>
      <c r="H18" s="1316"/>
      <c r="I18" s="1264"/>
      <c r="J18" s="1265"/>
      <c r="K18" s="1280">
        <v>1</v>
      </c>
      <c r="L18" s="1307" t="s">
        <v>110</v>
      </c>
      <c r="M18" s="1281" t="s">
        <v>111</v>
      </c>
      <c r="N18" s="1263" t="str">
        <f>OFFSET(N18,0,-1)</f>
        <v>2</v>
      </c>
      <c r="O18" s="1319">
        <f>OFFSET(O18,0,-1)+1</f>
        <v>3</v>
      </c>
      <c r="P18" s="1319"/>
      <c r="Q18" s="1319">
        <f>OFFSET(Q18,0,-1)+1</f>
        <v>1</v>
      </c>
      <c r="R18" s="1319">
        <f>OFFSET(R18,0,-1)+1</f>
        <v>2</v>
      </c>
      <c r="S18" s="1319">
        <f>OFFSET(S18,0,-1)+1</f>
        <v>3</v>
      </c>
      <c r="T18" s="2123">
        <f>OFFSET(T18,0,-1)+1</f>
        <v>4</v>
      </c>
      <c r="U18" s="2123"/>
      <c r="V18" s="1319">
        <f>OFFSET(V18,0,-2)+1</f>
        <v>5</v>
      </c>
      <c r="W18" s="1263">
        <f>OFFSET(W18,0,-1)</f>
        <v>5</v>
      </c>
      <c r="X18" s="1319">
        <f>OFFSET(X18,0,-1)+1</f>
        <v>6</v>
      </c>
      <c r="Y18" s="517"/>
      <c r="Z18" s="517"/>
      <c r="AA18" s="517"/>
      <c r="AB18" s="517"/>
      <c r="AC18" s="517"/>
    </row>
    <row customHeight="1" ht="21">
      <c r="A19" s="1296" t="s">
        <v>2148</v>
      </c>
      <c r="B19" s="1296" t="s">
        <v>2149</v>
      </c>
      <c r="C19" s="1296" t="s">
        <v>2150</v>
      </c>
      <c r="D19" s="1296" t="s">
        <v>2151</v>
      </c>
      <c r="E19" s="1296"/>
      <c r="F19" s="694"/>
      <c r="G19" s="694"/>
      <c r="H19" s="694"/>
      <c r="I19" s="357"/>
      <c r="J19" s="356"/>
      <c r="K19" s="351"/>
      <c r="L19" s="1323">
        <f>INDEX(PT_DIFFERENTIATION_NUM_NTAR,MATCH(A19,PT_DIFFERENTIATION_NTAR_ID,0))</f>
      </c>
      <c r="M19" s="286" t="s">
        <v>124</v>
      </c>
      <c r="N19" s="288"/>
      <c r="O19" s="2434">
        <f>INDEX(PT_DIFFERENTIATION_NTAR,MATCH(A19,PT_DIFFERENTIATION_NTAR_ID,0))</f>
      </c>
      <c r="P19" s="2434"/>
      <c r="Q19" s="2434"/>
      <c r="R19" s="2434"/>
      <c r="S19" s="2434"/>
      <c r="T19" s="2434"/>
      <c r="U19" s="2434"/>
      <c r="V19" s="2434"/>
      <c r="W19" s="2434"/>
      <c r="X19" s="1286" t="s">
        <v>391</v>
      </c>
      <c r="Z19" s="506"/>
      <c r="AA19" s="506" t="str">
        <f>IF(M19="","",M19)</f>
        <v>Наименование тарифа</v>
      </c>
      <c r="AB19" s="506"/>
      <c r="AC19" s="506"/>
    </row>
    <row customHeight="1" ht="21">
      <c r="A20" s="1296" t="s">
        <v>2148</v>
      </c>
      <c r="B20" s="1296" t="s">
        <v>2149</v>
      </c>
      <c r="C20" s="1296" t="s">
        <v>2150</v>
      </c>
      <c r="D20" s="1296" t="s">
        <v>2151</v>
      </c>
      <c r="E20" s="1296"/>
      <c r="F20" s="694"/>
      <c r="G20" s="694"/>
      <c r="H20" s="694"/>
      <c r="I20" s="1320"/>
      <c r="J20" s="348"/>
      <c r="K20" s="349"/>
      <c r="L20" s="1323">
        <f>INDEX(PT_DIFFERENTIATION_NUM_TER,MATCH(B19,PT_DIFFERENTIATION_TER_ID,0))</f>
      </c>
      <c r="M20" s="298" t="s">
        <v>392</v>
      </c>
      <c r="N20" s="288"/>
      <c r="O20" s="2434">
        <f>INDEX(PT_DIFFERENTIATION_TER,MATCH(B19,PT_DIFFERENTIATION_TER_ID,0))</f>
      </c>
      <c r="P20" s="2434"/>
      <c r="Q20" s="2434"/>
      <c r="R20" s="2434"/>
      <c r="S20" s="2434"/>
      <c r="T20" s="2434"/>
      <c r="U20" s="2434"/>
      <c r="V20" s="2434"/>
      <c r="W20" s="2434"/>
      <c r="X20" s="1286" t="s">
        <v>393</v>
      </c>
      <c r="Z20" s="506"/>
      <c r="AA20" s="506" t="str">
        <f>IF(M20="","",M20)</f>
        <v>Территория действия тарифа</v>
      </c>
      <c r="AB20" s="506"/>
      <c r="AC20" s="506"/>
    </row>
    <row customHeight="1" ht="22.5">
      <c r="A21" s="1296" t="s">
        <v>2148</v>
      </c>
      <c r="B21" s="1296" t="s">
        <v>2149</v>
      </c>
      <c r="C21" s="1296" t="s">
        <v>2150</v>
      </c>
      <c r="D21" s="1296" t="s">
        <v>2151</v>
      </c>
      <c r="E21" s="1296"/>
      <c r="F21" s="694"/>
      <c r="G21" s="694"/>
      <c r="H21" s="694"/>
      <c r="I21" s="350"/>
      <c r="J21" s="348"/>
      <c r="K21" s="349"/>
      <c r="L21" s="1323">
        <f>INDEX(PT_DIFFERENTIATION_NUM_CS,MATCH(C19,PT_DIFFERENTIATION_CS_ID,0))</f>
      </c>
      <c r="M21" s="299" t="s">
        <v>394</v>
      </c>
      <c r="N21" s="288"/>
      <c r="O21" s="2434">
        <f>INDEX(PT_DIFFERENTIATION_CS,MATCH(C19,PT_DIFFERENTIATION_CS_ID,0))</f>
      </c>
      <c r="P21" s="2434"/>
      <c r="Q21" s="2434"/>
      <c r="R21" s="2434"/>
      <c r="S21" s="2434"/>
      <c r="T21" s="2434"/>
      <c r="U21" s="2434"/>
      <c r="V21" s="2434"/>
      <c r="W21" s="2434"/>
      <c r="X21" s="1286" t="s">
        <v>395</v>
      </c>
      <c r="Z21" s="506"/>
      <c r="AA21" s="506" t="str">
        <f>IF(M21="","",M21)</f>
        <v>Наименование системы теплоснабжения </v>
      </c>
      <c r="AB21" s="506"/>
      <c r="AC21" s="506"/>
    </row>
    <row customHeight="1" ht="21">
      <c r="A22" s="1296" t="s">
        <v>2148</v>
      </c>
      <c r="B22" s="1296" t="s">
        <v>2149</v>
      </c>
      <c r="C22" s="1296" t="s">
        <v>2150</v>
      </c>
      <c r="D22" s="1296" t="s">
        <v>2151</v>
      </c>
      <c r="E22" s="1296"/>
      <c r="F22" s="694"/>
      <c r="G22" s="694"/>
      <c r="H22" s="694"/>
      <c r="I22" s="350"/>
      <c r="J22" s="348"/>
      <c r="K22" s="349"/>
      <c r="L22" s="1323">
        <f>INDEX(PT_DIFFERENTIATION_NUM_IST_TE,MATCH(D19,PT_DIFFERENTIATION_IST_TE_ID,0))</f>
      </c>
      <c r="M22" s="300" t="s">
        <v>396</v>
      </c>
      <c r="N22" s="288"/>
      <c r="O22" s="2434">
        <f>INDEX(PT_DIFFERENTIATION_IST_TE,MATCH(D19,PT_DIFFERENTIATION_IST_TE_ID,0))</f>
      </c>
      <c r="P22" s="2434"/>
      <c r="Q22" s="2434"/>
      <c r="R22" s="2434"/>
      <c r="S22" s="2434"/>
      <c r="T22" s="2434"/>
      <c r="U22" s="2434"/>
      <c r="V22" s="2434"/>
      <c r="W22" s="2434"/>
      <c r="X22" s="1286" t="s">
        <v>397</v>
      </c>
      <c r="Z22" s="506"/>
      <c r="AA22" s="506" t="str">
        <f>IF(M22="","",M22)</f>
        <v>Источник тепловой энергии  </v>
      </c>
      <c r="AB22" s="506"/>
      <c r="AC22" s="506"/>
    </row>
    <row customHeight="1" ht="94.5">
      <c r="A23" s="1296" t="s">
        <v>2148</v>
      </c>
      <c r="B23" s="1296" t="s">
        <v>2149</v>
      </c>
      <c r="C23" s="1296" t="s">
        <v>2150</v>
      </c>
      <c r="D23" s="1296" t="s">
        <v>2151</v>
      </c>
      <c r="E23" s="1296"/>
      <c r="F23" s="1969">
        <f>L22&amp;".1"</f>
      </c>
      <c r="I23" s="2111">
        <v>1</v>
      </c>
      <c r="J23" s="1321"/>
      <c r="K23" s="352"/>
      <c r="L23" s="1323">
        <f>$F$23</f>
      </c>
      <c r="M23" s="273" t="s">
        <v>399</v>
      </c>
      <c r="N23" s="288"/>
      <c r="O23" s="2436"/>
      <c r="P23" s="2436"/>
      <c r="Q23" s="2436"/>
      <c r="R23" s="2436"/>
      <c r="S23" s="2436"/>
      <c r="T23" s="2436"/>
      <c r="U23" s="2436"/>
      <c r="V23" s="2436"/>
      <c r="W23" s="2436"/>
      <c r="X23" s="1286" t="s">
        <v>400</v>
      </c>
      <c r="Z23" s="506"/>
      <c r="AA23" s="506" t="str">
        <f>IF(M23="","",M23)</f>
        <v>Схема подключения теплопотребляющей установки к коллектору источника тепловой энергии</v>
      </c>
      <c r="AB23" s="506"/>
      <c r="AC23" s="506"/>
    </row>
    <row customHeight="1" ht="84">
      <c r="A24" s="1296" t="s">
        <v>2148</v>
      </c>
      <c r="B24" s="1296" t="s">
        <v>2149</v>
      </c>
      <c r="C24" s="1296" t="s">
        <v>2150</v>
      </c>
      <c r="D24" s="1296" t="s">
        <v>2151</v>
      </c>
      <c r="E24" s="1296"/>
      <c r="F24" s="1969"/>
      <c r="G24" s="1953">
        <f>F23&amp;".1"</f>
      </c>
      <c r="I24" s="2111"/>
      <c r="J24" s="2111">
        <v>1</v>
      </c>
      <c r="K24" s="353"/>
      <c r="L24" s="1323">
        <f>$G$24</f>
      </c>
      <c r="M24" s="274" t="s">
        <v>402</v>
      </c>
      <c r="N24" s="288"/>
      <c r="O24" s="2437"/>
      <c r="P24" s="2438"/>
      <c r="Q24" s="2438"/>
      <c r="R24" s="2438"/>
      <c r="S24" s="2438"/>
      <c r="T24" s="2438"/>
      <c r="U24" s="2438"/>
      <c r="V24" s="2438"/>
      <c r="W24" s="2439"/>
      <c r="X24" s="1286" t="s">
        <v>403</v>
      </c>
      <c r="Z24" s="506"/>
      <c r="AA24" s="506" t="str">
        <f>IF(M24="","",M24)</f>
        <v>Группа потребителей</v>
      </c>
      <c r="AB24" s="506"/>
      <c r="AC24" s="506"/>
    </row>
    <row customHeight="1" ht="11.25">
      <c r="A25" s="1296" t="s">
        <v>2148</v>
      </c>
      <c r="B25" s="1296" t="s">
        <v>2149</v>
      </c>
      <c r="C25" s="1296" t="s">
        <v>2150</v>
      </c>
      <c r="D25" s="1296" t="s">
        <v>2151</v>
      </c>
      <c r="E25" s="1296"/>
      <c r="F25" s="1969"/>
      <c r="G25" s="1953"/>
      <c r="H25" s="1953">
        <f>G24&amp;".1"</f>
      </c>
      <c r="I25" s="2111"/>
      <c r="J25" s="2111"/>
      <c r="K25" s="353">
        <v>1</v>
      </c>
      <c r="L25" s="1323">
        <f>$H$25</f>
      </c>
      <c r="M25" s="1287"/>
      <c r="N25" s="288"/>
      <c r="O25" s="757"/>
      <c r="P25" s="320"/>
      <c r="Q25" s="757"/>
      <c r="R25" s="1285"/>
      <c r="S25" s="2443"/>
      <c r="T25" s="1981" t="s">
        <v>62</v>
      </c>
      <c r="U25" s="2443"/>
      <c r="V25" s="1981" t="s">
        <v>57</v>
      </c>
      <c r="W25" s="320"/>
      <c r="X25" s="2137" t="s">
        <v>405</v>
      </c>
      <c r="Y25" s="517">
        <f>STRCHECKDATE(O26:W26)</f>
      </c>
      <c r="Z25" s="506"/>
      <c r="AA25" s="506" t="str">
        <f>IF(M25="","",M25)</f>
        <v/>
      </c>
      <c r="AB25" s="506"/>
      <c r="AC25" s="506"/>
    </row>
    <row customHeight="1" ht="11.25">
      <c r="A26" s="1296" t="s">
        <v>2148</v>
      </c>
      <c r="B26" s="1296" t="s">
        <v>2149</v>
      </c>
      <c r="C26" s="1296" t="s">
        <v>2150</v>
      </c>
      <c r="D26" s="1296" t="s">
        <v>2151</v>
      </c>
      <c r="E26" s="1296"/>
      <c r="F26" s="1969"/>
      <c r="G26" s="1953"/>
      <c r="H26" s="1953"/>
      <c r="I26" s="2111"/>
      <c r="J26" s="2111"/>
      <c r="K26" s="353"/>
      <c r="L26" s="1324"/>
      <c r="M26" s="288"/>
      <c r="N26" s="288"/>
      <c r="O26" s="320"/>
      <c r="P26" s="320"/>
      <c r="Q26" s="320"/>
      <c r="R26" s="324" t="str">
        <f>S25&amp;"-"&amp;U25</f>
        <v>-</v>
      </c>
      <c r="S26" s="2113"/>
      <c r="T26" s="1981"/>
      <c r="U26" s="2113"/>
      <c r="V26" s="1981"/>
      <c r="W26" s="320"/>
      <c r="X26" s="2138"/>
      <c r="Z26" s="506"/>
      <c r="AA26" s="506" t="str">
        <f>IF(M26="","",M26)</f>
        <v/>
      </c>
      <c r="AB26" s="506"/>
      <c r="AC26" s="506"/>
    </row>
    <row customHeight="1" ht="15">
      <c r="A27" s="1296" t="s">
        <v>2148</v>
      </c>
      <c r="B27" s="1296" t="s">
        <v>2149</v>
      </c>
      <c r="C27" s="1296" t="s">
        <v>2150</v>
      </c>
      <c r="D27" s="1296" t="s">
        <v>2151</v>
      </c>
      <c r="E27" s="1296"/>
      <c r="F27" s="1969"/>
      <c r="G27" s="1953"/>
      <c r="I27" s="2111"/>
      <c r="J27" s="2111"/>
      <c r="K27" s="352"/>
      <c r="L27" s="1308"/>
      <c r="M27" s="276" t="s">
        <v>406</v>
      </c>
      <c r="N27" s="367"/>
      <c r="O27" s="367"/>
      <c r="P27" s="367"/>
      <c r="Q27" s="367"/>
      <c r="R27" s="367"/>
      <c r="S27" s="367"/>
      <c r="T27" s="367"/>
      <c r="U27" s="367"/>
      <c r="V27" s="367"/>
      <c r="W27" s="319"/>
      <c r="X27" s="2139"/>
      <c r="Z27" s="506"/>
      <c r="AA27" s="506" t="str">
        <f>IF(M27="","",M27)</f>
        <v>Добавить вид теплоносителя (параметры теплоносителя)</v>
      </c>
      <c r="AB27" s="506"/>
      <c r="AC27" s="506"/>
    </row>
    <row customHeight="1" ht="15">
      <c r="A28" s="1296" t="s">
        <v>2148</v>
      </c>
      <c r="B28" s="1296" t="s">
        <v>2149</v>
      </c>
      <c r="C28" s="1296" t="s">
        <v>2150</v>
      </c>
      <c r="D28" s="1296" t="s">
        <v>2151</v>
      </c>
      <c r="E28" s="1296"/>
      <c r="F28" s="1969"/>
      <c r="I28" s="2111"/>
      <c r="J28" s="1321"/>
      <c r="K28" s="352"/>
      <c r="L28" s="1308"/>
      <c r="M28" s="275" t="s">
        <v>407</v>
      </c>
      <c r="N28" s="367"/>
      <c r="O28" s="367"/>
      <c r="P28" s="367"/>
      <c r="Q28" s="367"/>
      <c r="R28" s="367"/>
      <c r="S28" s="367"/>
      <c r="T28" s="367"/>
      <c r="U28" s="367"/>
      <c r="V28" s="366"/>
      <c r="W28" s="367"/>
      <c r="X28" s="291"/>
      <c r="Z28" s="506"/>
      <c r="AA28" s="506" t="str">
        <f>IF(M28="","",M28)</f>
        <v>Добавить группу потребителей</v>
      </c>
      <c r="AB28" s="506"/>
      <c r="AC28" s="506"/>
    </row>
    <row customHeight="1" ht="14.25">
      <c r="A29" s="1296" t="s">
        <v>2148</v>
      </c>
      <c r="B29" s="1296" t="s">
        <v>2149</v>
      </c>
      <c r="C29" s="1296" t="s">
        <v>2150</v>
      </c>
      <c r="D29" s="1296" t="s">
        <v>2151</v>
      </c>
      <c r="E29" s="1296"/>
      <c r="F29" s="694"/>
      <c r="G29" s="694"/>
      <c r="H29" s="515"/>
      <c r="I29" s="356"/>
      <c r="J29" s="376"/>
      <c r="K29" s="351"/>
      <c r="L29" s="1308"/>
      <c r="M29" s="364" t="s">
        <v>408</v>
      </c>
      <c r="N29" s="367"/>
      <c r="O29" s="367"/>
      <c r="P29" s="367"/>
      <c r="Q29" s="367"/>
      <c r="R29" s="367"/>
      <c r="S29" s="367"/>
      <c r="T29" s="367"/>
      <c r="U29" s="367"/>
      <c r="V29" s="366"/>
      <c r="W29" s="367"/>
      <c r="X29" s="291"/>
      <c r="Z29" s="506"/>
      <c r="AA29" s="506" t="str">
        <f>IF(M29="","",M29)</f>
        <v>Добавить схему подключения</v>
      </c>
      <c r="AB29" s="506"/>
      <c r="AC29" s="506"/>
    </row>
    <row customHeight="1" ht="14.25">
      <c r="A30" s="1296" t="s">
        <v>2148</v>
      </c>
      <c r="B30" s="1296" t="s">
        <v>2149</v>
      </c>
      <c r="C30" s="1296" t="s">
        <v>2150</v>
      </c>
      <c r="D30" s="1296"/>
      <c r="E30" s="1296" t="s">
        <v>574</v>
      </c>
      <c r="F30" s="694"/>
      <c r="G30" s="694"/>
      <c r="H30" s="515"/>
      <c r="I30" s="356"/>
      <c r="J30" s="376"/>
      <c r="K30" s="351"/>
      <c r="L30" s="1309"/>
      <c r="M30" s="1298"/>
      <c r="N30" s="1299"/>
      <c r="O30" s="1299"/>
      <c r="P30" s="1299"/>
      <c r="Q30" s="1299"/>
      <c r="R30" s="1299"/>
      <c r="S30" s="1299"/>
      <c r="T30" s="1299"/>
      <c r="U30" s="1299"/>
      <c r="V30" s="1300"/>
      <c r="W30" s="1299"/>
      <c r="X30" s="1301"/>
      <c r="Z30" s="506"/>
      <c r="AA30" s="506" t="str">
        <f>IF(M30="","",M30)</f>
        <v/>
      </c>
      <c r="AB30" s="506"/>
      <c r="AC30" s="506"/>
    </row>
    <row customHeight="1" ht="14.25">
      <c r="A31" s="1296" t="s">
        <v>2148</v>
      </c>
      <c r="B31" s="1296" t="s">
        <v>2149</v>
      </c>
      <c r="C31" s="1296"/>
      <c r="D31" s="1296"/>
      <c r="E31" s="1296" t="s">
        <v>2139</v>
      </c>
      <c r="F31" s="1283"/>
      <c r="G31" s="1283"/>
      <c r="H31" s="515"/>
      <c r="I31" s="354"/>
      <c r="J31" s="376"/>
      <c r="K31" s="355"/>
      <c r="L31" s="1309"/>
      <c r="M31" s="1302"/>
      <c r="N31" s="1299"/>
      <c r="O31" s="1299"/>
      <c r="P31" s="1299"/>
      <c r="Q31" s="1299"/>
      <c r="R31" s="1299"/>
      <c r="S31" s="1299"/>
      <c r="T31" s="1299"/>
      <c r="U31" s="1299"/>
      <c r="V31" s="1300"/>
      <c r="W31" s="1299"/>
      <c r="X31" s="1301"/>
      <c r="Z31" s="506"/>
      <c r="AA31" s="506" t="str">
        <f>IF(M31="","",M31)</f>
        <v/>
      </c>
      <c r="AB31" s="506"/>
      <c r="AC31" s="506"/>
    </row>
    <row customHeight="1" ht="14.25">
      <c r="A32" s="1296" t="s">
        <v>2152</v>
      </c>
      <c r="B32" s="1296"/>
      <c r="C32" s="1296"/>
      <c r="D32" s="1296"/>
      <c r="E32" s="1296" t="s">
        <v>105</v>
      </c>
      <c r="F32" s="1283"/>
      <c r="G32" s="1283"/>
      <c r="H32" s="515"/>
      <c r="I32" s="356"/>
      <c r="J32" s="376"/>
      <c r="K32" s="351"/>
      <c r="L32" s="1309"/>
      <c r="M32" s="1303"/>
      <c r="N32" s="1299"/>
      <c r="O32" s="1299"/>
      <c r="P32" s="1299"/>
      <c r="Q32" s="1299"/>
      <c r="R32" s="1299"/>
      <c r="S32" s="1299"/>
      <c r="T32" s="1299"/>
      <c r="U32" s="1299"/>
      <c r="V32" s="1300"/>
      <c r="W32" s="1299"/>
      <c r="X32" s="1301"/>
      <c r="Z32" s="506"/>
      <c r="AA32" s="506" t="str">
        <f>IF(M32="","",M32)</f>
        <v/>
      </c>
      <c r="AB32" s="506"/>
      <c r="AC32" s="506"/>
    </row>
    <row s="4554" customFormat="1" customHeight="1" ht="11.25">
      <c r="A33" s="1296"/>
      <c r="B33" s="1296"/>
      <c r="C33" s="1296"/>
      <c r="D33" s="1296"/>
      <c r="E33" s="1296" t="s">
        <v>184</v>
      </c>
      <c r="F33" s="1297"/>
      <c r="G33" s="1284"/>
      <c r="H33" s="515"/>
      <c r="L33" s="1310"/>
      <c r="M33" s="1304"/>
      <c r="N33" s="1299"/>
      <c r="O33" s="1299"/>
      <c r="P33" s="1299"/>
      <c r="Q33" s="1299"/>
      <c r="R33" s="1299"/>
      <c r="S33" s="1299"/>
      <c r="T33" s="1299"/>
      <c r="U33" s="1299"/>
      <c r="V33" s="1300"/>
      <c r="W33" s="1299"/>
      <c r="X33" s="1301"/>
      <c r="Y33" s="383"/>
      <c r="Z33" s="383"/>
      <c r="AA33" s="383"/>
      <c r="AB33" s="383"/>
      <c r="AC33" s="383"/>
    </row>
    <row customHeight="1" ht="11.25">
      <c r="F34" s="1163"/>
      <c r="G34" s="1163"/>
      <c r="H34" s="515"/>
      <c r="I34" s="1163"/>
      <c r="J34" s="1163"/>
      <c r="K34" s="1163"/>
      <c r="Y34" s="1163"/>
      <c r="Z34" s="1163"/>
      <c r="AA34" s="1163"/>
      <c r="AB34" s="1163"/>
      <c r="AC34" s="1163"/>
    </row>
    <row customHeight="1" ht="27">
      <c r="H35" s="515"/>
      <c r="L35" s="1318" t="s">
        <v>706</v>
      </c>
      <c r="M35" s="2106" t="s">
        <v>2141</v>
      </c>
      <c r="N35" s="2106"/>
      <c r="O35" s="2106"/>
      <c r="P35" s="2106"/>
      <c r="Q35" s="2106"/>
      <c r="R35" s="2106"/>
      <c r="S35" s="2106"/>
      <c r="T35" s="2106"/>
      <c r="U35" s="2106"/>
      <c r="V35" s="2106"/>
      <c r="W35" s="2106"/>
      <c r="X35" s="2106"/>
    </row>
    <row customHeight="1" ht="104.25">
      <c r="F36" s="1333"/>
      <c r="G36" s="1333"/>
      <c r="H36" s="515"/>
      <c r="I36" s="1333"/>
      <c r="M36" s="2106" t="s">
        <v>2142</v>
      </c>
      <c r="N36" s="2106"/>
      <c r="O36" s="2106"/>
      <c r="P36" s="2106"/>
      <c r="Q36" s="2106"/>
      <c r="R36" s="2106"/>
      <c r="S36" s="2106"/>
      <c r="T36" s="2106"/>
      <c r="U36" s="2106"/>
      <c r="V36" s="2106"/>
      <c r="W36" s="2106"/>
      <c r="X36" s="2106"/>
    </row>
    <row customHeight="1" ht="14.25">
      <c r="H37" s="515"/>
    </row>
    <row customHeight="1" ht="14.25">
      <c r="H38" s="515"/>
    </row>
    <row customHeight="1" ht="14.25">
      <c r="H39" s="515"/>
    </row>
    <row customHeight="1" ht="14.25">
      <c r="H40" s="515"/>
    </row>
  </sheetData>
  <sheetProtection formatColumns="0" formatRows="0" autoFilter="0" sort="0" insertRows="0" insertColumns="1" deleteRows="0" deleteColumns="0"/>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3E4DAAA-054E-2DA4-1637-B510D17D6BEC}" mc:Ignorable="x14ac xr xr2 xr3">
  <sheetPr>
    <tabColor theme="6" tint="0.4"/>
  </sheetPr>
  <dimension ref="A1:AC32"/>
  <sheetViews>
    <sheetView topLeftCell="A1" showGridLines="0" workbookViewId="0">
      <selection activeCell="A1" sqref="A1"/>
    </sheetView>
  </sheetViews>
  <sheetFormatPr defaultColWidth="10.57421875" customHeight="1" defaultRowHeight="14.25"/>
  <cols>
    <col min="1" max="6" style="2611" width="10.57421875"/>
    <col min="7" max="8" style="3402" width="9.140625" customWidth="1"/>
    <col min="9" max="9" style="3370" width="3.7109375" customWidth="1"/>
    <col min="10" max="11" style="3371" width="3.7109375" customWidth="1"/>
    <col min="12" max="12" style="2939" width="12.7109375" customWidth="1"/>
    <col min="13" max="13" style="2939" width="47.421875" customWidth="1"/>
    <col min="14" max="14" style="2939" width="2.7109375" hidden="1" customWidth="1"/>
    <col min="15" max="18" style="2939" width="23.7109375" customWidth="1"/>
    <col min="19" max="19" style="2939" width="11.7109375" customWidth="1"/>
    <col min="20" max="20" style="2939" width="3.7109375" customWidth="1"/>
    <col min="21" max="21" style="2939" width="11.7109375" customWidth="1"/>
    <col min="22" max="22" style="2939" width="8.57421875" hidden="1" customWidth="1"/>
    <col min="23" max="23" style="2939" width="4.7109375" customWidth="1"/>
    <col min="24" max="24" style="2939" width="115.7109375" customWidth="1"/>
    <col min="25" max="29" style="2611" width="10.57421875"/>
  </cols>
  <sheetData>
    <row customHeight="1" ht="14.25" hidden="1"/>
    <row customHeight="1" ht="14.25" hidden="1"/>
    <row customHeight="1" ht="14.25" hidden="1"/>
    <row customHeight="1" ht="14.25">
      <c r="J4" s="377"/>
      <c r="K4" s="377"/>
      <c r="L4" s="361"/>
      <c r="M4" s="361"/>
      <c r="N4" s="361"/>
      <c r="O4" s="515"/>
      <c r="P4" s="515"/>
      <c r="Q4" s="515"/>
      <c r="R4" s="515"/>
      <c r="S4" s="515"/>
      <c r="T4" s="515"/>
      <c r="U4" s="515"/>
      <c r="V4" s="361"/>
    </row>
    <row customHeight="1" ht="14.25">
      <c r="J5" s="377"/>
      <c r="K5" s="377"/>
      <c r="L5" s="2448" t="s">
        <v>2153</v>
      </c>
      <c r="M5" s="2448"/>
      <c r="N5" s="2448"/>
      <c r="O5" s="2448"/>
      <c r="P5" s="2448"/>
      <c r="Q5" s="2448"/>
      <c r="R5" s="2448"/>
      <c r="S5" s="2448"/>
      <c r="T5" s="2448"/>
      <c r="U5" s="264"/>
      <c r="V5" s="264"/>
    </row>
    <row customHeight="1" ht="14.25">
      <c r="J6" s="377"/>
      <c r="K6" s="377"/>
      <c r="L6" s="361"/>
      <c r="M6" s="361"/>
      <c r="N6" s="361"/>
      <c r="O6" s="316"/>
      <c r="P6" s="316"/>
      <c r="Q6" s="316"/>
      <c r="R6" s="316"/>
      <c r="S6" s="316"/>
      <c r="T6" s="316"/>
      <c r="U6" s="361"/>
    </row>
    <row s="3305" customFormat="1" customHeight="1" ht="22.5">
      <c r="A7" s="368"/>
      <c r="B7" s="368"/>
      <c r="C7" s="368"/>
      <c r="D7" s="368"/>
      <c r="E7" s="368"/>
      <c r="F7" s="368"/>
      <c r="G7" s="368"/>
      <c r="H7" s="368"/>
      <c r="L7" s="265"/>
      <c r="M7" s="283" t="s">
        <v>38</v>
      </c>
      <c r="N7" s="292"/>
      <c r="O7" s="2449">
        <f>IF(NameOrPr_ch="",IF(NameOrPr="","",NameOrPr),NameOrPr_ch)</f>
      </c>
      <c r="P7" s="2450"/>
      <c r="Q7" s="2450"/>
      <c r="R7" s="2450"/>
      <c r="S7" s="2450"/>
      <c r="T7" s="2451"/>
      <c r="U7" s="1266"/>
      <c r="Y7" s="368"/>
      <c r="Z7" s="368"/>
      <c r="AA7" s="368"/>
      <c r="AB7" s="368"/>
      <c r="AC7" s="368"/>
    </row>
    <row s="3305" customFormat="1" customHeight="1" ht="18.75">
      <c r="A8" s="368"/>
      <c r="B8" s="368"/>
      <c r="C8" s="368"/>
      <c r="D8" s="368"/>
      <c r="E8" s="368"/>
      <c r="F8" s="368"/>
      <c r="G8" s="368"/>
      <c r="H8" s="368"/>
      <c r="L8" s="265"/>
      <c r="M8" s="283" t="s">
        <v>415</v>
      </c>
      <c r="N8" s="292"/>
      <c r="O8" s="2449">
        <f>IF(datePr_ch="",IF(datePr="","",datePr),datePr_ch)</f>
      </c>
      <c r="P8" s="2450"/>
      <c r="Q8" s="2450"/>
      <c r="R8" s="2450"/>
      <c r="S8" s="2450"/>
      <c r="T8" s="2451"/>
      <c r="U8" s="1266"/>
      <c r="Y8" s="368"/>
      <c r="Z8" s="368"/>
      <c r="AA8" s="368"/>
      <c r="AB8" s="368"/>
      <c r="AC8" s="368"/>
    </row>
    <row s="3305" customFormat="1" customHeight="1" ht="18.75">
      <c r="A9" s="368"/>
      <c r="B9" s="368"/>
      <c r="C9" s="368"/>
      <c r="D9" s="368"/>
      <c r="E9" s="368"/>
      <c r="F9" s="368"/>
      <c r="G9" s="368"/>
      <c r="H9" s="368"/>
      <c r="L9" s="318"/>
      <c r="M9" s="283" t="s">
        <v>416</v>
      </c>
      <c r="N9" s="292"/>
      <c r="O9" s="2449">
        <f>IF(numberPr_ch="",IF(numberPr="","",numberPr),numberPr_ch)</f>
      </c>
      <c r="P9" s="2450"/>
      <c r="Q9" s="2450"/>
      <c r="R9" s="2450"/>
      <c r="S9" s="2450"/>
      <c r="T9" s="2451"/>
      <c r="U9" s="1266"/>
      <c r="Y9" s="368"/>
      <c r="Z9" s="368"/>
      <c r="AA9" s="368"/>
      <c r="AB9" s="368"/>
      <c r="AC9" s="368"/>
    </row>
    <row s="3305" customFormat="1" customHeight="1" ht="18.75">
      <c r="A10" s="368"/>
      <c r="B10" s="368"/>
      <c r="C10" s="368"/>
      <c r="D10" s="368"/>
      <c r="E10" s="368"/>
      <c r="F10" s="368"/>
      <c r="G10" s="368"/>
      <c r="H10" s="368"/>
      <c r="L10" s="318"/>
      <c r="M10" s="283" t="s">
        <v>40</v>
      </c>
      <c r="N10" s="292"/>
      <c r="O10" s="2449">
        <f>IF(IstPub_ch="",IF(IstPub="","",IstPub),IstPub_ch)</f>
      </c>
      <c r="P10" s="2450"/>
      <c r="Q10" s="2450"/>
      <c r="R10" s="2450"/>
      <c r="S10" s="2450"/>
      <c r="T10" s="2451"/>
      <c r="U10" s="1266"/>
      <c r="Y10" s="368"/>
      <c r="Z10" s="368"/>
      <c r="AA10" s="368"/>
      <c r="AB10" s="368"/>
      <c r="AC10" s="368"/>
    </row>
    <row s="2844" customFormat="1" customHeight="1" ht="18.75" hidden="1">
      <c r="A11" s="1270"/>
      <c r="B11" s="1270"/>
      <c r="C11" s="1270"/>
      <c r="D11" s="1270"/>
      <c r="E11" s="1270"/>
      <c r="F11" s="1270"/>
      <c r="G11" s="1270"/>
      <c r="H11" s="1270"/>
      <c r="L11" s="318"/>
      <c r="M11" s="315"/>
      <c r="O11" s="1271"/>
      <c r="P11" s="1271"/>
      <c r="Q11" s="368" t="s">
        <v>2154</v>
      </c>
      <c r="R11" s="368" t="s">
        <v>2155</v>
      </c>
      <c r="S11" s="1271"/>
      <c r="T11" s="1271"/>
      <c r="U11" s="1266"/>
      <c r="Y11" s="1270"/>
      <c r="Z11" s="1270"/>
      <c r="AA11" s="1270"/>
      <c r="AB11" s="1270"/>
      <c r="AC11" s="1270"/>
    </row>
    <row s="3305" customFormat="1" customHeight="1" ht="11.25" hidden="1">
      <c r="A12" s="368"/>
      <c r="B12" s="368"/>
      <c r="C12" s="368"/>
      <c r="D12" s="368"/>
      <c r="E12" s="368"/>
      <c r="F12" s="368"/>
      <c r="G12" s="368"/>
      <c r="H12" s="368"/>
      <c r="L12" s="2440"/>
      <c r="M12" s="2440"/>
      <c r="N12" s="1233"/>
      <c r="O12" s="322"/>
      <c r="P12" s="322"/>
      <c r="Q12" s="322"/>
      <c r="R12" s="322"/>
      <c r="S12" s="322"/>
      <c r="T12" s="322"/>
      <c r="U12" s="1269"/>
      <c r="V12" s="266" t="s">
        <v>419</v>
      </c>
      <c r="Y12" s="368"/>
      <c r="Z12" s="368"/>
      <c r="AA12" s="368"/>
      <c r="AB12" s="368"/>
      <c r="AC12" s="368"/>
    </row>
    <row customHeight="1" ht="14.25">
      <c r="J13" s="377"/>
      <c r="K13" s="377"/>
      <c r="L13" s="361"/>
      <c r="M13" s="361"/>
      <c r="N13" s="361"/>
      <c r="O13" s="1272"/>
      <c r="P13" s="1272"/>
      <c r="Q13" s="2446"/>
      <c r="R13" s="2446"/>
      <c r="S13" s="2446"/>
      <c r="T13" s="2446"/>
      <c r="U13" s="2446"/>
      <c r="V13" s="2446"/>
    </row>
    <row customHeight="1" ht="14.25">
      <c r="J14" s="377"/>
      <c r="K14" s="377"/>
      <c r="L14" s="1971" t="s">
        <v>293</v>
      </c>
      <c r="M14" s="1971"/>
      <c r="N14" s="1971"/>
      <c r="O14" s="1971"/>
      <c r="P14" s="1971"/>
      <c r="Q14" s="1971"/>
      <c r="R14" s="1971"/>
      <c r="S14" s="1971"/>
      <c r="T14" s="1971"/>
      <c r="U14" s="1971"/>
      <c r="V14" s="1971"/>
      <c r="W14" s="1971"/>
      <c r="X14" s="1971" t="s">
        <v>294</v>
      </c>
    </row>
    <row customHeight="1" ht="14.25">
      <c r="J15" s="377"/>
      <c r="K15" s="377"/>
      <c r="L15" s="2062" t="s">
        <v>88</v>
      </c>
      <c r="M15" s="2062" t="s">
        <v>2156</v>
      </c>
      <c r="N15" s="1232"/>
      <c r="O15" s="2062" t="s">
        <v>2157</v>
      </c>
      <c r="P15" s="2061" t="s">
        <v>2158</v>
      </c>
      <c r="Q15" s="2061" t="s">
        <v>2138</v>
      </c>
      <c r="R15" s="2061"/>
      <c r="S15" s="2061"/>
      <c r="T15" s="2061"/>
      <c r="U15" s="2061"/>
      <c r="V15" s="2062" t="s">
        <v>422</v>
      </c>
      <c r="W15" s="2447" t="s">
        <v>1056</v>
      </c>
      <c r="X15" s="1971"/>
    </row>
    <row customHeight="1" ht="25.5">
      <c r="J16" s="377"/>
      <c r="K16" s="377"/>
      <c r="L16" s="2062"/>
      <c r="M16" s="2062"/>
      <c r="N16" s="1232"/>
      <c r="O16" s="2062"/>
      <c r="P16" s="2061"/>
      <c r="Q16" s="2061" t="s">
        <v>2159</v>
      </c>
      <c r="R16" s="2061"/>
      <c r="S16" s="2153" t="s">
        <v>440</v>
      </c>
      <c r="T16" s="2153"/>
      <c r="U16" s="2153"/>
      <c r="V16" s="2062"/>
      <c r="W16" s="2447"/>
      <c r="X16" s="1971"/>
    </row>
    <row customHeight="1" ht="14.25">
      <c r="J17" s="377"/>
      <c r="K17" s="377"/>
      <c r="L17" s="2062"/>
      <c r="M17" s="2062"/>
      <c r="N17" s="1232"/>
      <c r="O17" s="2062"/>
      <c r="P17" s="2061"/>
      <c r="Q17" s="1232" t="s">
        <v>474</v>
      </c>
      <c r="R17" s="1232" t="s">
        <v>475</v>
      </c>
      <c r="S17" s="1236" t="s">
        <v>438</v>
      </c>
      <c r="T17" s="2444" t="s">
        <v>439</v>
      </c>
      <c r="U17" s="2444"/>
      <c r="V17" s="2062"/>
      <c r="W17" s="2447"/>
      <c r="X17" s="1971"/>
    </row>
    <row customHeight="1" ht="14.25">
      <c r="J18" s="377"/>
      <c r="K18" s="279">
        <v>1</v>
      </c>
      <c r="L18" s="454" t="s">
        <v>110</v>
      </c>
      <c r="M18" s="454" t="s">
        <v>111</v>
      </c>
      <c r="N18" s="1268" t="s">
        <v>111</v>
      </c>
      <c r="O18" s="1234">
        <f>OFFSET(O18,0,-1)+1</f>
        <v>3</v>
      </c>
      <c r="P18" s="1234">
        <f>OFFSET(P18,0,-1)+1</f>
        <v>4</v>
      </c>
      <c r="Q18" s="1234">
        <f>OFFSET(Q18,0,-1)+1</f>
        <v>5</v>
      </c>
      <c r="R18" s="1234">
        <f>OFFSET(R18,0,-1)+1</f>
        <v>6</v>
      </c>
      <c r="S18" s="1234">
        <f>OFFSET(S18,0,-1)+1</f>
        <v>7</v>
      </c>
      <c r="T18" s="2445">
        <f>OFFSET(T18,0,-1)+1</f>
        <v>8</v>
      </c>
      <c r="U18" s="2445"/>
      <c r="V18" s="1234">
        <f>OFFSET(V18,0,-2)+1</f>
        <v>9</v>
      </c>
      <c r="X18" s="1234">
        <f>OFFSET(X18,0,-2)+1</f>
        <v>10</v>
      </c>
    </row>
    <row customHeight="1" ht="22.5">
      <c r="A19" s="2111">
        <v>1</v>
      </c>
      <c r="B19" s="524"/>
      <c r="C19" s="524"/>
      <c r="D19" s="524"/>
      <c r="E19" s="524"/>
      <c r="F19" s="524"/>
      <c r="G19" s="384"/>
      <c r="H19" s="384"/>
      <c r="I19" s="357"/>
      <c r="J19" s="377"/>
      <c r="K19" s="377"/>
      <c r="L19" s="1241">
        <f>MERGEVALUE(A19)</f>
      </c>
      <c r="M19" s="286" t="s">
        <v>124</v>
      </c>
      <c r="N19" s="305"/>
      <c r="O19" s="2331"/>
      <c r="P19" s="2331"/>
      <c r="Q19" s="2331"/>
      <c r="R19" s="2331"/>
      <c r="S19" s="2331"/>
      <c r="T19" s="2331"/>
      <c r="U19" s="2331"/>
      <c r="V19" s="2331"/>
      <c r="W19" s="2331"/>
      <c r="X19" s="341" t="s">
        <v>391</v>
      </c>
    </row>
    <row customHeight="1" ht="22.5">
      <c r="A20" s="2111"/>
      <c r="B20" s="2111">
        <v>1</v>
      </c>
      <c r="C20" s="524"/>
      <c r="D20" s="524"/>
      <c r="E20" s="524"/>
      <c r="F20" s="524"/>
      <c r="G20" s="386"/>
      <c r="H20" s="1235"/>
      <c r="I20" s="359"/>
      <c r="J20" s="1242"/>
      <c r="K20" s="1163"/>
      <c r="L20" s="1241">
        <f>MERGEVALUE(A20)&amp;"."&amp;MERGEVALUE(B20)</f>
      </c>
      <c r="M20" s="298" t="s">
        <v>392</v>
      </c>
      <c r="N20" s="305"/>
      <c r="O20" s="2331"/>
      <c r="P20" s="2331"/>
      <c r="Q20" s="2331"/>
      <c r="R20" s="2331"/>
      <c r="S20" s="2331"/>
      <c r="T20" s="2331"/>
      <c r="U20" s="2331"/>
      <c r="V20" s="2331"/>
      <c r="W20" s="2331"/>
      <c r="X20" s="341" t="s">
        <v>393</v>
      </c>
    </row>
    <row customHeight="1" ht="22.5">
      <c r="A21" s="2111"/>
      <c r="B21" s="2111"/>
      <c r="C21" s="2111">
        <v>1</v>
      </c>
      <c r="D21" s="524"/>
      <c r="E21" s="524"/>
      <c r="F21" s="524"/>
      <c r="G21" s="386"/>
      <c r="H21" s="1235"/>
      <c r="I21" s="360"/>
      <c r="J21" s="1242"/>
      <c r="K21" s="1163"/>
      <c r="L21" s="1241">
        <f>MERGEVALUE(A21)&amp;"."&amp;MERGEVALUE(B21)&amp;"."&amp;MERGEVALUE(C21)</f>
      </c>
      <c r="M21" s="299" t="s">
        <v>394</v>
      </c>
      <c r="N21" s="305"/>
      <c r="O21" s="2331"/>
      <c r="P21" s="2331"/>
      <c r="Q21" s="2331"/>
      <c r="R21" s="2331"/>
      <c r="S21" s="2331"/>
      <c r="T21" s="2331"/>
      <c r="U21" s="2331"/>
      <c r="V21" s="2331"/>
      <c r="W21" s="2331"/>
      <c r="X21" s="341" t="s">
        <v>395</v>
      </c>
    </row>
    <row customHeight="1" ht="14.25">
      <c r="A22" s="2111"/>
      <c r="B22" s="2111"/>
      <c r="C22" s="2111"/>
      <c r="D22" s="2111">
        <v>1</v>
      </c>
      <c r="E22" s="524"/>
      <c r="F22" s="524"/>
      <c r="G22" s="386"/>
      <c r="H22" s="1235"/>
      <c r="I22" s="360"/>
      <c r="J22" s="358"/>
      <c r="K22" s="1163"/>
      <c r="L22" s="1241">
        <f>MERGEVALUE(A22)&amp;"."&amp;MERGEVALUE(B22)&amp;"."&amp;MERGEVALUE(C22)&amp;"."&amp;MERGEVALUE(D22)</f>
      </c>
      <c r="M22" s="300" t="s">
        <v>396</v>
      </c>
      <c r="N22" s="305"/>
      <c r="O22" s="2331"/>
      <c r="P22" s="2331"/>
      <c r="Q22" s="2331"/>
      <c r="R22" s="2331"/>
      <c r="S22" s="2331"/>
      <c r="T22" s="2331"/>
      <c r="U22" s="2331"/>
      <c r="V22" s="2331"/>
      <c r="W22" s="2331"/>
      <c r="X22" s="333" t="s">
        <v>2160</v>
      </c>
    </row>
    <row customHeight="1" ht="22.5">
      <c r="A23" s="2111"/>
      <c r="B23" s="2111"/>
      <c r="C23" s="2111"/>
      <c r="D23" s="2111"/>
      <c r="E23" s="524">
        <v>1</v>
      </c>
      <c r="F23" s="524"/>
      <c r="G23" s="386"/>
      <c r="H23" s="1235"/>
      <c r="I23" s="360"/>
      <c r="J23" s="358"/>
      <c r="K23" s="457"/>
      <c r="L23" s="1241">
        <f>MERGEVALUE(A23)&amp;"."&amp;MERGEVALUE(B23)&amp;"."&amp;MERGEVALUE(C23)&amp;"."&amp;MERGEVALUE(D23)&amp;"."&amp;MERGEVALUE(E23)</f>
      </c>
      <c r="M23" s="379"/>
      <c r="N23" s="1238"/>
      <c r="O23" s="381"/>
      <c r="P23" s="382"/>
      <c r="Q23" s="293"/>
      <c r="R23" s="293"/>
      <c r="S23" s="1774"/>
      <c r="T23" s="1230" t="s">
        <v>57</v>
      </c>
      <c r="U23" s="1274"/>
      <c r="V23" s="1230" t="s">
        <v>57</v>
      </c>
      <c r="W23" s="1275"/>
      <c r="X23" s="2015" t="s">
        <v>2161</v>
      </c>
      <c r="Y23" s="517">
        <f>STRCHECKDATETWO(N23:W23)</f>
      </c>
    </row>
    <row customHeight="1" ht="14.25" hidden="1">
      <c r="A24" s="2111"/>
      <c r="B24" s="2111"/>
      <c r="C24" s="2111"/>
      <c r="D24" s="2111"/>
      <c r="E24" s="524"/>
      <c r="F24" s="524"/>
      <c r="G24" s="386"/>
      <c r="H24" s="1235"/>
      <c r="I24" s="360"/>
      <c r="J24" s="358"/>
      <c r="K24" s="457"/>
      <c r="L24" s="1240"/>
      <c r="M24" s="301"/>
      <c r="N24" s="288"/>
      <c r="O24" s="288"/>
      <c r="P24" s="288"/>
      <c r="Q24" s="288"/>
      <c r="R24" s="324" t="str">
        <f>S23&amp;"-"&amp;U23</f>
        <v>-</v>
      </c>
      <c r="S24" s="309"/>
      <c r="T24" s="306"/>
      <c r="U24" s="309"/>
      <c r="V24" s="288"/>
      <c r="W24" s="1276"/>
      <c r="X24" s="2016"/>
    </row>
    <row customHeight="1" ht="14.25">
      <c r="A25" s="2111"/>
      <c r="B25" s="2111"/>
      <c r="C25" s="2111"/>
      <c r="D25" s="2111"/>
      <c r="E25" s="524"/>
      <c r="F25" s="524"/>
      <c r="G25" s="386"/>
      <c r="H25" s="1235"/>
      <c r="I25" s="360"/>
      <c r="J25" s="358"/>
      <c r="K25" s="457"/>
      <c r="L25" s="297"/>
      <c r="M25" s="364" t="s">
        <v>463</v>
      </c>
      <c r="N25" s="363"/>
      <c r="O25" s="317"/>
      <c r="P25" s="317"/>
      <c r="Q25" s="317"/>
      <c r="R25" s="317"/>
      <c r="S25" s="321"/>
      <c r="T25" s="367"/>
      <c r="U25" s="366"/>
      <c r="V25" s="363"/>
      <c r="W25" s="363"/>
      <c r="X25" s="2017"/>
    </row>
    <row s="4554" customFormat="1" customHeight="1" ht="14.25">
      <c r="A26" s="2111"/>
      <c r="B26" s="2111"/>
      <c r="C26" s="2111"/>
      <c r="D26" s="385"/>
      <c r="E26" s="385"/>
      <c r="F26" s="385"/>
      <c r="G26" s="386"/>
      <c r="H26" s="385"/>
      <c r="I26" s="360"/>
      <c r="J26" s="376"/>
      <c r="K26" s="378"/>
      <c r="L26" s="297"/>
      <c r="M26" s="372" t="s">
        <v>574</v>
      </c>
      <c r="N26" s="363"/>
      <c r="O26" s="317"/>
      <c r="P26" s="317"/>
      <c r="Q26" s="317"/>
      <c r="R26" s="317"/>
      <c r="S26" s="321"/>
      <c r="T26" s="367"/>
      <c r="U26" s="366"/>
      <c r="V26" s="363"/>
      <c r="W26" s="367"/>
      <c r="X26" s="1277"/>
      <c r="Y26" s="383"/>
      <c r="Z26" s="383"/>
      <c r="AA26" s="383"/>
      <c r="AB26" s="383"/>
      <c r="AC26" s="383"/>
    </row>
    <row s="4554" customFormat="1" customHeight="1" ht="14.25">
      <c r="A27" s="2111"/>
      <c r="B27" s="2111"/>
      <c r="C27" s="385"/>
      <c r="D27" s="385"/>
      <c r="E27" s="385"/>
      <c r="F27" s="385"/>
      <c r="G27" s="386"/>
      <c r="H27" s="385"/>
      <c r="I27" s="356"/>
      <c r="J27" s="376"/>
      <c r="K27" s="378"/>
      <c r="L27" s="297"/>
      <c r="M27" s="363" t="s">
        <v>2139</v>
      </c>
      <c r="N27" s="363"/>
      <c r="O27" s="317"/>
      <c r="P27" s="317"/>
      <c r="Q27" s="317"/>
      <c r="R27" s="317"/>
      <c r="S27" s="321"/>
      <c r="T27" s="367"/>
      <c r="U27" s="366"/>
      <c r="V27" s="363"/>
      <c r="W27" s="367"/>
      <c r="X27" s="319"/>
      <c r="Y27" s="383"/>
      <c r="Z27" s="383"/>
      <c r="AA27" s="383"/>
      <c r="AB27" s="383"/>
      <c r="AC27" s="383"/>
    </row>
    <row s="4554" customFormat="1" customHeight="1" ht="14.25">
      <c r="A28" s="2111"/>
      <c r="B28" s="385"/>
      <c r="C28" s="385"/>
      <c r="D28" s="385"/>
      <c r="E28" s="385"/>
      <c r="F28" s="385"/>
      <c r="G28" s="386"/>
      <c r="H28" s="385"/>
      <c r="I28" s="356"/>
      <c r="J28" s="376"/>
      <c r="K28" s="378"/>
      <c r="L28" s="297"/>
      <c r="M28" s="421" t="s">
        <v>105</v>
      </c>
      <c r="N28" s="363"/>
      <c r="O28" s="317"/>
      <c r="P28" s="317"/>
      <c r="Q28" s="317"/>
      <c r="R28" s="317"/>
      <c r="S28" s="321"/>
      <c r="T28" s="367"/>
      <c r="U28" s="366"/>
      <c r="V28" s="363"/>
      <c r="W28" s="367"/>
      <c r="X28" s="319"/>
      <c r="Y28" s="383"/>
      <c r="Z28" s="383"/>
      <c r="AA28" s="383"/>
      <c r="AB28" s="383"/>
      <c r="AC28" s="383"/>
    </row>
    <row s="4554" customFormat="1" customHeight="1" ht="14.25">
      <c r="G29" s="365"/>
      <c r="H29" s="378"/>
      <c r="I29" s="375"/>
      <c r="J29" s="376"/>
      <c r="L29" s="297"/>
      <c r="M29" s="422" t="s">
        <v>184</v>
      </c>
      <c r="N29" s="363"/>
      <c r="O29" s="317"/>
      <c r="P29" s="317"/>
      <c r="Q29" s="317"/>
      <c r="R29" s="317"/>
      <c r="S29" s="321"/>
      <c r="T29" s="367"/>
      <c r="U29" s="366"/>
      <c r="V29" s="363"/>
      <c r="W29" s="367"/>
      <c r="X29" s="319"/>
      <c r="Y29" s="383"/>
      <c r="Z29" s="383"/>
      <c r="AA29" s="383"/>
      <c r="AB29" s="383"/>
      <c r="AC29" s="383"/>
    </row>
    <row r="31" customHeight="1" ht="14.25">
      <c r="L31" s="49">
        <v>1</v>
      </c>
      <c r="M31" s="2106" t="s">
        <v>2162</v>
      </c>
      <c r="N31" s="2106"/>
      <c r="O31" s="2106"/>
      <c r="P31" s="2106"/>
      <c r="Q31" s="2106"/>
      <c r="R31" s="2106"/>
      <c r="S31" s="2106"/>
      <c r="T31" s="2106"/>
      <c r="U31" s="2106"/>
      <c r="V31" s="2106"/>
      <c r="W31" s="2106"/>
      <c r="X31" s="2106"/>
      <c r="Y31" s="1278"/>
      <c r="Z31" s="369"/>
      <c r="AA31" s="369"/>
      <c r="AB31" s="369"/>
      <c r="AC31" s="369"/>
    </row>
    <row customHeight="1" ht="14.25">
      <c r="M32" s="1279"/>
      <c r="N32" s="1279"/>
      <c r="O32" s="1279"/>
      <c r="P32" s="1279"/>
      <c r="Q32" s="1279"/>
      <c r="R32" s="1279"/>
      <c r="S32" s="1279"/>
      <c r="T32" s="1279"/>
      <c r="U32" s="1279"/>
      <c r="V32" s="1279"/>
      <c r="W32" s="1279"/>
      <c r="X32" s="1279"/>
      <c r="Y32" s="516"/>
      <c r="Z32" s="516"/>
      <c r="AA32" s="516"/>
      <c r="AB32" s="516"/>
      <c r="AC32" s="516"/>
    </row>
  </sheetData>
  <sheetProtection formatColumns="0" formatRows="0" autoFilter="0" sort="0" insertRows="0" insertColumns="1" deleteRows="0" deleteColumns="0"/>
  <mergeCells count="30">
    <mergeCell ref="L12:M12"/>
    <mergeCell ref="L5:T5"/>
    <mergeCell ref="O7:T7"/>
    <mergeCell ref="O8:T8"/>
    <mergeCell ref="O9:T9"/>
    <mergeCell ref="O10:T10"/>
    <mergeCell ref="Q13:V13"/>
    <mergeCell ref="L14:W14"/>
    <mergeCell ref="X14:X17"/>
    <mergeCell ref="L15:L17"/>
    <mergeCell ref="M15:M17"/>
    <mergeCell ref="O15:O17"/>
    <mergeCell ref="P15:P17"/>
    <mergeCell ref="Q15:U15"/>
    <mergeCell ref="V15:V17"/>
    <mergeCell ref="W15:W17"/>
    <mergeCell ref="A19:A28"/>
    <mergeCell ref="O19:W19"/>
    <mergeCell ref="B20:B27"/>
    <mergeCell ref="O20:W20"/>
    <mergeCell ref="C21:C26"/>
    <mergeCell ref="O21:W21"/>
    <mergeCell ref="D22:D25"/>
    <mergeCell ref="O22:W22"/>
    <mergeCell ref="X23:X25"/>
    <mergeCell ref="M31:X31"/>
    <mergeCell ref="Q16:R16"/>
    <mergeCell ref="S16:U16"/>
    <mergeCell ref="T17:U17"/>
    <mergeCell ref="T18:U18"/>
  </mergeCells>
  <dataValidations count="8">
    <dataValidation allowBlank="1" prompt="Для выбора выполните двойной щелчок левой клавиши мыши по соответствующей ячейке." sqref="IX25:JJ29 ST25:TF29 ACP25:ADB29 AML25:AMX29 AWH25:AWT29 BGD25:BGP29 BPZ25:BQL29 BZV25:CAH29 CJR25:CKD29 CTN25:CTZ29 DDJ25:DDV29 DNF25:DNR29 DXB25:DXN29 EGX25:EHJ29 EQT25:ERF29 FAP25:FBB29 FKL25:FKX29 FUH25:FUT29 GED25:GEP29 GNZ25:GOL29 GXV25:GYH29 HHR25:HID29 HRN25:HRZ29 IBJ25:IBV29 ILF25:ILR29 IVB25:IVN29 JEX25:JFJ29 JOT25:JPF29 JYP25:JZB29 KIL25:KIX29 KSH25:KST29 LCD25:LCP29 LLZ25:LML29 LVV25:LWH29 MFR25:MGD29 MPN25:MPZ29 MZJ25:MZV29 NJF25:NJR29 NTB25:NTN29 OCX25:ODJ29 OMT25:ONF29 OWP25:OXB29 PGL25:PGX29 PQH25:PQT29 QAD25:QAP29 QJZ25:QKL29 QTV25:QUH29 RDR25:RED29 RNN25:RNZ29 RXJ25:RXV29 SHF25:SHR29 SRB25:SRN29 TAX25:TBJ29 TKT25:TLF29 TUP25:TVB29 UEL25:UEX29 UOH25:UOT29 UYD25:UYP29 VHZ25:VIL29 VRV25:VSH29 WBR25:WCD29 WLN25:WLZ29 WVJ25:WVV29 IX65561:JJ65565 ST65561:TF65565 ACP65561:ADB65565 AML65561:AMX65565 AWH65561:AWT65565 BGD65561:BGP65565 BPZ65561:BQL65565 BZV65561:CAH65565 CJR65561:CKD65565 CTN65561:CTZ65565 DDJ65561:DDV65565 DNF65561:DNR65565 DXB65561:DXN65565 EGX65561:EHJ65565 EQT65561:ERF65565 FAP65561:FBB65565 FKL65561:FKX65565 FUH65561:FUT65565 GED65561:GEP65565 GNZ65561:GOL65565 GXV65561:GYH65565 HHR65561:HID65565 HRN65561:HRZ65565 IBJ65561:IBV65565 ILF65561:ILR65565 IVB65561:IVN65565 JEX65561:JFJ65565 JOT65561:JPF65565 JYP65561:JZB65565 KIL65561:KIX65565 KSH65561:KST65565 LCD65561:LCP65565 LLZ65561:LML65565 LVV65561:LWH65565 MFR65561:MGD65565 MPN65561:MPZ65565 MZJ65561:MZV65565 NJF65561:NJR65565 NTB65561:NTN65565 OCX65561:ODJ65565 OMT65561:ONF65565 OWP65561:OXB65565 PGL65561:PGX65565 PQH65561:PQT65565 QAD65561:QAP65565 QJZ65561:QKL65565 QTV65561:QUH65565 RDR65561:RED65565 RNN65561:RNZ65565 RXJ65561:RXV65565 SHF65561:SHR65565 SRB65561:SRN65565 TAX65561:TBJ65565 TKT65561:TLF65565 TUP65561:TVB65565 UEL65561:UEX65565 UOH65561:UOT65565 UYD65561:UYP65565 VHZ65561:VIL65565 VRV65561:VSH65565 WBR65561:WCD65565 WLN65561:WLZ65565 WVJ65561:WVV65565 IX131097:JJ131101 ST131097:TF131101 ACP131097:ADB131101 AML131097:AMX131101 AWH131097:AWT131101 BGD131097:BGP131101 BPZ131097:BQL131101 BZV131097:CAH131101 CJR131097:CKD131101 CTN131097:CTZ131101 DDJ131097:DDV131101 DNF131097:DNR131101 DXB131097:DXN131101 EGX131097:EHJ131101 EQT131097:ERF131101 FAP131097:FBB131101 FKL131097:FKX131101 FUH131097:FUT131101 GED131097:GEP131101 GNZ131097:GOL131101 GXV131097:GYH131101 HHR131097:HID131101 HRN131097:HRZ131101 IBJ131097:IBV131101 ILF131097:ILR131101 IVB131097:IVN131101 JEX131097:JFJ131101 JOT131097:JPF131101 JYP131097:JZB131101 KIL131097:KIX131101 KSH131097:KST131101 LCD131097:LCP131101 LLZ131097:LML131101 LVV131097:LWH131101 MFR131097:MGD131101 MPN131097:MPZ131101 MZJ131097:MZV131101 NJF131097:NJR131101 NTB131097:NTN131101 OCX131097:ODJ131101 OMT131097:ONF131101 OWP131097:OXB131101 PGL131097:PGX131101 PQH131097:PQT131101 QAD131097:QAP131101 QJZ131097:QKL131101 QTV131097:QUH131101 RDR131097:RED131101 RNN131097:RNZ131101 RXJ131097:RXV131101 SHF131097:SHR131101 SRB131097:SRN131101 TAX131097:TBJ131101 TKT131097:TLF131101 TUP131097:TVB131101 UEL131097:UEX131101 UOH131097:UOT131101 UYD131097:UYP131101 VHZ131097:VIL131101 VRV131097:VSH131101 WBR131097:WCD131101 WLN131097:WLZ131101 WVJ131097:WVV131101 IX196633:JJ196637 ST196633:TF196637 ACP196633:ADB196637 AML196633:AMX196637 AWH196633:AWT196637 BGD196633:BGP196637 BPZ196633:BQL196637 BZV196633:CAH196637 CJR196633:CKD196637 CTN196633:CTZ196637 DDJ196633:DDV196637 DNF196633:DNR196637 DXB196633:DXN196637 EGX196633:EHJ196637 EQT196633:ERF196637 FAP196633:FBB196637 FKL196633:FKX196637 FUH196633:FUT196637 GED196633:GEP196637 GNZ196633:GOL196637 GXV196633:GYH196637 HHR196633:HID196637 HRN196633:HRZ196637 IBJ196633:IBV196637 ILF196633:ILR196637 IVB196633:IVN196637 JEX196633:JFJ196637 JOT196633:JPF196637 JYP196633:JZB196637 KIL196633:KIX196637 KSH196633:KST196637 LCD196633:LCP196637 LLZ196633:LML196637 LVV196633:LWH196637 MFR196633:MGD196637 MPN196633:MPZ196637 MZJ196633:MZV196637 NJF196633:NJR196637 NTB196633:NTN196637 OCX196633:ODJ196637 OMT196633:ONF196637 OWP196633:OXB196637 PGL196633:PGX196637 PQH196633:PQT196637 QAD196633:QAP196637 QJZ196633:QKL196637 QTV196633:QUH196637 RDR196633:RED196637 RNN196633:RNZ196637 RXJ196633:RXV196637 SHF196633:SHR196637 SRB196633:SRN196637 TAX196633:TBJ196637 TKT196633:TLF196637 TUP196633:TVB196637 UEL196633:UEX196637 UOH196633:UOT196637 UYD196633:UYP196637 VHZ196633:VIL196637 VRV196633:VSH196637 WBR196633:WCD196637 WLN196633:WLZ196637 WVJ196633:WVV196637 IX262169:JJ262173 ST262169:TF262173 ACP262169:ADB262173 AML262169:AMX262173 AWH262169:AWT262173 BGD262169:BGP262173 BPZ262169:BQL262173 BZV262169:CAH262173 CJR262169:CKD262173 CTN262169:CTZ262173 DDJ262169:DDV262173 DNF262169:DNR262173 DXB262169:DXN262173 EGX262169:EHJ262173 EQT262169:ERF262173 FAP262169:FBB262173 FKL262169:FKX262173 FUH262169:FUT262173 GED262169:GEP262173 GNZ262169:GOL262173 GXV262169:GYH262173 HHR262169:HID262173 HRN262169:HRZ262173 IBJ262169:IBV262173 ILF262169:ILR262173 IVB262169:IVN262173 JEX262169:JFJ262173 JOT262169:JPF262173 JYP262169:JZB262173 KIL262169:KIX262173 KSH262169:KST262173 LCD262169:LCP262173 LLZ262169:LML262173 LVV262169:LWH262173 MFR262169:MGD262173 MPN262169:MPZ262173 MZJ262169:MZV262173 NJF262169:NJR262173 NTB262169:NTN262173 OCX262169:ODJ262173 OMT262169:ONF262173 OWP262169:OXB262173 PGL262169:PGX262173 PQH262169:PQT262173 QAD262169:QAP262173 QJZ262169:QKL262173 QTV262169:QUH262173 RDR262169:RED262173 RNN262169:RNZ262173 RXJ262169:RXV262173 SHF262169:SHR262173 SRB262169:SRN262173 TAX262169:TBJ262173 TKT262169:TLF262173 TUP262169:TVB262173 UEL262169:UEX262173 UOH262169:UOT262173 UYD262169:UYP262173 VHZ262169:VIL262173 VRV262169:VSH262173 WBR262169:WCD262173 WLN262169:WLZ262173 WVJ262169:WVV262173 IX327705:JJ327709 ST327705:TF327709 ACP327705:ADB327709 AML327705:AMX327709 AWH327705:AWT327709 BGD327705:BGP327709 BPZ327705:BQL327709 BZV327705:CAH327709 CJR327705:CKD327709 CTN327705:CTZ327709 DDJ327705:DDV327709 DNF327705:DNR327709 DXB327705:DXN327709 EGX327705:EHJ327709 EQT327705:ERF327709 FAP327705:FBB327709 FKL327705:FKX327709 FUH327705:FUT327709 GED327705:GEP327709 GNZ327705:GOL327709 GXV327705:GYH327709 HHR327705:HID327709 HRN327705:HRZ327709 IBJ327705:IBV327709 ILF327705:ILR327709 IVB327705:IVN327709 JEX327705:JFJ327709 JOT327705:JPF327709 JYP327705:JZB327709 KIL327705:KIX327709 KSH327705:KST327709 LCD327705:LCP327709 LLZ327705:LML327709 LVV327705:LWH327709 MFR327705:MGD327709 MPN327705:MPZ327709 MZJ327705:MZV327709 NJF327705:NJR327709 NTB327705:NTN327709 OCX327705:ODJ327709 OMT327705:ONF327709 OWP327705:OXB327709 PGL327705:PGX327709 PQH327705:PQT327709 QAD327705:QAP327709 QJZ327705:QKL327709 QTV327705:QUH327709 RDR327705:RED327709 RNN327705:RNZ327709 RXJ327705:RXV327709 SHF327705:SHR327709 SRB327705:SRN327709 TAX327705:TBJ327709 TKT327705:TLF327709 TUP327705:TVB327709 UEL327705:UEX327709 UOH327705:UOT327709 UYD327705:UYP327709 VHZ327705:VIL327709 VRV327705:VSH327709 WBR327705:WCD327709 WLN327705:WLZ327709 WVJ327705:WVV327709 IX393241:JJ393245 ST393241:TF393245 ACP393241:ADB393245 AML393241:AMX393245 AWH393241:AWT393245 BGD393241:BGP393245 BPZ393241:BQL393245 BZV393241:CAH393245 CJR393241:CKD393245 CTN393241:CTZ393245 DDJ393241:DDV393245 DNF393241:DNR393245 DXB393241:DXN393245 EGX393241:EHJ393245 EQT393241:ERF393245 FAP393241:FBB393245 FKL393241:FKX393245 FUH393241:FUT393245 GED393241:GEP393245 GNZ393241:GOL393245 GXV393241:GYH393245 HHR393241:HID393245 HRN393241:HRZ393245 IBJ393241:IBV393245 ILF393241:ILR393245 IVB393241:IVN393245 JEX393241:JFJ393245 JOT393241:JPF393245 JYP393241:JZB393245 KIL393241:KIX393245 KSH393241:KST393245 LCD393241:LCP393245 LLZ393241:LML393245 LVV393241:LWH393245 MFR393241:MGD393245 MPN393241:MPZ393245 MZJ393241:MZV393245 NJF393241:NJR393245 NTB393241:NTN393245 OCX393241:ODJ393245 OMT393241:ONF393245 OWP393241:OXB393245 PGL393241:PGX393245 PQH393241:PQT393245 QAD393241:QAP393245 QJZ393241:QKL393245 QTV393241:QUH393245 RDR393241:RED393245 RNN393241:RNZ393245 RXJ393241:RXV393245 SHF393241:SHR393245 SRB393241:SRN393245 TAX393241:TBJ393245 TKT393241:TLF393245 TUP393241:TVB393245 UEL393241:UEX393245 UOH393241:UOT393245 UYD393241:UYP393245 VHZ393241:VIL393245 VRV393241:VSH393245 WBR393241:WCD393245 WLN393241:WLZ393245 WVJ393241:WVV393245 IX458777:JJ458781 ST458777:TF458781 ACP458777:ADB458781 AML458777:AMX458781 AWH458777:AWT458781 BGD458777:BGP458781 BPZ458777:BQL458781 BZV458777:CAH458781 CJR458777:CKD458781 CTN458777:CTZ458781 DDJ458777:DDV458781 DNF458777:DNR458781 DXB458777:DXN458781 EGX458777:EHJ458781 EQT458777:ERF458781 FAP458777:FBB458781 FKL458777:FKX458781 FUH458777:FUT458781 GED458777:GEP458781 GNZ458777:GOL458781 GXV458777:GYH458781 HHR458777:HID458781 HRN458777:HRZ458781 IBJ458777:IBV458781 ILF458777:ILR458781 IVB458777:IVN458781 JEX458777:JFJ458781 JOT458777:JPF458781 JYP458777:JZB458781 KIL458777:KIX458781 KSH458777:KST458781 LCD458777:LCP458781 LLZ458777:LML458781 LVV458777:LWH458781 MFR458777:MGD458781 MPN458777:MPZ458781 MZJ458777:MZV458781 NJF458777:NJR458781 NTB458777:NTN458781 OCX458777:ODJ458781 OMT458777:ONF458781 OWP458777:OXB458781 PGL458777:PGX458781 PQH458777:PQT458781 QAD458777:QAP458781 QJZ458777:QKL458781 QTV458777:QUH458781 RDR458777:RED458781 RNN458777:RNZ458781 RXJ458777:RXV458781 SHF458777:SHR458781 SRB458777:SRN458781 TAX458777:TBJ458781 TKT458777:TLF458781 TUP458777:TVB458781 UEL458777:UEX458781 UOH458777:UOT458781 UYD458777:UYP458781 VHZ458777:VIL458781 VRV458777:VSH458781 WBR458777:WCD458781 WLN458777:WLZ458781 WVJ458777:WVV458781 IX524313:JJ524317 ST524313:TF524317 ACP524313:ADB524317 AML524313:AMX524317 AWH524313:AWT524317 BGD524313:BGP524317 BPZ524313:BQL524317 BZV524313:CAH524317 CJR524313:CKD524317 CTN524313:CTZ524317 DDJ524313:DDV524317 DNF524313:DNR524317 DXB524313:DXN524317 EGX524313:EHJ524317 EQT524313:ERF524317 FAP524313:FBB524317 FKL524313:FKX524317 FUH524313:FUT524317 GED524313:GEP524317 GNZ524313:GOL524317 GXV524313:GYH524317 HHR524313:HID524317 HRN524313:HRZ524317 IBJ524313:IBV524317 ILF524313:ILR524317 IVB524313:IVN524317 JEX524313:JFJ524317 JOT524313:JPF524317 JYP524313:JZB524317 KIL524313:KIX524317 KSH524313:KST524317 LCD524313:LCP524317 LLZ524313:LML524317 LVV524313:LWH524317 MFR524313:MGD524317 MPN524313:MPZ524317 MZJ524313:MZV524317 NJF524313:NJR524317 NTB524313:NTN524317 OCX524313:ODJ524317 OMT524313:ONF524317 OWP524313:OXB524317 PGL524313:PGX524317 PQH524313:PQT524317 QAD524313:QAP524317 QJZ524313:QKL524317 QTV524313:QUH524317 RDR524313:RED524317 RNN524313:RNZ524317 RXJ524313:RXV524317 SHF524313:SHR524317 SRB524313:SRN524317 TAX524313:TBJ524317 TKT524313:TLF524317 TUP524313:TVB524317 UEL524313:UEX524317 UOH524313:UOT524317 UYD524313:UYP524317 VHZ524313:VIL524317 VRV524313:VSH524317 WBR524313:WCD524317 WLN524313:WLZ524317 WVJ524313:WVV524317 IX589849:JJ589853 ST589849:TF589853 ACP589849:ADB589853 AML589849:AMX589853 AWH589849:AWT589853 BGD589849:BGP589853 BPZ589849:BQL589853 BZV589849:CAH589853 CJR589849:CKD589853 CTN589849:CTZ589853 DDJ589849:DDV589853 DNF589849:DNR589853 DXB589849:DXN589853 EGX589849:EHJ589853 EQT589849:ERF589853 FAP589849:FBB589853 FKL589849:FKX589853 FUH589849:FUT589853 GED589849:GEP589853 GNZ589849:GOL589853 GXV589849:GYH589853 HHR589849:HID589853 HRN589849:HRZ589853 IBJ589849:IBV589853 ILF589849:ILR589853 IVB589849:IVN589853 JEX589849:JFJ589853 JOT589849:JPF589853 JYP589849:JZB589853 KIL589849:KIX589853 KSH589849:KST589853 LCD589849:LCP589853 LLZ589849:LML589853 LVV589849:LWH589853 MFR589849:MGD589853 MPN589849:MPZ589853 MZJ589849:MZV589853 NJF589849:NJR589853 NTB589849:NTN589853 OCX589849:ODJ589853 OMT589849:ONF589853 OWP589849:OXB589853 PGL589849:PGX589853 PQH589849:PQT589853 QAD589849:QAP589853 QJZ589849:QKL589853 QTV589849:QUH589853 RDR589849:RED589853 RNN589849:RNZ589853 RXJ589849:RXV589853 SHF589849:SHR589853 SRB589849:SRN589853 TAX589849:TBJ589853 TKT589849:TLF589853 TUP589849:TVB589853 UEL589849:UEX589853 UOH589849:UOT589853 UYD589849:UYP589853 VHZ589849:VIL589853 VRV589849:VSH589853 WBR589849:WCD589853 WLN589849:WLZ589853 WVJ589849:WVV589853 IX655385:JJ655389 ST655385:TF655389 ACP655385:ADB655389 AML655385:AMX655389 AWH655385:AWT655389 BGD655385:BGP655389 BPZ655385:BQL655389 BZV655385:CAH655389 CJR655385:CKD655389 CTN655385:CTZ655389 DDJ655385:DDV655389 DNF655385:DNR655389 DXB655385:DXN655389 EGX655385:EHJ655389 EQT655385:ERF655389 FAP655385:FBB655389 FKL655385:FKX655389 FUH655385:FUT655389 GED655385:GEP655389 GNZ655385:GOL655389 GXV655385:GYH655389 HHR655385:HID655389 HRN655385:HRZ655389 IBJ655385:IBV655389 ILF655385:ILR655389 IVB655385:IVN655389 JEX655385:JFJ655389 JOT655385:JPF655389 JYP655385:JZB655389 KIL655385:KIX655389 KSH655385:KST655389 LCD655385:LCP655389 LLZ655385:LML655389 LVV655385:LWH655389 MFR655385:MGD655389 MPN655385:MPZ655389 MZJ655385:MZV655389 NJF655385:NJR655389 NTB655385:NTN655389 OCX655385:ODJ655389 OMT655385:ONF655389 OWP655385:OXB655389 PGL655385:PGX655389 PQH655385:PQT655389 QAD655385:QAP655389 QJZ655385:QKL655389 QTV655385:QUH655389 RDR655385:RED655389 RNN655385:RNZ655389 RXJ655385:RXV655389 SHF655385:SHR655389 SRB655385:SRN655389 TAX655385:TBJ655389 TKT655385:TLF655389 TUP655385:TVB655389 UEL655385:UEX655389 UOH655385:UOT655389 UYD655385:UYP655389 VHZ655385:VIL655389 VRV655385:VSH655389 WBR655385:WCD655389 WLN655385:WLZ655389 WVJ655385:WVV655389 IX720921:JJ720925 ST720921:TF720925 ACP720921:ADB720925 AML720921:AMX720925 AWH720921:AWT720925 BGD720921:BGP720925 BPZ720921:BQL720925 BZV720921:CAH720925 CJR720921:CKD720925 CTN720921:CTZ720925 DDJ720921:DDV720925 DNF720921:DNR720925 DXB720921:DXN720925 EGX720921:EHJ720925 EQT720921:ERF720925 FAP720921:FBB720925 FKL720921:FKX720925 FUH720921:FUT720925 GED720921:GEP720925 GNZ720921:GOL720925 GXV720921:GYH720925 HHR720921:HID720925 HRN720921:HRZ720925 IBJ720921:IBV720925 ILF720921:ILR720925 IVB720921:IVN720925 JEX720921:JFJ720925 JOT720921:JPF720925 JYP720921:JZB720925 KIL720921:KIX720925 KSH720921:KST720925 LCD720921:LCP720925 LLZ720921:LML720925 LVV720921:LWH720925 MFR720921:MGD720925 MPN720921:MPZ720925 MZJ720921:MZV720925 NJF720921:NJR720925 NTB720921:NTN720925 OCX720921:ODJ720925 OMT720921:ONF720925 OWP720921:OXB720925 PGL720921:PGX720925 PQH720921:PQT720925 QAD720921:QAP720925 QJZ720921:QKL720925 QTV720921:QUH720925 RDR720921:RED720925 RNN720921:RNZ720925 RXJ720921:RXV720925 SHF720921:SHR720925 SRB720921:SRN720925 TAX720921:TBJ720925 TKT720921:TLF720925 TUP720921:TVB720925 UEL720921:UEX720925 UOH720921:UOT720925 UYD720921:UYP720925 VHZ720921:VIL720925 VRV720921:VSH720925 WBR720921:WCD720925 WLN720921:WLZ720925 WVJ720921:WVV720925 IX786457:JJ786461 ST786457:TF786461 ACP786457:ADB786461 AML786457:AMX786461 AWH786457:AWT786461 BGD786457:BGP786461 BPZ786457:BQL786461 BZV786457:CAH786461 CJR786457:CKD786461 CTN786457:CTZ786461 DDJ786457:DDV786461 DNF786457:DNR786461 DXB786457:DXN786461 EGX786457:EHJ786461 EQT786457:ERF786461 FAP786457:FBB786461 FKL786457:FKX786461 FUH786457:FUT786461 GED786457:GEP786461 GNZ786457:GOL786461 GXV786457:GYH786461 HHR786457:HID786461 HRN786457:HRZ786461 IBJ786457:IBV786461 ILF786457:ILR786461 IVB786457:IVN786461 JEX786457:JFJ786461 JOT786457:JPF786461 JYP786457:JZB786461 KIL786457:KIX786461 KSH786457:KST786461 LCD786457:LCP786461 LLZ786457:LML786461 LVV786457:LWH786461 MFR786457:MGD786461 MPN786457:MPZ786461 MZJ786457:MZV786461 NJF786457:NJR786461 NTB786457:NTN786461 OCX786457:ODJ786461 OMT786457:ONF786461 OWP786457:OXB786461 PGL786457:PGX786461 PQH786457:PQT786461 QAD786457:QAP786461 QJZ786457:QKL786461 QTV786457:QUH786461 RDR786457:RED786461 RNN786457:RNZ786461 RXJ786457:RXV786461 SHF786457:SHR786461 SRB786457:SRN786461 TAX786457:TBJ786461 TKT786457:TLF786461 TUP786457:TVB786461 UEL786457:UEX786461 UOH786457:UOT786461 UYD786457:UYP786461 VHZ786457:VIL786461 VRV786457:VSH786461 WBR786457:WCD786461 WLN786457:WLZ786461 WVJ786457:WVV786461 IX851993:JJ851997 ST851993:TF851997 ACP851993:ADB851997 AML851993:AMX851997 AWH851993:AWT851997 BGD851993:BGP851997 BPZ851993:BQL851997 BZV851993:CAH851997 CJR851993:CKD851997 CTN851993:CTZ851997 DDJ851993:DDV851997 DNF851993:DNR851997 DXB851993:DXN851997 EGX851993:EHJ851997 EQT851993:ERF851997 FAP851993:FBB851997 FKL851993:FKX851997 FUH851993:FUT851997 GED851993:GEP851997 GNZ851993:GOL851997 GXV851993:GYH851997 HHR851993:HID851997 HRN851993:HRZ851997 IBJ851993:IBV851997 ILF851993:ILR851997 IVB851993:IVN851997 JEX851993:JFJ851997 JOT851993:JPF851997 JYP851993:JZB851997 KIL851993:KIX851997 KSH851993:KST851997 LCD851993:LCP851997 LLZ851993:LML851997 LVV851993:LWH851997 MFR851993:MGD851997 MPN851993:MPZ851997 MZJ851993:MZV851997 NJF851993:NJR851997 NTB851993:NTN851997 OCX851993:ODJ851997 OMT851993:ONF851997 OWP851993:OXB851997 PGL851993:PGX851997 PQH851993:PQT851997 QAD851993:QAP851997 QJZ851993:QKL851997 QTV851993:QUH851997 RDR851993:RED851997 RNN851993:RNZ851997 RXJ851993:RXV851997 SHF851993:SHR851997 SRB851993:SRN851997 TAX851993:TBJ851997 TKT851993:TLF851997 TUP851993:TVB851997 UEL851993:UEX851997 UOH851993:UOT851997 UYD851993:UYP851997 VHZ851993:VIL851997 VRV851993:VSH851997 WBR851993:WCD851997 WLN851993:WLZ851997 WVJ851993:WVV851997 IX917529:JJ917533 ST917529:TF917533 ACP917529:ADB917533 AML917529:AMX917533 AWH917529:AWT917533 BGD917529:BGP917533 BPZ917529:BQL917533 BZV917529:CAH917533 CJR917529:CKD917533 CTN917529:CTZ917533 DDJ917529:DDV917533 DNF917529:DNR917533 DXB917529:DXN917533 EGX917529:EHJ917533 EQT917529:ERF917533 FAP917529:FBB917533 FKL917529:FKX917533 FUH917529:FUT917533 GED917529:GEP917533 GNZ917529:GOL917533 GXV917529:GYH917533 HHR917529:HID917533 HRN917529:HRZ917533 IBJ917529:IBV917533 ILF917529:ILR917533 IVB917529:IVN917533 JEX917529:JFJ917533 JOT917529:JPF917533 JYP917529:JZB917533 KIL917529:KIX917533 KSH917529:KST917533 LCD917529:LCP917533 LLZ917529:LML917533 LVV917529:LWH917533 MFR917529:MGD917533 MPN917529:MPZ917533 MZJ917529:MZV917533 NJF917529:NJR917533 NTB917529:NTN917533 OCX917529:ODJ917533 OMT917529:ONF917533 OWP917529:OXB917533 PGL917529:PGX917533 PQH917529:PQT917533 QAD917529:QAP917533 QJZ917529:QKL917533 QTV917529:QUH917533 RDR917529:RED917533 RNN917529:RNZ917533 RXJ917529:RXV917533 SHF917529:SHR917533 SRB917529:SRN917533 TAX917529:TBJ917533 TKT917529:TLF917533 TUP917529:TVB917533 UEL917529:UEX917533 UOH917529:UOT917533 UYD917529:UYP917533 VHZ917529:VIL917533 VRV917529:VSH917533 WBR917529:WCD917533 WLN917529:WLZ917533 WVJ917529:WVV917533 WVJ983065:WVV983069 IX983065:JJ983069 ST983065:TF983069 ACP983065:ADB983069 AML983065:AMX983069 AWH983065:AWT983069 BGD983065:BGP983069 BPZ983065:BQL983069 BZV983065:CAH983069 CJR983065:CKD983069 CTN983065:CTZ983069 DDJ983065:DDV983069 DNF983065:DNR983069 DXB983065:DXN983069 EGX983065:EHJ983069 EQT983065:ERF983069 FAP983065:FBB983069 FKL983065:FKX983069 FUH983065:FUT983069 GED983065:GEP983069 GNZ983065:GOL983069 GXV983065:GYH983069 HHR983065:HID983069 HRN983065:HRZ983069 IBJ983065:IBV983069 ILF983065:ILR983069 IVB983065:IVN983069 JEX983065:JFJ983069 JOT983065:JPF983069 JYP983065:JZB983069 KIL983065:KIX983069 KSH983065:KST983069 LCD983065:LCP983069 LLZ983065:LML983069 LVV983065:LWH983069 MFR983065:MGD983069 MPN983065:MPZ983069 MZJ983065:MZV983069 NJF983065:NJR983069 NTB983065:NTN983069 OCX983065:ODJ983069 OMT983065:ONF983069 OWP983065:OXB983069 PGL983065:PGX983069 PQH983065:PQT983069 QAD983065:QAP983069 QJZ983065:QKL983069 QTV983065:QUH983069 RDR983065:RED983069 RNN983065:RNZ983069 RXJ983065:RXV983069 SHF983065:SHR983069 SRB983065:SRN983069 TAX983065:TBJ983069 TKT983065:TLF983069 TUP983065:TVB983069 UEL983065:UEX983069 UOH983065:UOT983069 UYD983065:UYP983069 VHZ983065:VIL983069 VRV983065:VSH983069 WBR983065:WCD983069 WLN983065:WLZ983069 L983065:X983069 L65561:X65565 L131097:X131101 L196633:X196637 L262169:X262173 L327705:X327709 L393241:X393245 L458777:X458781 L524313:X524317 L589849:X589853 L655385:X655389 L720921:X720925 L786457:X786461 L851993:X851997 L917529:X917533"/>
    <dataValidation type="textLength" operator="lessThanOrEqual" allowBlank="1" showInputMessage="1" showErrorMessage="1" errorTitle="Ошибка" error="Допускается ввод не более 900 символов!" prompt="Укажите заявителя" sqref="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M23 IY23 WVK983063 M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M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M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M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M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M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M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M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M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M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M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M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M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M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M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SU23">
      <formula1>900</formula1>
    </dataValidation>
    <dataValidation type="decimal" allowBlank="1" showErrorMessage="1" errorTitle="Ошибка" error="Допускается ввод только неотрицательных чисел!" sqref="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P23 JB23 WVN983063 P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P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P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P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P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P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P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P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P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P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P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P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P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P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P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SX23">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Y23 AMU23 AWQ23 BGM23 BQI23 CAE23 CKA23 CTW23 DDS23 DNO23 DXK23 EHG23 ERC23 FAY23 FKU23 FUQ23 GEM23 GOI23 GYE23 HIA23 HRW23 IBS23 ILO23 IVK23 JFG23 JPC23 JYY23 KIU23 KSQ23 LCM23 LMI23 LWE23 MGA23 MPW23 MZS23 NJO23 NTK23 ODG23 ONC23 OWY23 PGU23 PQQ23 QAM23 QKI23 QUE23 REA23 RNW23 RXS23 SHO23 SRK23 TBG23 TLC23 TUY23 UEU23 UOQ23 UYM23 VII23 VSE23 WCA23 WLW23 WVS23 S23 JE23 TA23 U65559 JG65559 TC65559 ACY65559 AMU65559 AWQ65559 BGM65559 BQI65559 CAE65559 CKA65559 CTW65559 DDS65559 DNO65559 DXK65559 EHG65559 ERC65559 FAY65559 FKU65559 FUQ65559 GEM65559 GOI65559 GYE65559 HIA65559 HRW65559 IBS65559 ILO65559 IVK65559 JFG65559 JPC65559 JYY65559 KIU65559 KSQ65559 LCM65559 LMI65559 LWE65559 MGA65559 MPW65559 MZS65559 NJO65559 NTK65559 ODG65559 ONC65559 OWY65559 PGU65559 PQQ65559 QAM65559 QKI65559 QUE65559 REA65559 RNW65559 RXS65559 SHO65559 SRK65559 TBG65559 TLC65559 TUY65559 UEU65559 UOQ65559 UYM65559 VII65559 VSE65559 WCA65559 WLW65559 WVS65559 U131095 JG131095 TC131095 ACY131095 AMU131095 AWQ131095 BGM131095 BQI131095 CAE131095 CKA131095 CTW131095 DDS131095 DNO131095 DXK131095 EHG131095 ERC131095 FAY131095 FKU131095 FUQ131095 GEM131095 GOI131095 GYE131095 HIA131095 HRW131095 IBS131095 ILO131095 IVK131095 JFG131095 JPC131095 JYY131095 KIU131095 KSQ131095 LCM131095 LMI131095 LWE131095 MGA131095 MPW131095 MZS131095 NJO131095 NTK131095 ODG131095 ONC131095 OWY131095 PGU131095 PQQ131095 QAM131095 QKI131095 QUE131095 REA131095 RNW131095 RXS131095 SHO131095 SRK131095 TBG131095 TLC131095 TUY131095 UEU131095 UOQ131095 UYM131095 VII131095 VSE131095 WCA131095 WLW131095 WVS131095 U196631 JG196631 TC196631 ACY196631 AMU196631 AWQ196631 BGM196631 BQI196631 CAE196631 CKA196631 CTW196631 DDS196631 DNO196631 DXK196631 EHG196631 ERC196631 FAY196631 FKU196631 FUQ196631 GEM196631 GOI196631 GYE196631 HIA196631 HRW196631 IBS196631 ILO196631 IVK196631 JFG196631 JPC196631 JYY196631 KIU196631 KSQ196631 LCM196631 LMI196631 LWE196631 MGA196631 MPW196631 MZS196631 NJO196631 NTK196631 ODG196631 ONC196631 OWY196631 PGU196631 PQQ196631 QAM196631 QKI196631 QUE196631 REA196631 RNW196631 RXS196631 SHO196631 SRK196631 TBG196631 TLC196631 TUY196631 UEU196631 UOQ196631 UYM196631 VII196631 VSE196631 WCA196631 WLW196631 WVS196631 U262167 JG262167 TC262167 ACY262167 AMU262167 AWQ262167 BGM262167 BQI262167 CAE262167 CKA262167 CTW262167 DDS262167 DNO262167 DXK262167 EHG262167 ERC262167 FAY262167 FKU262167 FUQ262167 GEM262167 GOI262167 GYE262167 HIA262167 HRW262167 IBS262167 ILO262167 IVK262167 JFG262167 JPC262167 JYY262167 KIU262167 KSQ262167 LCM262167 LMI262167 LWE262167 MGA262167 MPW262167 MZS262167 NJO262167 NTK262167 ODG262167 ONC262167 OWY262167 PGU262167 PQQ262167 QAM262167 QKI262167 QUE262167 REA262167 RNW262167 RXS262167 SHO262167 SRK262167 TBG262167 TLC262167 TUY262167 UEU262167 UOQ262167 UYM262167 VII262167 VSE262167 WCA262167 WLW262167 WVS262167 U327703 JG327703 TC327703 ACY327703 AMU327703 AWQ327703 BGM327703 BQI327703 CAE327703 CKA327703 CTW327703 DDS327703 DNO327703 DXK327703 EHG327703 ERC327703 FAY327703 FKU327703 FUQ327703 GEM327703 GOI327703 GYE327703 HIA327703 HRW327703 IBS327703 ILO327703 IVK327703 JFG327703 JPC327703 JYY327703 KIU327703 KSQ327703 LCM327703 LMI327703 LWE327703 MGA327703 MPW327703 MZS327703 NJO327703 NTK327703 ODG327703 ONC327703 OWY327703 PGU327703 PQQ327703 QAM327703 QKI327703 QUE327703 REA327703 RNW327703 RXS327703 SHO327703 SRK327703 TBG327703 TLC327703 TUY327703 UEU327703 UOQ327703 UYM327703 VII327703 VSE327703 WCA327703 WLW327703 WVS327703 U393239 JG393239 TC393239 ACY393239 AMU393239 AWQ393239 BGM393239 BQI393239 CAE393239 CKA393239 CTW393239 DDS393239 DNO393239 DXK393239 EHG393239 ERC393239 FAY393239 FKU393239 FUQ393239 GEM393239 GOI393239 GYE393239 HIA393239 HRW393239 IBS393239 ILO393239 IVK393239 JFG393239 JPC393239 JYY393239 KIU393239 KSQ393239 LCM393239 LMI393239 LWE393239 MGA393239 MPW393239 MZS393239 NJO393239 NTK393239 ODG393239 ONC393239 OWY393239 PGU393239 PQQ393239 QAM393239 QKI393239 QUE393239 REA393239 RNW393239 RXS393239 SHO393239 SRK393239 TBG393239 TLC393239 TUY393239 UEU393239 UOQ393239 UYM393239 VII393239 VSE393239 WCA393239 WLW393239 WVS393239 U458775 JG458775 TC458775 ACY458775 AMU458775 AWQ458775 BGM458775 BQI458775 CAE458775 CKA458775 CTW458775 DDS458775 DNO458775 DXK458775 EHG458775 ERC458775 FAY458775 FKU458775 FUQ458775 GEM458775 GOI458775 GYE458775 HIA458775 HRW458775 IBS458775 ILO458775 IVK458775 JFG458775 JPC458775 JYY458775 KIU458775 KSQ458775 LCM458775 LMI458775 LWE458775 MGA458775 MPW458775 MZS458775 NJO458775 NTK458775 ODG458775 ONC458775 OWY458775 PGU458775 PQQ458775 QAM458775 QKI458775 QUE458775 REA458775 RNW458775 RXS458775 SHO458775 SRK458775 TBG458775 TLC458775 TUY458775 UEU458775 UOQ458775 UYM458775 VII458775 VSE458775 WCA458775 WLW458775 WVS458775 U524311 JG524311 TC524311 ACY524311 AMU524311 AWQ524311 BGM524311 BQI524311 CAE524311 CKA524311 CTW524311 DDS524311 DNO524311 DXK524311 EHG524311 ERC524311 FAY524311 FKU524311 FUQ524311 GEM524311 GOI524311 GYE524311 HIA524311 HRW524311 IBS524311 ILO524311 IVK524311 JFG524311 JPC524311 JYY524311 KIU524311 KSQ524311 LCM524311 LMI524311 LWE524311 MGA524311 MPW524311 MZS524311 NJO524311 NTK524311 ODG524311 ONC524311 OWY524311 PGU524311 PQQ524311 QAM524311 QKI524311 QUE524311 REA524311 RNW524311 RXS524311 SHO524311 SRK524311 TBG524311 TLC524311 TUY524311 UEU524311 UOQ524311 UYM524311 VII524311 VSE524311 WCA524311 WLW524311 WVS524311 U589847 JG589847 TC589847 ACY589847 AMU589847 AWQ589847 BGM589847 BQI589847 CAE589847 CKA589847 CTW589847 DDS589847 DNO589847 DXK589847 EHG589847 ERC589847 FAY589847 FKU589847 FUQ589847 GEM589847 GOI589847 GYE589847 HIA589847 HRW589847 IBS589847 ILO589847 IVK589847 JFG589847 JPC589847 JYY589847 KIU589847 KSQ589847 LCM589847 LMI589847 LWE589847 MGA589847 MPW589847 MZS589847 NJO589847 NTK589847 ODG589847 ONC589847 OWY589847 PGU589847 PQQ589847 QAM589847 QKI589847 QUE589847 REA589847 RNW589847 RXS589847 SHO589847 SRK589847 TBG589847 TLC589847 TUY589847 UEU589847 UOQ589847 UYM589847 VII589847 VSE589847 WCA589847 WLW589847 WVS589847 U655383 JG655383 TC655383 ACY655383 AMU655383 AWQ655383 BGM655383 BQI655383 CAE655383 CKA655383 CTW655383 DDS655383 DNO655383 DXK655383 EHG655383 ERC655383 FAY655383 FKU655383 FUQ655383 GEM655383 GOI655383 GYE655383 HIA655383 HRW655383 IBS655383 ILO655383 IVK655383 JFG655383 JPC655383 JYY655383 KIU655383 KSQ655383 LCM655383 LMI655383 LWE655383 MGA655383 MPW655383 MZS655383 NJO655383 NTK655383 ODG655383 ONC655383 OWY655383 PGU655383 PQQ655383 QAM655383 QKI655383 QUE655383 REA655383 RNW655383 RXS655383 SHO655383 SRK655383 TBG655383 TLC655383 TUY655383 UEU655383 UOQ655383 UYM655383 VII655383 VSE655383 WCA655383 WLW655383 WVS655383 U720919 JG720919 TC720919 ACY720919 AMU720919 AWQ720919 BGM720919 BQI720919 CAE720919 CKA720919 CTW720919 DDS720919 DNO720919 DXK720919 EHG720919 ERC720919 FAY720919 FKU720919 FUQ720919 GEM720919 GOI720919 GYE720919 HIA720919 HRW720919 IBS720919 ILO720919 IVK720919 JFG720919 JPC720919 JYY720919 KIU720919 KSQ720919 LCM720919 LMI720919 LWE720919 MGA720919 MPW720919 MZS720919 NJO720919 NTK720919 ODG720919 ONC720919 OWY720919 PGU720919 PQQ720919 QAM720919 QKI720919 QUE720919 REA720919 RNW720919 RXS720919 SHO720919 SRK720919 TBG720919 TLC720919 TUY720919 UEU720919 UOQ720919 UYM720919 VII720919 VSE720919 WCA720919 WLW720919 WVS720919 U786455 JG786455 TC786455 ACY786455 AMU786455 AWQ786455 BGM786455 BQI786455 CAE786455 CKA786455 CTW786455 DDS786455 DNO786455 DXK786455 EHG786455 ERC786455 FAY786455 FKU786455 FUQ786455 GEM786455 GOI786455 GYE786455 HIA786455 HRW786455 IBS786455 ILO786455 IVK786455 JFG786455 JPC786455 JYY786455 KIU786455 KSQ786455 LCM786455 LMI786455 LWE786455 MGA786455 MPW786455 MZS786455 NJO786455 NTK786455 ODG786455 ONC786455 OWY786455 PGU786455 PQQ786455 QAM786455 QKI786455 QUE786455 REA786455 RNW786455 RXS786455 SHO786455 SRK786455 TBG786455 TLC786455 TUY786455 UEU786455 UOQ786455 UYM786455 VII786455 VSE786455 WCA786455 WLW786455 WVS786455 U851991 JG851991 TC851991 ACY851991 AMU851991 AWQ851991 BGM851991 BQI851991 CAE851991 CKA851991 CTW851991 DDS851991 DNO851991 DXK851991 EHG851991 ERC851991 FAY851991 FKU851991 FUQ851991 GEM851991 GOI851991 GYE851991 HIA851991 HRW851991 IBS851991 ILO851991 IVK851991 JFG851991 JPC851991 JYY851991 KIU851991 KSQ851991 LCM851991 LMI851991 LWE851991 MGA851991 MPW851991 MZS851991 NJO851991 NTK851991 ODG851991 ONC851991 OWY851991 PGU851991 PQQ851991 QAM851991 QKI851991 QUE851991 REA851991 RNW851991 RXS851991 SHO851991 SRK851991 TBG851991 TLC851991 TUY851991 UEU851991 UOQ851991 UYM851991 VII851991 VSE851991 WCA851991 WLW851991 WVS851991 U917527 JG917527 TC917527 ACY917527 AMU917527 AWQ917527 BGM917527 BQI917527 CAE917527 CKA917527 CTW917527 DDS917527 DNO917527 DXK917527 EHG917527 ERC917527 FAY917527 FKU917527 FUQ917527 GEM917527 GOI917527 GYE917527 HIA917527 HRW917527 IBS917527 ILO917527 IVK917527 JFG917527 JPC917527 JYY917527 KIU917527 KSQ917527 LCM917527 LMI917527 LWE917527 MGA917527 MPW917527 MZS917527 NJO917527 NTK917527 ODG917527 ONC917527 OWY917527 PGU917527 PQQ917527 QAM917527 QKI917527 QUE917527 REA917527 RNW917527 RXS917527 SHO917527 SRK917527 TBG917527 TLC917527 TUY917527 UEU917527 UOQ917527 UYM917527 VII917527 VSE917527 WCA917527 WLW917527 WVS917527 U983063 JG983063 TC983063 ACY983063 AMU983063 AWQ983063 BGM983063 BQI983063 CAE983063 CKA983063 CTW983063 DDS983063 DNO983063 DXK983063 EHG983063 ERC983063 FAY983063 FKU983063 FUQ983063 GEM983063 GOI983063 GYE983063 HIA983063 HRW983063 IBS983063 ILO983063 IVK983063 JFG983063 JPC983063 JYY983063 KIU983063 KSQ983063 LCM983063 LMI983063 LWE983063 MGA983063 MPW983063 MZS983063 NJO983063 NTK983063 ODG983063 ONC983063 OWY983063 PGU983063 PQQ983063 QAM983063 QKI983063 QUE983063 REA983063 RNW983063 RXS983063 SHO983063 SRK983063 TBG983063 TLC983063 TUY983063 UEU983063 UOQ983063 UYM983063 VII983063 VSE983063 WCA983063 WLW983063 WVS98306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JG23 WVQ983063 S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S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S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S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S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S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S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S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S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S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S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S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S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S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S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TC23"/>
    <dataValidation type="decimal" allowBlank="1" showErrorMessage="1" errorTitle="Ошибка" error="Допускается ввод только действительных чисел!" sqref="ACU23:ACV23 AMQ23:AMR23 AWM23:AWN23 BGI23:BGJ23 BQE23:BQF23 CAA23:CAB23 CJW23:CJX23 CTS23:CTT23 DDO23:DDP23 DNK23:DNL23 DXG23:DXH23 EHC23:EHD23 EQY23:EQZ23 FAU23:FAV23 FKQ23:FKR23 FUM23:FUN23 GEI23:GEJ23 GOE23:GOF23 GYA23:GYB23 HHW23:HHX23 HRS23:HRT23 IBO23:IBP23 ILK23:ILL23 IVG23:IVH23 JFC23:JFD23 JOY23:JOZ23 JYU23:JYV23 KIQ23:KIR23 KSM23:KSN23 LCI23:LCJ23 LME23:LMF23 LWA23:LWB23 MFW23:MFX23 MPS23:MPT23 MZO23:MZP23 NJK23:NJL23 NTG23:NTH23 ODC23:ODD23 OMY23:OMZ23 OWU23:OWV23 PGQ23:PGR23 PQM23:PQN23 QAI23:QAJ23 QKE23:QKF23 QUA23:QUB23 RDW23:RDX23 RNS23:RNT23 RXO23:RXP23 SHK23:SHL23 SRG23:SRH23 TBC23:TBD23 TKY23:TKZ23 TUU23:TUV23 UEQ23:UER23 UOM23:UON23 UYI23:UYJ23 VIE23:VIF23 VSA23:VSB23 WBW23:WBX23 WLS23:WLT23 WVO23:WVP23 Q23:R23 JC23:JD23 WVO983063:WVP983063 Q65559:R65559 JC65559:JD65559 SY65559:SZ65559 ACU65559:ACV65559 AMQ65559:AMR65559 AWM65559:AWN65559 BGI65559:BGJ65559 BQE65559:BQF65559 CAA65559:CAB65559 CJW65559:CJX65559 CTS65559:CTT65559 DDO65559:DDP65559 DNK65559:DNL65559 DXG65559:DXH65559 EHC65559:EHD65559 EQY65559:EQZ65559 FAU65559:FAV65559 FKQ65559:FKR65559 FUM65559:FUN65559 GEI65559:GEJ65559 GOE65559:GOF65559 GYA65559:GYB65559 HHW65559:HHX65559 HRS65559:HRT65559 IBO65559:IBP65559 ILK65559:ILL65559 IVG65559:IVH65559 JFC65559:JFD65559 JOY65559:JOZ65559 JYU65559:JYV65559 KIQ65559:KIR65559 KSM65559:KSN65559 LCI65559:LCJ65559 LME65559:LMF65559 LWA65559:LWB65559 MFW65559:MFX65559 MPS65559:MPT65559 MZO65559:MZP65559 NJK65559:NJL65559 NTG65559:NTH65559 ODC65559:ODD65559 OMY65559:OMZ65559 OWU65559:OWV65559 PGQ65559:PGR65559 PQM65559:PQN65559 QAI65559:QAJ65559 QKE65559:QKF65559 QUA65559:QUB65559 RDW65559:RDX65559 RNS65559:RNT65559 RXO65559:RXP65559 SHK65559:SHL65559 SRG65559:SRH65559 TBC65559:TBD65559 TKY65559:TKZ65559 TUU65559:TUV65559 UEQ65559:UER65559 UOM65559:UON65559 UYI65559:UYJ65559 VIE65559:VIF65559 VSA65559:VSB65559 WBW65559:WBX65559 WLS65559:WLT65559 WVO65559:WVP65559 Q131095:R131095 JC131095:JD131095 SY131095:SZ131095 ACU131095:ACV131095 AMQ131095:AMR131095 AWM131095:AWN131095 BGI131095:BGJ131095 BQE131095:BQF131095 CAA131095:CAB131095 CJW131095:CJX131095 CTS131095:CTT131095 DDO131095:DDP131095 DNK131095:DNL131095 DXG131095:DXH131095 EHC131095:EHD131095 EQY131095:EQZ131095 FAU131095:FAV131095 FKQ131095:FKR131095 FUM131095:FUN131095 GEI131095:GEJ131095 GOE131095:GOF131095 GYA131095:GYB131095 HHW131095:HHX131095 HRS131095:HRT131095 IBO131095:IBP131095 ILK131095:ILL131095 IVG131095:IVH131095 JFC131095:JFD131095 JOY131095:JOZ131095 JYU131095:JYV131095 KIQ131095:KIR131095 KSM131095:KSN131095 LCI131095:LCJ131095 LME131095:LMF131095 LWA131095:LWB131095 MFW131095:MFX131095 MPS131095:MPT131095 MZO131095:MZP131095 NJK131095:NJL131095 NTG131095:NTH131095 ODC131095:ODD131095 OMY131095:OMZ131095 OWU131095:OWV131095 PGQ131095:PGR131095 PQM131095:PQN131095 QAI131095:QAJ131095 QKE131095:QKF131095 QUA131095:QUB131095 RDW131095:RDX131095 RNS131095:RNT131095 RXO131095:RXP131095 SHK131095:SHL131095 SRG131095:SRH131095 TBC131095:TBD131095 TKY131095:TKZ131095 TUU131095:TUV131095 UEQ131095:UER131095 UOM131095:UON131095 UYI131095:UYJ131095 VIE131095:VIF131095 VSA131095:VSB131095 WBW131095:WBX131095 WLS131095:WLT131095 WVO131095:WVP131095 Q196631:R196631 JC196631:JD196631 SY196631:SZ196631 ACU196631:ACV196631 AMQ196631:AMR196631 AWM196631:AWN196631 BGI196631:BGJ196631 BQE196631:BQF196631 CAA196631:CAB196631 CJW196631:CJX196631 CTS196631:CTT196631 DDO196631:DDP196631 DNK196631:DNL196631 DXG196631:DXH196631 EHC196631:EHD196631 EQY196631:EQZ196631 FAU196631:FAV196631 FKQ196631:FKR196631 FUM196631:FUN196631 GEI196631:GEJ196631 GOE196631:GOF196631 GYA196631:GYB196631 HHW196631:HHX196631 HRS196631:HRT196631 IBO196631:IBP196631 ILK196631:ILL196631 IVG196631:IVH196631 JFC196631:JFD196631 JOY196631:JOZ196631 JYU196631:JYV196631 KIQ196631:KIR196631 KSM196631:KSN196631 LCI196631:LCJ196631 LME196631:LMF196631 LWA196631:LWB196631 MFW196631:MFX196631 MPS196631:MPT196631 MZO196631:MZP196631 NJK196631:NJL196631 NTG196631:NTH196631 ODC196631:ODD196631 OMY196631:OMZ196631 OWU196631:OWV196631 PGQ196631:PGR196631 PQM196631:PQN196631 QAI196631:QAJ196631 QKE196631:QKF196631 QUA196631:QUB196631 RDW196631:RDX196631 RNS196631:RNT196631 RXO196631:RXP196631 SHK196631:SHL196631 SRG196631:SRH196631 TBC196631:TBD196631 TKY196631:TKZ196631 TUU196631:TUV196631 UEQ196631:UER196631 UOM196631:UON196631 UYI196631:UYJ196631 VIE196631:VIF196631 VSA196631:VSB196631 WBW196631:WBX196631 WLS196631:WLT196631 WVO196631:WVP196631 Q262167:R262167 JC262167:JD262167 SY262167:SZ262167 ACU262167:ACV262167 AMQ262167:AMR262167 AWM262167:AWN262167 BGI262167:BGJ262167 BQE262167:BQF262167 CAA262167:CAB262167 CJW262167:CJX262167 CTS262167:CTT262167 DDO262167:DDP262167 DNK262167:DNL262167 DXG262167:DXH262167 EHC262167:EHD262167 EQY262167:EQZ262167 FAU262167:FAV262167 FKQ262167:FKR262167 FUM262167:FUN262167 GEI262167:GEJ262167 GOE262167:GOF262167 GYA262167:GYB262167 HHW262167:HHX262167 HRS262167:HRT262167 IBO262167:IBP262167 ILK262167:ILL262167 IVG262167:IVH262167 JFC262167:JFD262167 JOY262167:JOZ262167 JYU262167:JYV262167 KIQ262167:KIR262167 KSM262167:KSN262167 LCI262167:LCJ262167 LME262167:LMF262167 LWA262167:LWB262167 MFW262167:MFX262167 MPS262167:MPT262167 MZO262167:MZP262167 NJK262167:NJL262167 NTG262167:NTH262167 ODC262167:ODD262167 OMY262167:OMZ262167 OWU262167:OWV262167 PGQ262167:PGR262167 PQM262167:PQN262167 QAI262167:QAJ262167 QKE262167:QKF262167 QUA262167:QUB262167 RDW262167:RDX262167 RNS262167:RNT262167 RXO262167:RXP262167 SHK262167:SHL262167 SRG262167:SRH262167 TBC262167:TBD262167 TKY262167:TKZ262167 TUU262167:TUV262167 UEQ262167:UER262167 UOM262167:UON262167 UYI262167:UYJ262167 VIE262167:VIF262167 VSA262167:VSB262167 WBW262167:WBX262167 WLS262167:WLT262167 WVO262167:WVP262167 Q327703:R327703 JC327703:JD327703 SY327703:SZ327703 ACU327703:ACV327703 AMQ327703:AMR327703 AWM327703:AWN327703 BGI327703:BGJ327703 BQE327703:BQF327703 CAA327703:CAB327703 CJW327703:CJX327703 CTS327703:CTT327703 DDO327703:DDP327703 DNK327703:DNL327703 DXG327703:DXH327703 EHC327703:EHD327703 EQY327703:EQZ327703 FAU327703:FAV327703 FKQ327703:FKR327703 FUM327703:FUN327703 GEI327703:GEJ327703 GOE327703:GOF327703 GYA327703:GYB327703 HHW327703:HHX327703 HRS327703:HRT327703 IBO327703:IBP327703 ILK327703:ILL327703 IVG327703:IVH327703 JFC327703:JFD327703 JOY327703:JOZ327703 JYU327703:JYV327703 KIQ327703:KIR327703 KSM327703:KSN327703 LCI327703:LCJ327703 LME327703:LMF327703 LWA327703:LWB327703 MFW327703:MFX327703 MPS327703:MPT327703 MZO327703:MZP327703 NJK327703:NJL327703 NTG327703:NTH327703 ODC327703:ODD327703 OMY327703:OMZ327703 OWU327703:OWV327703 PGQ327703:PGR327703 PQM327703:PQN327703 QAI327703:QAJ327703 QKE327703:QKF327703 QUA327703:QUB327703 RDW327703:RDX327703 RNS327703:RNT327703 RXO327703:RXP327703 SHK327703:SHL327703 SRG327703:SRH327703 TBC327703:TBD327703 TKY327703:TKZ327703 TUU327703:TUV327703 UEQ327703:UER327703 UOM327703:UON327703 UYI327703:UYJ327703 VIE327703:VIF327703 VSA327703:VSB327703 WBW327703:WBX327703 WLS327703:WLT327703 WVO327703:WVP327703 Q393239:R393239 JC393239:JD393239 SY393239:SZ393239 ACU393239:ACV393239 AMQ393239:AMR393239 AWM393239:AWN393239 BGI393239:BGJ393239 BQE393239:BQF393239 CAA393239:CAB393239 CJW393239:CJX393239 CTS393239:CTT393239 DDO393239:DDP393239 DNK393239:DNL393239 DXG393239:DXH393239 EHC393239:EHD393239 EQY393239:EQZ393239 FAU393239:FAV393239 FKQ393239:FKR393239 FUM393239:FUN393239 GEI393239:GEJ393239 GOE393239:GOF393239 GYA393239:GYB393239 HHW393239:HHX393239 HRS393239:HRT393239 IBO393239:IBP393239 ILK393239:ILL393239 IVG393239:IVH393239 JFC393239:JFD393239 JOY393239:JOZ393239 JYU393239:JYV393239 KIQ393239:KIR393239 KSM393239:KSN393239 LCI393239:LCJ393239 LME393239:LMF393239 LWA393239:LWB393239 MFW393239:MFX393239 MPS393239:MPT393239 MZO393239:MZP393239 NJK393239:NJL393239 NTG393239:NTH393239 ODC393239:ODD393239 OMY393239:OMZ393239 OWU393239:OWV393239 PGQ393239:PGR393239 PQM393239:PQN393239 QAI393239:QAJ393239 QKE393239:QKF393239 QUA393239:QUB393239 RDW393239:RDX393239 RNS393239:RNT393239 RXO393239:RXP393239 SHK393239:SHL393239 SRG393239:SRH393239 TBC393239:TBD393239 TKY393239:TKZ393239 TUU393239:TUV393239 UEQ393239:UER393239 UOM393239:UON393239 UYI393239:UYJ393239 VIE393239:VIF393239 VSA393239:VSB393239 WBW393239:WBX393239 WLS393239:WLT393239 WVO393239:WVP393239 Q458775:R458775 JC458775:JD458775 SY458775:SZ458775 ACU458775:ACV458775 AMQ458775:AMR458775 AWM458775:AWN458775 BGI458775:BGJ458775 BQE458775:BQF458775 CAA458775:CAB458775 CJW458775:CJX458775 CTS458775:CTT458775 DDO458775:DDP458775 DNK458775:DNL458775 DXG458775:DXH458775 EHC458775:EHD458775 EQY458775:EQZ458775 FAU458775:FAV458775 FKQ458775:FKR458775 FUM458775:FUN458775 GEI458775:GEJ458775 GOE458775:GOF458775 GYA458775:GYB458775 HHW458775:HHX458775 HRS458775:HRT458775 IBO458775:IBP458775 ILK458775:ILL458775 IVG458775:IVH458775 JFC458775:JFD458775 JOY458775:JOZ458775 JYU458775:JYV458775 KIQ458775:KIR458775 KSM458775:KSN458775 LCI458775:LCJ458775 LME458775:LMF458775 LWA458775:LWB458775 MFW458775:MFX458775 MPS458775:MPT458775 MZO458775:MZP458775 NJK458775:NJL458775 NTG458775:NTH458775 ODC458775:ODD458775 OMY458775:OMZ458775 OWU458775:OWV458775 PGQ458775:PGR458775 PQM458775:PQN458775 QAI458775:QAJ458775 QKE458775:QKF458775 QUA458775:QUB458775 RDW458775:RDX458775 RNS458775:RNT458775 RXO458775:RXP458775 SHK458775:SHL458775 SRG458775:SRH458775 TBC458775:TBD458775 TKY458775:TKZ458775 TUU458775:TUV458775 UEQ458775:UER458775 UOM458775:UON458775 UYI458775:UYJ458775 VIE458775:VIF458775 VSA458775:VSB458775 WBW458775:WBX458775 WLS458775:WLT458775 WVO458775:WVP458775 Q524311:R524311 JC524311:JD524311 SY524311:SZ524311 ACU524311:ACV524311 AMQ524311:AMR524311 AWM524311:AWN524311 BGI524311:BGJ524311 BQE524311:BQF524311 CAA524311:CAB524311 CJW524311:CJX524311 CTS524311:CTT524311 DDO524311:DDP524311 DNK524311:DNL524311 DXG524311:DXH524311 EHC524311:EHD524311 EQY524311:EQZ524311 FAU524311:FAV524311 FKQ524311:FKR524311 FUM524311:FUN524311 GEI524311:GEJ524311 GOE524311:GOF524311 GYA524311:GYB524311 HHW524311:HHX524311 HRS524311:HRT524311 IBO524311:IBP524311 ILK524311:ILL524311 IVG524311:IVH524311 JFC524311:JFD524311 JOY524311:JOZ524311 JYU524311:JYV524311 KIQ524311:KIR524311 KSM524311:KSN524311 LCI524311:LCJ524311 LME524311:LMF524311 LWA524311:LWB524311 MFW524311:MFX524311 MPS524311:MPT524311 MZO524311:MZP524311 NJK524311:NJL524311 NTG524311:NTH524311 ODC524311:ODD524311 OMY524311:OMZ524311 OWU524311:OWV524311 PGQ524311:PGR524311 PQM524311:PQN524311 QAI524311:QAJ524311 QKE524311:QKF524311 QUA524311:QUB524311 RDW524311:RDX524311 RNS524311:RNT524311 RXO524311:RXP524311 SHK524311:SHL524311 SRG524311:SRH524311 TBC524311:TBD524311 TKY524311:TKZ524311 TUU524311:TUV524311 UEQ524311:UER524311 UOM524311:UON524311 UYI524311:UYJ524311 VIE524311:VIF524311 VSA524311:VSB524311 WBW524311:WBX524311 WLS524311:WLT524311 WVO524311:WVP524311 Q589847:R589847 JC589847:JD589847 SY589847:SZ589847 ACU589847:ACV589847 AMQ589847:AMR589847 AWM589847:AWN589847 BGI589847:BGJ589847 BQE589847:BQF589847 CAA589847:CAB589847 CJW589847:CJX589847 CTS589847:CTT589847 DDO589847:DDP589847 DNK589847:DNL589847 DXG589847:DXH589847 EHC589847:EHD589847 EQY589847:EQZ589847 FAU589847:FAV589847 FKQ589847:FKR589847 FUM589847:FUN589847 GEI589847:GEJ589847 GOE589847:GOF589847 GYA589847:GYB589847 HHW589847:HHX589847 HRS589847:HRT589847 IBO589847:IBP589847 ILK589847:ILL589847 IVG589847:IVH589847 JFC589847:JFD589847 JOY589847:JOZ589847 JYU589847:JYV589847 KIQ589847:KIR589847 KSM589847:KSN589847 LCI589847:LCJ589847 LME589847:LMF589847 LWA589847:LWB589847 MFW589847:MFX589847 MPS589847:MPT589847 MZO589847:MZP589847 NJK589847:NJL589847 NTG589847:NTH589847 ODC589847:ODD589847 OMY589847:OMZ589847 OWU589847:OWV589847 PGQ589847:PGR589847 PQM589847:PQN589847 QAI589847:QAJ589847 QKE589847:QKF589847 QUA589847:QUB589847 RDW589847:RDX589847 RNS589847:RNT589847 RXO589847:RXP589847 SHK589847:SHL589847 SRG589847:SRH589847 TBC589847:TBD589847 TKY589847:TKZ589847 TUU589847:TUV589847 UEQ589847:UER589847 UOM589847:UON589847 UYI589847:UYJ589847 VIE589847:VIF589847 VSA589847:VSB589847 WBW589847:WBX589847 WLS589847:WLT589847 WVO589847:WVP589847 Q655383:R655383 JC655383:JD655383 SY655383:SZ655383 ACU655383:ACV655383 AMQ655383:AMR655383 AWM655383:AWN655383 BGI655383:BGJ655383 BQE655383:BQF655383 CAA655383:CAB655383 CJW655383:CJX655383 CTS655383:CTT655383 DDO655383:DDP655383 DNK655383:DNL655383 DXG655383:DXH655383 EHC655383:EHD655383 EQY655383:EQZ655383 FAU655383:FAV655383 FKQ655383:FKR655383 FUM655383:FUN655383 GEI655383:GEJ655383 GOE655383:GOF655383 GYA655383:GYB655383 HHW655383:HHX655383 HRS655383:HRT655383 IBO655383:IBP655383 ILK655383:ILL655383 IVG655383:IVH655383 JFC655383:JFD655383 JOY655383:JOZ655383 JYU655383:JYV655383 KIQ655383:KIR655383 KSM655383:KSN655383 LCI655383:LCJ655383 LME655383:LMF655383 LWA655383:LWB655383 MFW655383:MFX655383 MPS655383:MPT655383 MZO655383:MZP655383 NJK655383:NJL655383 NTG655383:NTH655383 ODC655383:ODD655383 OMY655383:OMZ655383 OWU655383:OWV655383 PGQ655383:PGR655383 PQM655383:PQN655383 QAI655383:QAJ655383 QKE655383:QKF655383 QUA655383:QUB655383 RDW655383:RDX655383 RNS655383:RNT655383 RXO655383:RXP655383 SHK655383:SHL655383 SRG655383:SRH655383 TBC655383:TBD655383 TKY655383:TKZ655383 TUU655383:TUV655383 UEQ655383:UER655383 UOM655383:UON655383 UYI655383:UYJ655383 VIE655383:VIF655383 VSA655383:VSB655383 WBW655383:WBX655383 WLS655383:WLT655383 WVO655383:WVP655383 Q720919:R720919 JC720919:JD720919 SY720919:SZ720919 ACU720919:ACV720919 AMQ720919:AMR720919 AWM720919:AWN720919 BGI720919:BGJ720919 BQE720919:BQF720919 CAA720919:CAB720919 CJW720919:CJX720919 CTS720919:CTT720919 DDO720919:DDP720919 DNK720919:DNL720919 DXG720919:DXH720919 EHC720919:EHD720919 EQY720919:EQZ720919 FAU720919:FAV720919 FKQ720919:FKR720919 FUM720919:FUN720919 GEI720919:GEJ720919 GOE720919:GOF720919 GYA720919:GYB720919 HHW720919:HHX720919 HRS720919:HRT720919 IBO720919:IBP720919 ILK720919:ILL720919 IVG720919:IVH720919 JFC720919:JFD720919 JOY720919:JOZ720919 JYU720919:JYV720919 KIQ720919:KIR720919 KSM720919:KSN720919 LCI720919:LCJ720919 LME720919:LMF720919 LWA720919:LWB720919 MFW720919:MFX720919 MPS720919:MPT720919 MZO720919:MZP720919 NJK720919:NJL720919 NTG720919:NTH720919 ODC720919:ODD720919 OMY720919:OMZ720919 OWU720919:OWV720919 PGQ720919:PGR720919 PQM720919:PQN720919 QAI720919:QAJ720919 QKE720919:QKF720919 QUA720919:QUB720919 RDW720919:RDX720919 RNS720919:RNT720919 RXO720919:RXP720919 SHK720919:SHL720919 SRG720919:SRH720919 TBC720919:TBD720919 TKY720919:TKZ720919 TUU720919:TUV720919 UEQ720919:UER720919 UOM720919:UON720919 UYI720919:UYJ720919 VIE720919:VIF720919 VSA720919:VSB720919 WBW720919:WBX720919 WLS720919:WLT720919 WVO720919:WVP720919 Q786455:R786455 JC786455:JD786455 SY786455:SZ786455 ACU786455:ACV786455 AMQ786455:AMR786455 AWM786455:AWN786455 BGI786455:BGJ786455 BQE786455:BQF786455 CAA786455:CAB786455 CJW786455:CJX786455 CTS786455:CTT786455 DDO786455:DDP786455 DNK786455:DNL786455 DXG786455:DXH786455 EHC786455:EHD786455 EQY786455:EQZ786455 FAU786455:FAV786455 FKQ786455:FKR786455 FUM786455:FUN786455 GEI786455:GEJ786455 GOE786455:GOF786455 GYA786455:GYB786455 HHW786455:HHX786455 HRS786455:HRT786455 IBO786455:IBP786455 ILK786455:ILL786455 IVG786455:IVH786455 JFC786455:JFD786455 JOY786455:JOZ786455 JYU786455:JYV786455 KIQ786455:KIR786455 KSM786455:KSN786455 LCI786455:LCJ786455 LME786455:LMF786455 LWA786455:LWB786455 MFW786455:MFX786455 MPS786455:MPT786455 MZO786455:MZP786455 NJK786455:NJL786455 NTG786455:NTH786455 ODC786455:ODD786455 OMY786455:OMZ786455 OWU786455:OWV786455 PGQ786455:PGR786455 PQM786455:PQN786455 QAI786455:QAJ786455 QKE786455:QKF786455 QUA786455:QUB786455 RDW786455:RDX786455 RNS786455:RNT786455 RXO786455:RXP786455 SHK786455:SHL786455 SRG786455:SRH786455 TBC786455:TBD786455 TKY786455:TKZ786455 TUU786455:TUV786455 UEQ786455:UER786455 UOM786455:UON786455 UYI786455:UYJ786455 VIE786455:VIF786455 VSA786455:VSB786455 WBW786455:WBX786455 WLS786455:WLT786455 WVO786455:WVP786455 Q851991:R851991 JC851991:JD851991 SY851991:SZ851991 ACU851991:ACV851991 AMQ851991:AMR851991 AWM851991:AWN851991 BGI851991:BGJ851991 BQE851991:BQF851991 CAA851991:CAB851991 CJW851991:CJX851991 CTS851991:CTT851991 DDO851991:DDP851991 DNK851991:DNL851991 DXG851991:DXH851991 EHC851991:EHD851991 EQY851991:EQZ851991 FAU851991:FAV851991 FKQ851991:FKR851991 FUM851991:FUN851991 GEI851991:GEJ851991 GOE851991:GOF851991 GYA851991:GYB851991 HHW851991:HHX851991 HRS851991:HRT851991 IBO851991:IBP851991 ILK851991:ILL851991 IVG851991:IVH851991 JFC851991:JFD851991 JOY851991:JOZ851991 JYU851991:JYV851991 KIQ851991:KIR851991 KSM851991:KSN851991 LCI851991:LCJ851991 LME851991:LMF851991 LWA851991:LWB851991 MFW851991:MFX851991 MPS851991:MPT851991 MZO851991:MZP851991 NJK851991:NJL851991 NTG851991:NTH851991 ODC851991:ODD851991 OMY851991:OMZ851991 OWU851991:OWV851991 PGQ851991:PGR851991 PQM851991:PQN851991 QAI851991:QAJ851991 QKE851991:QKF851991 QUA851991:QUB851991 RDW851991:RDX851991 RNS851991:RNT851991 RXO851991:RXP851991 SHK851991:SHL851991 SRG851991:SRH851991 TBC851991:TBD851991 TKY851991:TKZ851991 TUU851991:TUV851991 UEQ851991:UER851991 UOM851991:UON851991 UYI851991:UYJ851991 VIE851991:VIF851991 VSA851991:VSB851991 WBW851991:WBX851991 WLS851991:WLT851991 WVO851991:WVP851991 Q917527:R917527 JC917527:JD917527 SY917527:SZ917527 ACU917527:ACV917527 AMQ917527:AMR917527 AWM917527:AWN917527 BGI917527:BGJ917527 BQE917527:BQF917527 CAA917527:CAB917527 CJW917527:CJX917527 CTS917527:CTT917527 DDO917527:DDP917527 DNK917527:DNL917527 DXG917527:DXH917527 EHC917527:EHD917527 EQY917527:EQZ917527 FAU917527:FAV917527 FKQ917527:FKR917527 FUM917527:FUN917527 GEI917527:GEJ917527 GOE917527:GOF917527 GYA917527:GYB917527 HHW917527:HHX917527 HRS917527:HRT917527 IBO917527:IBP917527 ILK917527:ILL917527 IVG917527:IVH917527 JFC917527:JFD917527 JOY917527:JOZ917527 JYU917527:JYV917527 KIQ917527:KIR917527 KSM917527:KSN917527 LCI917527:LCJ917527 LME917527:LMF917527 LWA917527:LWB917527 MFW917527:MFX917527 MPS917527:MPT917527 MZO917527:MZP917527 NJK917527:NJL917527 NTG917527:NTH917527 ODC917527:ODD917527 OMY917527:OMZ917527 OWU917527:OWV917527 PGQ917527:PGR917527 PQM917527:PQN917527 QAI917527:QAJ917527 QKE917527:QKF917527 QUA917527:QUB917527 RDW917527:RDX917527 RNS917527:RNT917527 RXO917527:RXP917527 SHK917527:SHL917527 SRG917527:SRH917527 TBC917527:TBD917527 TKY917527:TKZ917527 TUU917527:TUV917527 UEQ917527:UER917527 UOM917527:UON917527 UYI917527:UYJ917527 VIE917527:VIF917527 VSA917527:VSB917527 WBW917527:WBX917527 WLS917527:WLT917527 WVO917527:WVP917527 Q983063:R983063 JC983063:JD983063 SY983063:SZ983063 ACU983063:ACV983063 AMQ983063:AMR983063 AWM983063:AWN983063 BGI983063:BGJ983063 BQE983063:BQF983063 CAA983063:CAB983063 CJW983063:CJX983063 CTS983063:CTT983063 DDO983063:DDP983063 DNK983063:DNL983063 DXG983063:DXH983063 EHC983063:EHD983063 EQY983063:EQZ983063 FAU983063:FAV983063 FKQ983063:FKR983063 FUM983063:FUN983063 GEI983063:GEJ983063 GOE983063:GOF983063 GYA983063:GYB983063 HHW983063:HHX983063 HRS983063:HRT983063 IBO983063:IBP983063 ILK983063:ILL983063 IVG983063:IVH983063 JFC983063:JFD983063 JOY983063:JOZ983063 JYU983063:JYV983063 KIQ983063:KIR983063 KSM983063:KSN983063 LCI983063:LCJ983063 LME983063:LMF983063 LWA983063:LWB983063 MFW983063:MFX983063 MPS983063:MPT983063 MZO983063:MZP983063 NJK983063:NJL983063 NTG983063:NTH983063 ODC983063:ODD983063 OMY983063:OMZ983063 OWU983063:OWV983063 PGQ983063:PGR983063 PQM983063:PQN983063 QAI983063:QAJ983063 QKE983063:QKF983063 QUA983063:QUB983063 RDW983063:RDX983063 RNS983063:RNT983063 RXO983063:RXP983063 SHK983063:SHL983063 SRG983063:SRH983063 TBC983063:TBD983063 TKY983063:TKZ983063 TUU983063:TUV983063 UEQ983063:UER983063 UOM983063:UON983063 UYI983063:UYJ983063 VIE983063:VIF983063 VSA983063:VSB983063 WBW983063:WBX983063 WLS983063:WLT983063 SY23:SZ23">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H23 TD23 V131095 T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T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T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T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T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T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T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T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T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T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T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T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T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T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T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T23 V196631 JF23 V262167 JH65559 TD65559 ACZ65559 AMV65559 AWR65559 BGN65559 BQJ65559 CAF65559 CKB65559 CTX65559 DDT65559 DNP65559 DXL65559 EHH65559 ERD65559 FAZ65559 FKV65559 FUR65559 GEN65559 GOJ65559 GYF65559 HIB65559 HRX65559 IBT65559 ILP65559 IVL65559 JFH65559 JPD65559 JYZ65559 KIV65559 KSR65559 LCN65559 LMJ65559 LWF65559 MGB65559 MPX65559 MZT65559 NJP65559 NTL65559 ODH65559 OND65559 OWZ65559 PGV65559 PQR65559 QAN65559 QKJ65559 QUF65559 REB65559 RNX65559 RXT65559 SHP65559 SRL65559 TBH65559 TLD65559 TUZ65559 UEV65559 UOR65559 UYN65559 VIJ65559 VSF65559 WCB65559 WLX65559 WVT65559 V327703 JH131095 TD131095 ACZ131095 AMV131095 AWR131095 BGN131095 BQJ131095 CAF131095 CKB131095 CTX131095 DDT131095 DNP131095 DXL131095 EHH131095 ERD131095 FAZ131095 FKV131095 FUR131095 GEN131095 GOJ131095 GYF131095 HIB131095 HRX131095 IBT131095 ILP131095 IVL131095 JFH131095 JPD131095 JYZ131095 KIV131095 KSR131095 LCN131095 LMJ131095 LWF131095 MGB131095 MPX131095 MZT131095 NJP131095 NTL131095 ODH131095 OND131095 OWZ131095 PGV131095 PQR131095 QAN131095 QKJ131095 QUF131095 REB131095 RNX131095 RXT131095 SHP131095 SRL131095 TBH131095 TLD131095 TUZ131095 UEV131095 UOR131095 UYN131095 VIJ131095 VSF131095 WCB131095 WLX131095 WVT131095 V393239 JH196631 TD196631 ACZ196631 AMV196631 AWR196631 BGN196631 BQJ196631 CAF196631 CKB196631 CTX196631 DDT196631 DNP196631 DXL196631 EHH196631 ERD196631 FAZ196631 FKV196631 FUR196631 GEN196631 GOJ196631 GYF196631 HIB196631 HRX196631 IBT196631 ILP196631 IVL196631 JFH196631 JPD196631 JYZ196631 KIV196631 KSR196631 LCN196631 LMJ196631 LWF196631 MGB196631 MPX196631 MZT196631 NJP196631 NTL196631 ODH196631 OND196631 OWZ196631 PGV196631 PQR196631 QAN196631 QKJ196631 QUF196631 REB196631 RNX196631 RXT196631 SHP196631 SRL196631 TBH196631 TLD196631 TUZ196631 UEV196631 UOR196631 UYN196631 VIJ196631 VSF196631 WCB196631 WLX196631 WVT196631 V458775 JH262167 TD262167 ACZ262167 AMV262167 AWR262167 BGN262167 BQJ262167 CAF262167 CKB262167 CTX262167 DDT262167 DNP262167 DXL262167 EHH262167 ERD262167 FAZ262167 FKV262167 FUR262167 GEN262167 GOJ262167 GYF262167 HIB262167 HRX262167 IBT262167 ILP262167 IVL262167 JFH262167 JPD262167 JYZ262167 KIV262167 KSR262167 LCN262167 LMJ262167 LWF262167 MGB262167 MPX262167 MZT262167 NJP262167 NTL262167 ODH262167 OND262167 OWZ262167 PGV262167 PQR262167 QAN262167 QKJ262167 QUF262167 REB262167 RNX262167 RXT262167 SHP262167 SRL262167 TBH262167 TLD262167 TUZ262167 UEV262167 UOR262167 UYN262167 VIJ262167 VSF262167 WCB262167 WLX262167 WVT262167 V524311 JH327703 TD327703 ACZ327703 AMV327703 AWR327703 BGN327703 BQJ327703 CAF327703 CKB327703 CTX327703 DDT327703 DNP327703 DXL327703 EHH327703 ERD327703 FAZ327703 FKV327703 FUR327703 GEN327703 GOJ327703 GYF327703 HIB327703 HRX327703 IBT327703 ILP327703 IVL327703 JFH327703 JPD327703 JYZ327703 KIV327703 KSR327703 LCN327703 LMJ327703 LWF327703 MGB327703 MPX327703 MZT327703 NJP327703 NTL327703 ODH327703 OND327703 OWZ327703 PGV327703 PQR327703 QAN327703 QKJ327703 QUF327703 REB327703 RNX327703 RXT327703 SHP327703 SRL327703 TBH327703 TLD327703 TUZ327703 UEV327703 UOR327703 UYN327703 VIJ327703 VSF327703 WCB327703 WLX327703 WVT327703 V851991 JH393239 TD393239 ACZ393239 AMV393239 AWR393239 BGN393239 BQJ393239 CAF393239 CKB393239 CTX393239 DDT393239 DNP393239 DXL393239 EHH393239 ERD393239 FAZ393239 FKV393239 FUR393239 GEN393239 GOJ393239 GYF393239 HIB393239 HRX393239 IBT393239 ILP393239 IVL393239 JFH393239 JPD393239 JYZ393239 KIV393239 KSR393239 LCN393239 LMJ393239 LWF393239 MGB393239 MPX393239 MZT393239 NJP393239 NTL393239 ODH393239 OND393239 OWZ393239 PGV393239 PQR393239 QAN393239 QKJ393239 QUF393239 REB393239 RNX393239 RXT393239 SHP393239 SRL393239 TBH393239 TLD393239 TUZ393239 UEV393239 UOR393239 UYN393239 VIJ393239 VSF393239 WCB393239 WLX393239 WVT393239 V589847 JH458775 TD458775 ACZ458775 AMV458775 AWR458775 BGN458775 BQJ458775 CAF458775 CKB458775 CTX458775 DDT458775 DNP458775 DXL458775 EHH458775 ERD458775 FAZ458775 FKV458775 FUR458775 GEN458775 GOJ458775 GYF458775 HIB458775 HRX458775 IBT458775 ILP458775 IVL458775 JFH458775 JPD458775 JYZ458775 KIV458775 KSR458775 LCN458775 LMJ458775 LWF458775 MGB458775 MPX458775 MZT458775 NJP458775 NTL458775 ODH458775 OND458775 OWZ458775 PGV458775 PQR458775 QAN458775 QKJ458775 QUF458775 REB458775 RNX458775 RXT458775 SHP458775 SRL458775 TBH458775 TLD458775 TUZ458775 UEV458775 UOR458775 UYN458775 VIJ458775 VSF458775 WCB458775 WLX458775 WVT458775 V655383 JH524311 TD524311 ACZ524311 AMV524311 AWR524311 BGN524311 BQJ524311 CAF524311 CKB524311 CTX524311 DDT524311 DNP524311 DXL524311 EHH524311 ERD524311 FAZ524311 FKV524311 FUR524311 GEN524311 GOJ524311 GYF524311 HIB524311 HRX524311 IBT524311 ILP524311 IVL524311 JFH524311 JPD524311 JYZ524311 KIV524311 KSR524311 LCN524311 LMJ524311 LWF524311 MGB524311 MPX524311 MZT524311 NJP524311 NTL524311 ODH524311 OND524311 OWZ524311 PGV524311 PQR524311 QAN524311 QKJ524311 QUF524311 REB524311 RNX524311 RXT524311 SHP524311 SRL524311 TBH524311 TLD524311 TUZ524311 UEV524311 UOR524311 UYN524311 VIJ524311 VSF524311 WCB524311 WLX524311 WVT524311 V720919 JH589847 TD589847 ACZ589847 AMV589847 AWR589847 BGN589847 BQJ589847 CAF589847 CKB589847 CTX589847 DDT589847 DNP589847 DXL589847 EHH589847 ERD589847 FAZ589847 FKV589847 FUR589847 GEN589847 GOJ589847 GYF589847 HIB589847 HRX589847 IBT589847 ILP589847 IVL589847 JFH589847 JPD589847 JYZ589847 KIV589847 KSR589847 LCN589847 LMJ589847 LWF589847 MGB589847 MPX589847 MZT589847 NJP589847 NTL589847 ODH589847 OND589847 OWZ589847 PGV589847 PQR589847 QAN589847 QKJ589847 QUF589847 REB589847 RNX589847 RXT589847 SHP589847 SRL589847 TBH589847 TLD589847 TUZ589847 UEV589847 UOR589847 UYN589847 VIJ589847 VSF589847 WCB589847 WLX589847 WVT589847 V786455 JH655383 TD655383 ACZ655383 AMV655383 AWR655383 BGN655383 BQJ655383 CAF655383 CKB655383 CTX655383 DDT655383 DNP655383 DXL655383 EHH655383 ERD655383 FAZ655383 FKV655383 FUR655383 GEN655383 GOJ655383 GYF655383 HIB655383 HRX655383 IBT655383 ILP655383 IVL655383 JFH655383 JPD655383 JYZ655383 KIV655383 KSR655383 LCN655383 LMJ655383 LWF655383 MGB655383 MPX655383 MZT655383 NJP655383 NTL655383 ODH655383 OND655383 OWZ655383 PGV655383 PQR655383 QAN655383 QKJ655383 QUF655383 REB655383 RNX655383 RXT655383 SHP655383 SRL655383 TBH655383 TLD655383 TUZ655383 UEV655383 UOR655383 UYN655383 VIJ655383 VSF655383 WCB655383 WLX655383 WVT655383 V917527 JH720919 TD720919 ACZ720919 AMV720919 AWR720919 BGN720919 BQJ720919 CAF720919 CKB720919 CTX720919 DDT720919 DNP720919 DXL720919 EHH720919 ERD720919 FAZ720919 FKV720919 FUR720919 GEN720919 GOJ720919 GYF720919 HIB720919 HRX720919 IBT720919 ILP720919 IVL720919 JFH720919 JPD720919 JYZ720919 KIV720919 KSR720919 LCN720919 LMJ720919 LWF720919 MGB720919 MPX720919 MZT720919 NJP720919 NTL720919 ODH720919 OND720919 OWZ720919 PGV720919 PQR720919 QAN720919 QKJ720919 QUF720919 REB720919 RNX720919 RXT720919 SHP720919 SRL720919 TBH720919 TLD720919 TUZ720919 UEV720919 UOR720919 UYN720919 VIJ720919 VSF720919 WCB720919 WLX720919 WVT720919 V23 JH786455 TD786455 ACZ786455 AMV786455 AWR786455 BGN786455 BQJ786455 CAF786455 CKB786455 CTX786455 DDT786455 DNP786455 DXL786455 EHH786455 ERD786455 FAZ786455 FKV786455 FUR786455 GEN786455 GOJ786455 GYF786455 HIB786455 HRX786455 IBT786455 ILP786455 IVL786455 JFH786455 JPD786455 JYZ786455 KIV786455 KSR786455 LCN786455 LMJ786455 LWF786455 MGB786455 MPX786455 MZT786455 NJP786455 NTL786455 ODH786455 OND786455 OWZ786455 PGV786455 PQR786455 QAN786455 QKJ786455 QUF786455 REB786455 RNX786455 RXT786455 SHP786455 SRL786455 TBH786455 TLD786455 TUZ786455 UEV786455 UOR786455 UYN786455 VIJ786455 VSF786455 WCB786455 WLX786455 WVT786455 V983063 JH851991 TD851991 ACZ851991 AMV851991 AWR851991 BGN851991 BQJ851991 CAF851991 CKB851991 CTX851991 DDT851991 DNP851991 DXL851991 EHH851991 ERD851991 FAZ851991 FKV851991 FUR851991 GEN851991 GOJ851991 GYF851991 HIB851991 HRX851991 IBT851991 ILP851991 IVL851991 JFH851991 JPD851991 JYZ851991 KIV851991 KSR851991 LCN851991 LMJ851991 LWF851991 MGB851991 MPX851991 MZT851991 NJP851991 NTL851991 ODH851991 OND851991 OWZ851991 PGV851991 PQR851991 QAN851991 QKJ851991 QUF851991 REB851991 RNX851991 RXT851991 SHP851991 SRL851991 TBH851991 TLD851991 TUZ851991 UEV851991 UOR851991 UYN851991 VIJ851991 VSF851991 WCB851991 WLX851991 WVT851991 JH917527 TD917527 ACZ917527 AMV917527 AWR917527 BGN917527 BQJ917527 CAF917527 CKB917527 CTX917527 DDT917527 DNP917527 DXL917527 EHH917527 ERD917527 FAZ917527 FKV917527 FUR917527 GEN917527 GOJ917527 GYF917527 HIB917527 HRX917527 IBT917527 ILP917527 IVL917527 JFH917527 JPD917527 JYZ917527 KIV917527 KSR917527 LCN917527 LMJ917527 LWF917527 MGB917527 MPX917527 MZT917527 NJP917527 NTL917527 ODH917527 OND917527 OWZ917527 PGV917527 PQR917527 QAN917527 QKJ917527 QUF917527 REB917527 RNX917527 RXT917527 SHP917527 SRL917527 TBH917527 TLD917527 TUZ917527 UEV917527 UOR917527 UYN917527 VIJ917527 VSF917527 WCB917527 WLX917527 WVT917527 WVT983063 JH983063 TD983063 ACZ983063 AMV983063 AWR983063 BGN983063 BQJ983063 CAF983063 CKB983063 CTX983063 DDT983063 DNP983063 DXL983063 EHH983063 ERD983063 FAZ983063 FKV983063 FUR983063 GEN983063 GOJ983063 GYF983063 HIB983063 HRX983063 IBT983063 ILP983063 IVL983063 JFH983063 JPD983063 JYZ983063 KIV983063 KSR983063 LCN983063 LMJ983063 LWF983063 MGB983063 MPX983063 MZT983063 NJP983063 NTL983063 ODH983063 OND983063 OWZ983063 PGV983063 PQR983063 QAN983063 QKJ983063 QUF983063 REB983063 RNX983063 RXT983063 SHP983063 SRL983063 TBH983063 TLD983063 TUZ983063 UEV983063 UOR983063 UYN983063 VIJ983063 VSF983063 WCB983063 WLX983063 TB23 V65559"/>
    <dataValidation allowBlank="1" promptTitle="checkPeriodRange" sqref="R24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R65560 JD65560 SZ65560 ACV65560 AMR65560 AWN65560 BGJ65560 BQF65560 CAB65560 CJX65560 CTT65560 DDP65560 DNL65560 DXH65560 EHD65560 EQZ65560 FAV65560 FKR65560 FUN65560 GEJ65560 GOF65560 GYB65560 HHX65560 HRT65560 IBP65560 ILL65560 IVH65560 JFD65560 JOZ65560 JYV65560 KIR65560 KSN65560 LCJ65560 LMF65560 LWB65560 MFX65560 MPT65560 MZP65560 NJL65560 NTH65560 ODD65560 OMZ65560 OWV65560 PGR65560 PQN65560 QAJ65560 QKF65560 QUB65560 RDX65560 RNT65560 RXP65560 SHL65560 SRH65560 TBD65560 TKZ65560 TUV65560 UER65560 UON65560 UYJ65560 VIF65560 VSB65560 WBX65560 WLT65560 WVP65560 R131096 JD131096 SZ131096 ACV131096 AMR131096 AWN131096 BGJ131096 BQF131096 CAB131096 CJX131096 CTT131096 DDP131096 DNL131096 DXH131096 EHD131096 EQZ131096 FAV131096 FKR131096 FUN131096 GEJ131096 GOF131096 GYB131096 HHX131096 HRT131096 IBP131096 ILL131096 IVH131096 JFD131096 JOZ131096 JYV131096 KIR131096 KSN131096 LCJ131096 LMF131096 LWB131096 MFX131096 MPT131096 MZP131096 NJL131096 NTH131096 ODD131096 OMZ131096 OWV131096 PGR131096 PQN131096 QAJ131096 QKF131096 QUB131096 RDX131096 RNT131096 RXP131096 SHL131096 SRH131096 TBD131096 TKZ131096 TUV131096 UER131096 UON131096 UYJ131096 VIF131096 VSB131096 WBX131096 WLT131096 WVP131096 R196632 JD196632 SZ196632 ACV196632 AMR196632 AWN196632 BGJ196632 BQF196632 CAB196632 CJX196632 CTT196632 DDP196632 DNL196632 DXH196632 EHD196632 EQZ196632 FAV196632 FKR196632 FUN196632 GEJ196632 GOF196632 GYB196632 HHX196632 HRT196632 IBP196632 ILL196632 IVH196632 JFD196632 JOZ196632 JYV196632 KIR196632 KSN196632 LCJ196632 LMF196632 LWB196632 MFX196632 MPT196632 MZP196632 NJL196632 NTH196632 ODD196632 OMZ196632 OWV196632 PGR196632 PQN196632 QAJ196632 QKF196632 QUB196632 RDX196632 RNT196632 RXP196632 SHL196632 SRH196632 TBD196632 TKZ196632 TUV196632 UER196632 UON196632 UYJ196632 VIF196632 VSB196632 WBX196632 WLT196632 WVP196632 R262168 JD262168 SZ262168 ACV262168 AMR262168 AWN262168 BGJ262168 BQF262168 CAB262168 CJX262168 CTT262168 DDP262168 DNL262168 DXH262168 EHD262168 EQZ262168 FAV262168 FKR262168 FUN262168 GEJ262168 GOF262168 GYB262168 HHX262168 HRT262168 IBP262168 ILL262168 IVH262168 JFD262168 JOZ262168 JYV262168 KIR262168 KSN262168 LCJ262168 LMF262168 LWB262168 MFX262168 MPT262168 MZP262168 NJL262168 NTH262168 ODD262168 OMZ262168 OWV262168 PGR262168 PQN262168 QAJ262168 QKF262168 QUB262168 RDX262168 RNT262168 RXP262168 SHL262168 SRH262168 TBD262168 TKZ262168 TUV262168 UER262168 UON262168 UYJ262168 VIF262168 VSB262168 WBX262168 WLT262168 WVP262168 R327704 JD327704 SZ327704 ACV327704 AMR327704 AWN327704 BGJ327704 BQF327704 CAB327704 CJX327704 CTT327704 DDP327704 DNL327704 DXH327704 EHD327704 EQZ327704 FAV327704 FKR327704 FUN327704 GEJ327704 GOF327704 GYB327704 HHX327704 HRT327704 IBP327704 ILL327704 IVH327704 JFD327704 JOZ327704 JYV327704 KIR327704 KSN327704 LCJ327704 LMF327704 LWB327704 MFX327704 MPT327704 MZP327704 NJL327704 NTH327704 ODD327704 OMZ327704 OWV327704 PGR327704 PQN327704 QAJ327704 QKF327704 QUB327704 RDX327704 RNT327704 RXP327704 SHL327704 SRH327704 TBD327704 TKZ327704 TUV327704 UER327704 UON327704 UYJ327704 VIF327704 VSB327704 WBX327704 WLT327704 WVP327704 R393240 JD393240 SZ393240 ACV393240 AMR393240 AWN393240 BGJ393240 BQF393240 CAB393240 CJX393240 CTT393240 DDP393240 DNL393240 DXH393240 EHD393240 EQZ393240 FAV393240 FKR393240 FUN393240 GEJ393240 GOF393240 GYB393240 HHX393240 HRT393240 IBP393240 ILL393240 IVH393240 JFD393240 JOZ393240 JYV393240 KIR393240 KSN393240 LCJ393240 LMF393240 LWB393240 MFX393240 MPT393240 MZP393240 NJL393240 NTH393240 ODD393240 OMZ393240 OWV393240 PGR393240 PQN393240 QAJ393240 QKF393240 QUB393240 RDX393240 RNT393240 RXP393240 SHL393240 SRH393240 TBD393240 TKZ393240 TUV393240 UER393240 UON393240 UYJ393240 VIF393240 VSB393240 WBX393240 WLT393240 WVP393240 R458776 JD458776 SZ458776 ACV458776 AMR458776 AWN458776 BGJ458776 BQF458776 CAB458776 CJX458776 CTT458776 DDP458776 DNL458776 DXH458776 EHD458776 EQZ458776 FAV458776 FKR458776 FUN458776 GEJ458776 GOF458776 GYB458776 HHX458776 HRT458776 IBP458776 ILL458776 IVH458776 JFD458776 JOZ458776 JYV458776 KIR458776 KSN458776 LCJ458776 LMF458776 LWB458776 MFX458776 MPT458776 MZP458776 NJL458776 NTH458776 ODD458776 OMZ458776 OWV458776 PGR458776 PQN458776 QAJ458776 QKF458776 QUB458776 RDX458776 RNT458776 RXP458776 SHL458776 SRH458776 TBD458776 TKZ458776 TUV458776 UER458776 UON458776 UYJ458776 VIF458776 VSB458776 WBX458776 WLT458776 WVP458776 R524312 JD524312 SZ524312 ACV524312 AMR524312 AWN524312 BGJ524312 BQF524312 CAB524312 CJX524312 CTT524312 DDP524312 DNL524312 DXH524312 EHD524312 EQZ524312 FAV524312 FKR524312 FUN524312 GEJ524312 GOF524312 GYB524312 HHX524312 HRT524312 IBP524312 ILL524312 IVH524312 JFD524312 JOZ524312 JYV524312 KIR524312 KSN524312 LCJ524312 LMF524312 LWB524312 MFX524312 MPT524312 MZP524312 NJL524312 NTH524312 ODD524312 OMZ524312 OWV524312 PGR524312 PQN524312 QAJ524312 QKF524312 QUB524312 RDX524312 RNT524312 RXP524312 SHL524312 SRH524312 TBD524312 TKZ524312 TUV524312 UER524312 UON524312 UYJ524312 VIF524312 VSB524312 WBX524312 WLT524312 WVP524312 R589848 JD589848 SZ589848 ACV589848 AMR589848 AWN589848 BGJ589848 BQF589848 CAB589848 CJX589848 CTT589848 DDP589848 DNL589848 DXH589848 EHD589848 EQZ589848 FAV589848 FKR589848 FUN589848 GEJ589848 GOF589848 GYB589848 HHX589848 HRT589848 IBP589848 ILL589848 IVH589848 JFD589848 JOZ589848 JYV589848 KIR589848 KSN589848 LCJ589848 LMF589848 LWB589848 MFX589848 MPT589848 MZP589848 NJL589848 NTH589848 ODD589848 OMZ589848 OWV589848 PGR589848 PQN589848 QAJ589848 QKF589848 QUB589848 RDX589848 RNT589848 RXP589848 SHL589848 SRH589848 TBD589848 TKZ589848 TUV589848 UER589848 UON589848 UYJ589848 VIF589848 VSB589848 WBX589848 WLT589848 WVP589848 R655384 JD655384 SZ655384 ACV655384 AMR655384 AWN655384 BGJ655384 BQF655384 CAB655384 CJX655384 CTT655384 DDP655384 DNL655384 DXH655384 EHD655384 EQZ655384 FAV655384 FKR655384 FUN655384 GEJ655384 GOF655384 GYB655384 HHX655384 HRT655384 IBP655384 ILL655384 IVH655384 JFD655384 JOZ655384 JYV655384 KIR655384 KSN655384 LCJ655384 LMF655384 LWB655384 MFX655384 MPT655384 MZP655384 NJL655384 NTH655384 ODD655384 OMZ655384 OWV655384 PGR655384 PQN655384 QAJ655384 QKF655384 QUB655384 RDX655384 RNT655384 RXP655384 SHL655384 SRH655384 TBD655384 TKZ655384 TUV655384 UER655384 UON655384 UYJ655384 VIF655384 VSB655384 WBX655384 WLT655384 WVP655384 R720920 JD720920 SZ720920 ACV720920 AMR720920 AWN720920 BGJ720920 BQF720920 CAB720920 CJX720920 CTT720920 DDP720920 DNL720920 DXH720920 EHD720920 EQZ720920 FAV720920 FKR720920 FUN720920 GEJ720920 GOF720920 GYB720920 HHX720920 HRT720920 IBP720920 ILL720920 IVH720920 JFD720920 JOZ720920 JYV720920 KIR720920 KSN720920 LCJ720920 LMF720920 LWB720920 MFX720920 MPT720920 MZP720920 NJL720920 NTH720920 ODD720920 OMZ720920 OWV720920 PGR720920 PQN720920 QAJ720920 QKF720920 QUB720920 RDX720920 RNT720920 RXP720920 SHL720920 SRH720920 TBD720920 TKZ720920 TUV720920 UER720920 UON720920 UYJ720920 VIF720920 VSB720920 WBX720920 WLT720920 WVP720920 R786456 JD786456 SZ786456 ACV786456 AMR786456 AWN786456 BGJ786456 BQF786456 CAB786456 CJX786456 CTT786456 DDP786456 DNL786456 DXH786456 EHD786456 EQZ786456 FAV786456 FKR786456 FUN786456 GEJ786456 GOF786456 GYB786456 HHX786456 HRT786456 IBP786456 ILL786456 IVH786456 JFD786456 JOZ786456 JYV786456 KIR786456 KSN786456 LCJ786456 LMF786456 LWB786456 MFX786456 MPT786456 MZP786456 NJL786456 NTH786456 ODD786456 OMZ786456 OWV786456 PGR786456 PQN786456 QAJ786456 QKF786456 QUB786456 RDX786456 RNT786456 RXP786456 SHL786456 SRH786456 TBD786456 TKZ786456 TUV786456 UER786456 UON786456 UYJ786456 VIF786456 VSB786456 WBX786456 WLT786456 WVP786456 R851992 JD851992 SZ851992 ACV851992 AMR851992 AWN851992 BGJ851992 BQF851992 CAB851992 CJX851992 CTT851992 DDP851992 DNL851992 DXH851992 EHD851992 EQZ851992 FAV851992 FKR851992 FUN851992 GEJ851992 GOF851992 GYB851992 HHX851992 HRT851992 IBP851992 ILL851992 IVH851992 JFD851992 JOZ851992 JYV851992 KIR851992 KSN851992 LCJ851992 LMF851992 LWB851992 MFX851992 MPT851992 MZP851992 NJL851992 NTH851992 ODD851992 OMZ851992 OWV851992 PGR851992 PQN851992 QAJ851992 QKF851992 QUB851992 RDX851992 RNT851992 RXP851992 SHL851992 SRH851992 TBD851992 TKZ851992 TUV851992 UER851992 UON851992 UYJ851992 VIF851992 VSB851992 WBX851992 WLT851992 WVP851992 R917528 JD917528 SZ917528 ACV917528 AMR917528 AWN917528 BGJ917528 BQF917528 CAB917528 CJX917528 CTT917528 DDP917528 DNL917528 DXH917528 EHD917528 EQZ917528 FAV917528 FKR917528 FUN917528 GEJ917528 GOF917528 GYB917528 HHX917528 HRT917528 IBP917528 ILL917528 IVH917528 JFD917528 JOZ917528 JYV917528 KIR917528 KSN917528 LCJ917528 LMF917528 LWB917528 MFX917528 MPT917528 MZP917528 NJL917528 NTH917528 ODD917528 OMZ917528 OWV917528 PGR917528 PQN917528 QAJ917528 QKF917528 QUB917528 RDX917528 RNT917528 RXP917528 SHL917528 SRH917528 TBD917528 TKZ917528 TUV917528 UER917528 UON917528 UYJ917528 VIF917528 VSB917528 WBX917528 WLT917528 WVP917528 R983064 JD983064 SZ983064 ACV983064 AMR983064 AWN983064 BGJ983064 BQF983064 CAB983064 CJX983064 CTT983064 DDP983064 DNL983064 DXH983064 EHD983064 EQZ983064 FAV983064 FKR983064 FUN983064 GEJ983064 GOF983064 GYB983064 HHX983064 HRT983064 IBP983064 ILL983064 IVH983064 JFD983064 JOZ983064 JYV983064 KIR983064 KSN983064 LCJ983064 LMF983064 LWB983064 MFX983064 MPT983064 MZP983064 NJL983064 NTH983064 ODD983064 OMZ983064 OWV983064 PGR983064 PQN983064 QAJ983064 QKF983064 QUB983064 RDX983064 RNT983064 RXP983064 SHL983064 SRH983064 TBD983064 TKZ983064 TUV983064 UER983064 UON983064 UYJ983064 VIF983064 VSB983064 WBX983064 WLT983064 WVP983064"/>
    <dataValidation type="textLength" operator="lessThanOrEqual" allowBlank="1" showInputMessage="1" showErrorMessage="1" errorTitle="Ошибка" error="Допускается ввод не более 900 символов!" sqref="ACS23 AMO23 AWK23 BGG23 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O23 O65559 JA65559 SW65559 ACS65559 AMO65559 AWK65559 BGG65559 BQC65559 BZY65559 CJU65559 CTQ65559 DDM65559 DNI65559 DXE65559 EHA65559 EQW65559 FAS65559 FKO65559 FUK65559 GEG65559 GOC65559 GXY65559 HHU65559 HRQ65559 IBM65559 ILI65559 IVE65559 JFA65559 JOW65559 JYS65559 KIO65559 KSK65559 LCG65559 LMC65559 LVY65559 MFU65559 MPQ65559 MZM65559 NJI65559 NTE65559 ODA65559 OMW65559 OWS65559 PGO65559 PQK65559 QAG65559 QKC65559 QTY65559 RDU65559 RNQ65559 RXM65559 SHI65559 SRE65559 TBA65559 TKW65559 TUS65559 UEO65559 UOK65559 UYG65559 VIC65559 VRY65559 WBU65559 WLQ65559 WVM65559 O131095 JA131095 SW131095 ACS131095 AMO131095 AWK131095 BGG131095 BQC131095 BZY131095 CJU131095 CTQ131095 DDM131095 DNI131095 DXE131095 EHA131095 EQW131095 FAS131095 FKO131095 FUK131095 GEG131095 GOC131095 GXY131095 HHU131095 HRQ131095 IBM131095 ILI131095 IVE131095 JFA131095 JOW131095 JYS131095 KIO131095 KSK131095 LCG131095 LMC131095 LVY131095 MFU131095 MPQ131095 MZM131095 NJI131095 NTE131095 ODA131095 OMW131095 OWS131095 PGO131095 PQK131095 QAG131095 QKC131095 QTY131095 RDU131095 RNQ131095 RXM131095 SHI131095 SRE131095 TBA131095 TKW131095 TUS131095 UEO131095 UOK131095 UYG131095 VIC131095 VRY131095 WBU131095 WLQ131095 WVM131095 O196631 JA196631 SW196631 ACS196631 AMO196631 AWK196631 BGG196631 BQC196631 BZY196631 CJU196631 CTQ196631 DDM196631 DNI196631 DXE196631 EHA196631 EQW196631 FAS196631 FKO196631 FUK196631 GEG196631 GOC196631 GXY196631 HHU196631 HRQ196631 IBM196631 ILI196631 IVE196631 JFA196631 JOW196631 JYS196631 KIO196631 KSK196631 LCG196631 LMC196631 LVY196631 MFU196631 MPQ196631 MZM196631 NJI196631 NTE196631 ODA196631 OMW196631 OWS196631 PGO196631 PQK196631 QAG196631 QKC196631 QTY196631 RDU196631 RNQ196631 RXM196631 SHI196631 SRE196631 TBA196631 TKW196631 TUS196631 UEO196631 UOK196631 UYG196631 VIC196631 VRY196631 WBU196631 WLQ196631 WVM196631 O262167 JA262167 SW262167 ACS262167 AMO262167 AWK262167 BGG262167 BQC262167 BZY262167 CJU262167 CTQ262167 DDM262167 DNI262167 DXE262167 EHA262167 EQW262167 FAS262167 FKO262167 FUK262167 GEG262167 GOC262167 GXY262167 HHU262167 HRQ262167 IBM262167 ILI262167 IVE262167 JFA262167 JOW262167 JYS262167 KIO262167 KSK262167 LCG262167 LMC262167 LVY262167 MFU262167 MPQ262167 MZM262167 NJI262167 NTE262167 ODA262167 OMW262167 OWS262167 PGO262167 PQK262167 QAG262167 QKC262167 QTY262167 RDU262167 RNQ262167 RXM262167 SHI262167 SRE262167 TBA262167 TKW262167 TUS262167 UEO262167 UOK262167 UYG262167 VIC262167 VRY262167 WBU262167 WLQ262167 WVM262167 O327703 JA327703 SW327703 ACS327703 AMO327703 AWK327703 BGG327703 BQC327703 BZY327703 CJU327703 CTQ327703 DDM327703 DNI327703 DXE327703 EHA327703 EQW327703 FAS327703 FKO327703 FUK327703 GEG327703 GOC327703 GXY327703 HHU327703 HRQ327703 IBM327703 ILI327703 IVE327703 JFA327703 JOW327703 JYS327703 KIO327703 KSK327703 LCG327703 LMC327703 LVY327703 MFU327703 MPQ327703 MZM327703 NJI327703 NTE327703 ODA327703 OMW327703 OWS327703 PGO327703 PQK327703 QAG327703 QKC327703 QTY327703 RDU327703 RNQ327703 RXM327703 SHI327703 SRE327703 TBA327703 TKW327703 TUS327703 UEO327703 UOK327703 UYG327703 VIC327703 VRY327703 WBU327703 WLQ327703 WVM327703 O393239 JA393239 SW393239 ACS393239 AMO393239 AWK393239 BGG393239 BQC393239 BZY393239 CJU393239 CTQ393239 DDM393239 DNI393239 DXE393239 EHA393239 EQW393239 FAS393239 FKO393239 FUK393239 GEG393239 GOC393239 GXY393239 HHU393239 HRQ393239 IBM393239 ILI393239 IVE393239 JFA393239 JOW393239 JYS393239 KIO393239 KSK393239 LCG393239 LMC393239 LVY393239 MFU393239 MPQ393239 MZM393239 NJI393239 NTE393239 ODA393239 OMW393239 OWS393239 PGO393239 PQK393239 QAG393239 QKC393239 QTY393239 RDU393239 RNQ393239 RXM393239 SHI393239 SRE393239 TBA393239 TKW393239 TUS393239 UEO393239 UOK393239 UYG393239 VIC393239 VRY393239 WBU393239 WLQ393239 WVM393239 O458775 JA458775 SW458775 ACS458775 AMO458775 AWK458775 BGG458775 BQC458775 BZY458775 CJU458775 CTQ458775 DDM458775 DNI458775 DXE458775 EHA458775 EQW458775 FAS458775 FKO458775 FUK458775 GEG458775 GOC458775 GXY458775 HHU458775 HRQ458775 IBM458775 ILI458775 IVE458775 JFA458775 JOW458775 JYS458775 KIO458775 KSK458775 LCG458775 LMC458775 LVY458775 MFU458775 MPQ458775 MZM458775 NJI458775 NTE458775 ODA458775 OMW458775 OWS458775 PGO458775 PQK458775 QAG458775 QKC458775 QTY458775 RDU458775 RNQ458775 RXM458775 SHI458775 SRE458775 TBA458775 TKW458775 TUS458775 UEO458775 UOK458775 UYG458775 VIC458775 VRY458775 WBU458775 WLQ458775 WVM458775 O524311 JA524311 SW524311 ACS524311 AMO524311 AWK524311 BGG524311 BQC524311 BZY524311 CJU524311 CTQ524311 DDM524311 DNI524311 DXE524311 EHA524311 EQW524311 FAS524311 FKO524311 FUK524311 GEG524311 GOC524311 GXY524311 HHU524311 HRQ524311 IBM524311 ILI524311 IVE524311 JFA524311 JOW524311 JYS524311 KIO524311 KSK524311 LCG524311 LMC524311 LVY524311 MFU524311 MPQ524311 MZM524311 NJI524311 NTE524311 ODA524311 OMW524311 OWS524311 PGO524311 PQK524311 QAG524311 QKC524311 QTY524311 RDU524311 RNQ524311 RXM524311 SHI524311 SRE524311 TBA524311 TKW524311 TUS524311 UEO524311 UOK524311 UYG524311 VIC524311 VRY524311 WBU524311 WLQ524311 WVM524311 O589847 JA589847 SW589847 ACS589847 AMO589847 AWK589847 BGG589847 BQC589847 BZY589847 CJU589847 CTQ589847 DDM589847 DNI589847 DXE589847 EHA589847 EQW589847 FAS589847 FKO589847 FUK589847 GEG589847 GOC589847 GXY589847 HHU589847 HRQ589847 IBM589847 ILI589847 IVE589847 JFA589847 JOW589847 JYS589847 KIO589847 KSK589847 LCG589847 LMC589847 LVY589847 MFU589847 MPQ589847 MZM589847 NJI589847 NTE589847 ODA589847 OMW589847 OWS589847 PGO589847 PQK589847 QAG589847 QKC589847 QTY589847 RDU589847 RNQ589847 RXM589847 SHI589847 SRE589847 TBA589847 TKW589847 TUS589847 UEO589847 UOK589847 UYG589847 VIC589847 VRY589847 WBU589847 WLQ589847 WVM589847 O655383 JA655383 SW655383 ACS655383 AMO655383 AWK655383 BGG655383 BQC655383 BZY655383 CJU655383 CTQ655383 DDM655383 DNI655383 DXE655383 EHA655383 EQW655383 FAS655383 FKO655383 FUK655383 GEG655383 GOC655383 GXY655383 HHU655383 HRQ655383 IBM655383 ILI655383 IVE655383 JFA655383 JOW655383 JYS655383 KIO655383 KSK655383 LCG655383 LMC655383 LVY655383 MFU655383 MPQ655383 MZM655383 NJI655383 NTE655383 ODA655383 OMW655383 OWS655383 PGO655383 PQK655383 QAG655383 QKC655383 QTY655383 RDU655383 RNQ655383 RXM655383 SHI655383 SRE655383 TBA655383 TKW655383 TUS655383 UEO655383 UOK655383 UYG655383 VIC655383 VRY655383 WBU655383 WLQ655383 WVM655383 O720919 JA720919 SW720919 ACS720919 AMO720919 AWK720919 BGG720919 BQC720919 BZY720919 CJU720919 CTQ720919 DDM720919 DNI720919 DXE720919 EHA720919 EQW720919 FAS720919 FKO720919 FUK720919 GEG720919 GOC720919 GXY720919 HHU720919 HRQ720919 IBM720919 ILI720919 IVE720919 JFA720919 JOW720919 JYS720919 KIO720919 KSK720919 LCG720919 LMC720919 LVY720919 MFU720919 MPQ720919 MZM720919 NJI720919 NTE720919 ODA720919 OMW720919 OWS720919 PGO720919 PQK720919 QAG720919 QKC720919 QTY720919 RDU720919 RNQ720919 RXM720919 SHI720919 SRE720919 TBA720919 TKW720919 TUS720919 UEO720919 UOK720919 UYG720919 VIC720919 VRY720919 WBU720919 WLQ720919 WVM720919 O786455 JA786455 SW786455 ACS786455 AMO786455 AWK786455 BGG786455 BQC786455 BZY786455 CJU786455 CTQ786455 DDM786455 DNI786455 DXE786455 EHA786455 EQW786455 FAS786455 FKO786455 FUK786455 GEG786455 GOC786455 GXY786455 HHU786455 HRQ786455 IBM786455 ILI786455 IVE786455 JFA786455 JOW786455 JYS786455 KIO786455 KSK786455 LCG786455 LMC786455 LVY786455 MFU786455 MPQ786455 MZM786455 NJI786455 NTE786455 ODA786455 OMW786455 OWS786455 PGO786455 PQK786455 QAG786455 QKC786455 QTY786455 RDU786455 RNQ786455 RXM786455 SHI786455 SRE786455 TBA786455 TKW786455 TUS786455 UEO786455 UOK786455 UYG786455 VIC786455 VRY786455 WBU786455 WLQ786455 WVM786455 O851991 JA851991 SW851991 ACS851991 AMO851991 AWK851991 BGG851991 BQC851991 BZY851991 CJU851991 CTQ851991 DDM851991 DNI851991 DXE851991 EHA851991 EQW851991 FAS851991 FKO851991 FUK851991 GEG851991 GOC851991 GXY851991 HHU851991 HRQ851991 IBM851991 ILI851991 IVE851991 JFA851991 JOW851991 JYS851991 KIO851991 KSK851991 LCG851991 LMC851991 LVY851991 MFU851991 MPQ851991 MZM851991 NJI851991 NTE851991 ODA851991 OMW851991 OWS851991 PGO851991 PQK851991 QAG851991 QKC851991 QTY851991 RDU851991 RNQ851991 RXM851991 SHI851991 SRE851991 TBA851991 TKW851991 TUS851991 UEO851991 UOK851991 UYG851991 VIC851991 VRY851991 WBU851991 WLQ851991 WVM851991 O917527 JA917527 SW917527 ACS917527 AMO917527 AWK917527 BGG917527 BQC917527 BZY917527 CJU917527 CTQ917527 DDM917527 DNI917527 DXE917527 EHA917527 EQW917527 FAS917527 FKO917527 FUK917527 GEG917527 GOC917527 GXY917527 HHU917527 HRQ917527 IBM917527 ILI917527 IVE917527 JFA917527 JOW917527 JYS917527 KIO917527 KSK917527 LCG917527 LMC917527 LVY917527 MFU917527 MPQ917527 MZM917527 NJI917527 NTE917527 ODA917527 OMW917527 OWS917527 PGO917527 PQK917527 QAG917527 QKC917527 QTY917527 RDU917527 RNQ917527 RXM917527 SHI917527 SRE917527 TBA917527 TKW917527 TUS917527 UEO917527 UOK917527 UYG917527 VIC917527 VRY917527 WBU917527 WLQ917527 WVM917527 O983063 JA983063 SW983063 ACS983063 AMO983063 AWK983063 BGG983063 BQC983063 BZY983063 CJU983063 CTQ983063 DDM983063 DNI983063 DXE983063 EHA983063 EQW983063 FAS983063 FKO983063 FUK983063 GEG983063 GOC983063 GXY983063 HHU983063 HRQ983063 IBM983063 ILI983063 IVE983063 JFA983063 JOW983063 JYS983063 KIO983063 KSK983063 LCG983063 LMC983063 LVY983063 MFU983063 MPQ983063 MZM983063 NJI983063 NTE983063 ODA983063 OMW983063 OWS983063 PGO983063 PQK983063 QAG983063 QKC983063 QTY983063 RDU983063 RNQ983063 RXM983063 SHI983063 SRE983063 TBA983063 TKW983063 TUS983063 UEO983063 UOK983063 UYG983063 VIC983063 VRY983063 WBU983063 WLQ983063 WVM983063 WVV983059:WVV983064 JA23 X65555:X65560 JJ65555:JJ65560 TF65555:TF65560 ADB65555:ADB65560 AMX65555:AMX65560 AWT65555:AWT65560 BGP65555:BGP65560 BQL65555:BQL65560 CAH65555:CAH65560 CKD65555:CKD65560 CTZ65555:CTZ65560 DDV65555:DDV65560 DNR65555:DNR65560 DXN65555:DXN65560 EHJ65555:EHJ65560 ERF65555:ERF65560 FBB65555:FBB65560 FKX65555:FKX65560 FUT65555:FUT65560 GEP65555:GEP65560 GOL65555:GOL65560 GYH65555:GYH65560 HID65555:HID65560 HRZ65555:HRZ65560 IBV65555:IBV65560 ILR65555:ILR65560 IVN65555:IVN65560 JFJ65555:JFJ65560 JPF65555:JPF65560 JZB65555:JZB65560 KIX65555:KIX65560 KST65555:KST65560 LCP65555:LCP65560 LML65555:LML65560 LWH65555:LWH65560 MGD65555:MGD65560 MPZ65555:MPZ65560 MZV65555:MZV65560 NJR65555:NJR65560 NTN65555:NTN65560 ODJ65555:ODJ65560 ONF65555:ONF65560 OXB65555:OXB65560 PGX65555:PGX65560 PQT65555:PQT65560 QAP65555:QAP65560 QKL65555:QKL65560 QUH65555:QUH65560 RED65555:RED65560 RNZ65555:RNZ65560 RXV65555:RXV65560 SHR65555:SHR65560 SRN65555:SRN65560 TBJ65555:TBJ65560 TLF65555:TLF65560 TVB65555:TVB65560 UEX65555:UEX65560 UOT65555:UOT65560 UYP65555:UYP65560 VIL65555:VIL65560 VSH65555:VSH65560 WCD65555:WCD65560 WLZ65555:WLZ65560 WVV65555:WVV65560 X131091:X131096 JJ131091:JJ131096 TF131091:TF131096 ADB131091:ADB131096 AMX131091:AMX131096 AWT131091:AWT131096 BGP131091:BGP131096 BQL131091:BQL131096 CAH131091:CAH131096 CKD131091:CKD131096 CTZ131091:CTZ131096 DDV131091:DDV131096 DNR131091:DNR131096 DXN131091:DXN131096 EHJ131091:EHJ131096 ERF131091:ERF131096 FBB131091:FBB131096 FKX131091:FKX131096 FUT131091:FUT131096 GEP131091:GEP131096 GOL131091:GOL131096 GYH131091:GYH131096 HID131091:HID131096 HRZ131091:HRZ131096 IBV131091:IBV131096 ILR131091:ILR131096 IVN131091:IVN131096 JFJ131091:JFJ131096 JPF131091:JPF131096 JZB131091:JZB131096 KIX131091:KIX131096 KST131091:KST131096 LCP131091:LCP131096 LML131091:LML131096 LWH131091:LWH131096 MGD131091:MGD131096 MPZ131091:MPZ131096 MZV131091:MZV131096 NJR131091:NJR131096 NTN131091:NTN131096 ODJ131091:ODJ131096 ONF131091:ONF131096 OXB131091:OXB131096 PGX131091:PGX131096 PQT131091:PQT131096 QAP131091:QAP131096 QKL131091:QKL131096 QUH131091:QUH131096 RED131091:RED131096 RNZ131091:RNZ131096 RXV131091:RXV131096 SHR131091:SHR131096 SRN131091:SRN131096 TBJ131091:TBJ131096 TLF131091:TLF131096 TVB131091:TVB131096 UEX131091:UEX131096 UOT131091:UOT131096 UYP131091:UYP131096 VIL131091:VIL131096 VSH131091:VSH131096 WCD131091:WCD131096 WLZ131091:WLZ131096 WVV131091:WVV131096 X196627:X196632 JJ196627:JJ196632 TF196627:TF196632 ADB196627:ADB196632 AMX196627:AMX196632 AWT196627:AWT196632 BGP196627:BGP196632 BQL196627:BQL196632 CAH196627:CAH196632 CKD196627:CKD196632 CTZ196627:CTZ196632 DDV196627:DDV196632 DNR196627:DNR196632 DXN196627:DXN196632 EHJ196627:EHJ196632 ERF196627:ERF196632 FBB196627:FBB196632 FKX196627:FKX196632 FUT196627:FUT196632 GEP196627:GEP196632 GOL196627:GOL196632 GYH196627:GYH196632 HID196627:HID196632 HRZ196627:HRZ196632 IBV196627:IBV196632 ILR196627:ILR196632 IVN196627:IVN196632 JFJ196627:JFJ196632 JPF196627:JPF196632 JZB196627:JZB196632 KIX196627:KIX196632 KST196627:KST196632 LCP196627:LCP196632 LML196627:LML196632 LWH196627:LWH196632 MGD196627:MGD196632 MPZ196627:MPZ196632 MZV196627:MZV196632 NJR196627:NJR196632 NTN196627:NTN196632 ODJ196627:ODJ196632 ONF196627:ONF196632 OXB196627:OXB196632 PGX196627:PGX196632 PQT196627:PQT196632 QAP196627:QAP196632 QKL196627:QKL196632 QUH196627:QUH196632 RED196627:RED196632 RNZ196627:RNZ196632 RXV196627:RXV196632 SHR196627:SHR196632 SRN196627:SRN196632 TBJ196627:TBJ196632 TLF196627:TLF196632 TVB196627:TVB196632 UEX196627:UEX196632 UOT196627:UOT196632 UYP196627:UYP196632 VIL196627:VIL196632 VSH196627:VSH196632 WCD196627:WCD196632 WLZ196627:WLZ196632 WVV196627:WVV196632 X262163:X262168 JJ262163:JJ262168 TF262163:TF262168 ADB262163:ADB262168 AMX262163:AMX262168 AWT262163:AWT262168 BGP262163:BGP262168 BQL262163:BQL262168 CAH262163:CAH262168 CKD262163:CKD262168 CTZ262163:CTZ262168 DDV262163:DDV262168 DNR262163:DNR262168 DXN262163:DXN262168 EHJ262163:EHJ262168 ERF262163:ERF262168 FBB262163:FBB262168 FKX262163:FKX262168 FUT262163:FUT262168 GEP262163:GEP262168 GOL262163:GOL262168 GYH262163:GYH262168 HID262163:HID262168 HRZ262163:HRZ262168 IBV262163:IBV262168 ILR262163:ILR262168 IVN262163:IVN262168 JFJ262163:JFJ262168 JPF262163:JPF262168 JZB262163:JZB262168 KIX262163:KIX262168 KST262163:KST262168 LCP262163:LCP262168 LML262163:LML262168 LWH262163:LWH262168 MGD262163:MGD262168 MPZ262163:MPZ262168 MZV262163:MZV262168 NJR262163:NJR262168 NTN262163:NTN262168 ODJ262163:ODJ262168 ONF262163:ONF262168 OXB262163:OXB262168 PGX262163:PGX262168 PQT262163:PQT262168 QAP262163:QAP262168 QKL262163:QKL262168 QUH262163:QUH262168 RED262163:RED262168 RNZ262163:RNZ262168 RXV262163:RXV262168 SHR262163:SHR262168 SRN262163:SRN262168 TBJ262163:TBJ262168 TLF262163:TLF262168 TVB262163:TVB262168 UEX262163:UEX262168 UOT262163:UOT262168 UYP262163:UYP262168 VIL262163:VIL262168 VSH262163:VSH262168 WCD262163:WCD262168 WLZ262163:WLZ262168 WVV262163:WVV262168 X327699:X327704 JJ327699:JJ327704 TF327699:TF327704 ADB327699:ADB327704 AMX327699:AMX327704 AWT327699:AWT327704 BGP327699:BGP327704 BQL327699:BQL327704 CAH327699:CAH327704 CKD327699:CKD327704 CTZ327699:CTZ327704 DDV327699:DDV327704 DNR327699:DNR327704 DXN327699:DXN327704 EHJ327699:EHJ327704 ERF327699:ERF327704 FBB327699:FBB327704 FKX327699:FKX327704 FUT327699:FUT327704 GEP327699:GEP327704 GOL327699:GOL327704 GYH327699:GYH327704 HID327699:HID327704 HRZ327699:HRZ327704 IBV327699:IBV327704 ILR327699:ILR327704 IVN327699:IVN327704 JFJ327699:JFJ327704 JPF327699:JPF327704 JZB327699:JZB327704 KIX327699:KIX327704 KST327699:KST327704 LCP327699:LCP327704 LML327699:LML327704 LWH327699:LWH327704 MGD327699:MGD327704 MPZ327699:MPZ327704 MZV327699:MZV327704 NJR327699:NJR327704 NTN327699:NTN327704 ODJ327699:ODJ327704 ONF327699:ONF327704 OXB327699:OXB327704 PGX327699:PGX327704 PQT327699:PQT327704 QAP327699:QAP327704 QKL327699:QKL327704 QUH327699:QUH327704 RED327699:RED327704 RNZ327699:RNZ327704 RXV327699:RXV327704 SHR327699:SHR327704 SRN327699:SRN327704 TBJ327699:TBJ327704 TLF327699:TLF327704 TVB327699:TVB327704 UEX327699:UEX327704 UOT327699:UOT327704 UYP327699:UYP327704 VIL327699:VIL327704 VSH327699:VSH327704 WCD327699:WCD327704 WLZ327699:WLZ327704 WVV327699:WVV327704 X393235:X393240 JJ393235:JJ393240 TF393235:TF393240 ADB393235:ADB393240 AMX393235:AMX393240 AWT393235:AWT393240 BGP393235:BGP393240 BQL393235:BQL393240 CAH393235:CAH393240 CKD393235:CKD393240 CTZ393235:CTZ393240 DDV393235:DDV393240 DNR393235:DNR393240 DXN393235:DXN393240 EHJ393235:EHJ393240 ERF393235:ERF393240 FBB393235:FBB393240 FKX393235:FKX393240 FUT393235:FUT393240 GEP393235:GEP393240 GOL393235:GOL393240 GYH393235:GYH393240 HID393235:HID393240 HRZ393235:HRZ393240 IBV393235:IBV393240 ILR393235:ILR393240 IVN393235:IVN393240 JFJ393235:JFJ393240 JPF393235:JPF393240 JZB393235:JZB393240 KIX393235:KIX393240 KST393235:KST393240 LCP393235:LCP393240 LML393235:LML393240 LWH393235:LWH393240 MGD393235:MGD393240 MPZ393235:MPZ393240 MZV393235:MZV393240 NJR393235:NJR393240 NTN393235:NTN393240 ODJ393235:ODJ393240 ONF393235:ONF393240 OXB393235:OXB393240 PGX393235:PGX393240 PQT393235:PQT393240 QAP393235:QAP393240 QKL393235:QKL393240 QUH393235:QUH393240 RED393235:RED393240 RNZ393235:RNZ393240 RXV393235:RXV393240 SHR393235:SHR393240 SRN393235:SRN393240 TBJ393235:TBJ393240 TLF393235:TLF393240 TVB393235:TVB393240 UEX393235:UEX393240 UOT393235:UOT393240 UYP393235:UYP393240 VIL393235:VIL393240 VSH393235:VSH393240 WCD393235:WCD393240 WLZ393235:WLZ393240 WVV393235:WVV393240 X458771:X458776 JJ458771:JJ458776 TF458771:TF458776 ADB458771:ADB458776 AMX458771:AMX458776 AWT458771:AWT458776 BGP458771:BGP458776 BQL458771:BQL458776 CAH458771:CAH458776 CKD458771:CKD458776 CTZ458771:CTZ458776 DDV458771:DDV458776 DNR458771:DNR458776 DXN458771:DXN458776 EHJ458771:EHJ458776 ERF458771:ERF458776 FBB458771:FBB458776 FKX458771:FKX458776 FUT458771:FUT458776 GEP458771:GEP458776 GOL458771:GOL458776 GYH458771:GYH458776 HID458771:HID458776 HRZ458771:HRZ458776 IBV458771:IBV458776 ILR458771:ILR458776 IVN458771:IVN458776 JFJ458771:JFJ458776 JPF458771:JPF458776 JZB458771:JZB458776 KIX458771:KIX458776 KST458771:KST458776 LCP458771:LCP458776 LML458771:LML458776 LWH458771:LWH458776 MGD458771:MGD458776 MPZ458771:MPZ458776 MZV458771:MZV458776 NJR458771:NJR458776 NTN458771:NTN458776 ODJ458771:ODJ458776 ONF458771:ONF458776 OXB458771:OXB458776 PGX458771:PGX458776 PQT458771:PQT458776 QAP458771:QAP458776 QKL458771:QKL458776 QUH458771:QUH458776 RED458771:RED458776 RNZ458771:RNZ458776 RXV458771:RXV458776 SHR458771:SHR458776 SRN458771:SRN458776 TBJ458771:TBJ458776 TLF458771:TLF458776 TVB458771:TVB458776 UEX458771:UEX458776 UOT458771:UOT458776 UYP458771:UYP458776 VIL458771:VIL458776 VSH458771:VSH458776 WCD458771:WCD458776 WLZ458771:WLZ458776 WVV458771:WVV458776 X524307:X524312 JJ524307:JJ524312 TF524307:TF524312 ADB524307:ADB524312 AMX524307:AMX524312 AWT524307:AWT524312 BGP524307:BGP524312 BQL524307:BQL524312 CAH524307:CAH524312 CKD524307:CKD524312 CTZ524307:CTZ524312 DDV524307:DDV524312 DNR524307:DNR524312 DXN524307:DXN524312 EHJ524307:EHJ524312 ERF524307:ERF524312 FBB524307:FBB524312 FKX524307:FKX524312 FUT524307:FUT524312 GEP524307:GEP524312 GOL524307:GOL524312 GYH524307:GYH524312 HID524307:HID524312 HRZ524307:HRZ524312 IBV524307:IBV524312 ILR524307:ILR524312 IVN524307:IVN524312 JFJ524307:JFJ524312 JPF524307:JPF524312 JZB524307:JZB524312 KIX524307:KIX524312 KST524307:KST524312 LCP524307:LCP524312 LML524307:LML524312 LWH524307:LWH524312 MGD524307:MGD524312 MPZ524307:MPZ524312 MZV524307:MZV524312 NJR524307:NJR524312 NTN524307:NTN524312 ODJ524307:ODJ524312 ONF524307:ONF524312 OXB524307:OXB524312 PGX524307:PGX524312 PQT524307:PQT524312 QAP524307:QAP524312 QKL524307:QKL524312 QUH524307:QUH524312 RED524307:RED524312 RNZ524307:RNZ524312 RXV524307:RXV524312 SHR524307:SHR524312 SRN524307:SRN524312 TBJ524307:TBJ524312 TLF524307:TLF524312 TVB524307:TVB524312 UEX524307:UEX524312 UOT524307:UOT524312 UYP524307:UYP524312 VIL524307:VIL524312 VSH524307:VSH524312 WCD524307:WCD524312 WLZ524307:WLZ524312 WVV524307:WVV524312 X589843:X589848 JJ589843:JJ589848 TF589843:TF589848 ADB589843:ADB589848 AMX589843:AMX589848 AWT589843:AWT589848 BGP589843:BGP589848 BQL589843:BQL589848 CAH589843:CAH589848 CKD589843:CKD589848 CTZ589843:CTZ589848 DDV589843:DDV589848 DNR589843:DNR589848 DXN589843:DXN589848 EHJ589843:EHJ589848 ERF589843:ERF589848 FBB589843:FBB589848 FKX589843:FKX589848 FUT589843:FUT589848 GEP589843:GEP589848 GOL589843:GOL589848 GYH589843:GYH589848 HID589843:HID589848 HRZ589843:HRZ589848 IBV589843:IBV589848 ILR589843:ILR589848 IVN589843:IVN589848 JFJ589843:JFJ589848 JPF589843:JPF589848 JZB589843:JZB589848 KIX589843:KIX589848 KST589843:KST589848 LCP589843:LCP589848 LML589843:LML589848 LWH589843:LWH589848 MGD589843:MGD589848 MPZ589843:MPZ589848 MZV589843:MZV589848 NJR589843:NJR589848 NTN589843:NTN589848 ODJ589843:ODJ589848 ONF589843:ONF589848 OXB589843:OXB589848 PGX589843:PGX589848 PQT589843:PQT589848 QAP589843:QAP589848 QKL589843:QKL589848 QUH589843:QUH589848 RED589843:RED589848 RNZ589843:RNZ589848 RXV589843:RXV589848 SHR589843:SHR589848 SRN589843:SRN589848 TBJ589843:TBJ589848 TLF589843:TLF589848 TVB589843:TVB589848 UEX589843:UEX589848 UOT589843:UOT589848 UYP589843:UYP589848 VIL589843:VIL589848 VSH589843:VSH589848 WCD589843:WCD589848 WLZ589843:WLZ589848 WVV589843:WVV589848 X655379:X655384 JJ655379:JJ655384 TF655379:TF655384 ADB655379:ADB655384 AMX655379:AMX655384 AWT655379:AWT655384 BGP655379:BGP655384 BQL655379:BQL655384 CAH655379:CAH655384 CKD655379:CKD655384 CTZ655379:CTZ655384 DDV655379:DDV655384 DNR655379:DNR655384 DXN655379:DXN655384 EHJ655379:EHJ655384 ERF655379:ERF655384 FBB655379:FBB655384 FKX655379:FKX655384 FUT655379:FUT655384 GEP655379:GEP655384 GOL655379:GOL655384 GYH655379:GYH655384 HID655379:HID655384 HRZ655379:HRZ655384 IBV655379:IBV655384 ILR655379:ILR655384 IVN655379:IVN655384 JFJ655379:JFJ655384 JPF655379:JPF655384 JZB655379:JZB655384 KIX655379:KIX655384 KST655379:KST655384 LCP655379:LCP655384 LML655379:LML655384 LWH655379:LWH655384 MGD655379:MGD655384 MPZ655379:MPZ655384 MZV655379:MZV655384 NJR655379:NJR655384 NTN655379:NTN655384 ODJ655379:ODJ655384 ONF655379:ONF655384 OXB655379:OXB655384 PGX655379:PGX655384 PQT655379:PQT655384 QAP655379:QAP655384 QKL655379:QKL655384 QUH655379:QUH655384 RED655379:RED655384 RNZ655379:RNZ655384 RXV655379:RXV655384 SHR655379:SHR655384 SRN655379:SRN655384 TBJ655379:TBJ655384 TLF655379:TLF655384 TVB655379:TVB655384 UEX655379:UEX655384 UOT655379:UOT655384 UYP655379:UYP655384 VIL655379:VIL655384 VSH655379:VSH655384 WCD655379:WCD655384 WLZ655379:WLZ655384 WVV655379:WVV655384 X720915:X720920 JJ720915:JJ720920 TF720915:TF720920 ADB720915:ADB720920 AMX720915:AMX720920 AWT720915:AWT720920 BGP720915:BGP720920 BQL720915:BQL720920 CAH720915:CAH720920 CKD720915:CKD720920 CTZ720915:CTZ720920 DDV720915:DDV720920 DNR720915:DNR720920 DXN720915:DXN720920 EHJ720915:EHJ720920 ERF720915:ERF720920 FBB720915:FBB720920 FKX720915:FKX720920 FUT720915:FUT720920 GEP720915:GEP720920 GOL720915:GOL720920 GYH720915:GYH720920 HID720915:HID720920 HRZ720915:HRZ720920 IBV720915:IBV720920 ILR720915:ILR720920 IVN720915:IVN720920 JFJ720915:JFJ720920 JPF720915:JPF720920 JZB720915:JZB720920 KIX720915:KIX720920 KST720915:KST720920 LCP720915:LCP720920 LML720915:LML720920 LWH720915:LWH720920 MGD720915:MGD720920 MPZ720915:MPZ720920 MZV720915:MZV720920 NJR720915:NJR720920 NTN720915:NTN720920 ODJ720915:ODJ720920 ONF720915:ONF720920 OXB720915:OXB720920 PGX720915:PGX720920 PQT720915:PQT720920 QAP720915:QAP720920 QKL720915:QKL720920 QUH720915:QUH720920 RED720915:RED720920 RNZ720915:RNZ720920 RXV720915:RXV720920 SHR720915:SHR720920 SRN720915:SRN720920 TBJ720915:TBJ720920 TLF720915:TLF720920 TVB720915:TVB720920 UEX720915:UEX720920 UOT720915:UOT720920 UYP720915:UYP720920 VIL720915:VIL720920 VSH720915:VSH720920 WCD720915:WCD720920 WLZ720915:WLZ720920 WVV720915:WVV720920 X786451:X786456 JJ786451:JJ786456 TF786451:TF786456 ADB786451:ADB786456 AMX786451:AMX786456 AWT786451:AWT786456 BGP786451:BGP786456 BQL786451:BQL786456 CAH786451:CAH786456 CKD786451:CKD786456 CTZ786451:CTZ786456 DDV786451:DDV786456 DNR786451:DNR786456 DXN786451:DXN786456 EHJ786451:EHJ786456 ERF786451:ERF786456 FBB786451:FBB786456 FKX786451:FKX786456 FUT786451:FUT786456 GEP786451:GEP786456 GOL786451:GOL786456 GYH786451:GYH786456 HID786451:HID786456 HRZ786451:HRZ786456 IBV786451:IBV786456 ILR786451:ILR786456 IVN786451:IVN786456 JFJ786451:JFJ786456 JPF786451:JPF786456 JZB786451:JZB786456 KIX786451:KIX786456 KST786451:KST786456 LCP786451:LCP786456 LML786451:LML786456 LWH786451:LWH786456 MGD786451:MGD786456 MPZ786451:MPZ786456 MZV786451:MZV786456 NJR786451:NJR786456 NTN786451:NTN786456 ODJ786451:ODJ786456 ONF786451:ONF786456 OXB786451:OXB786456 PGX786451:PGX786456 PQT786451:PQT786456 QAP786451:QAP786456 QKL786451:QKL786456 QUH786451:QUH786456 RED786451:RED786456 RNZ786451:RNZ786456 RXV786451:RXV786456 SHR786451:SHR786456 SRN786451:SRN786456 TBJ786451:TBJ786456 TLF786451:TLF786456 TVB786451:TVB786456 UEX786451:UEX786456 UOT786451:UOT786456 UYP786451:UYP786456 VIL786451:VIL786456 VSH786451:VSH786456 WCD786451:WCD786456 WLZ786451:WLZ786456 WVV786451:WVV786456 X851987:X851992 JJ851987:JJ851992 TF851987:TF851992 ADB851987:ADB851992 AMX851987:AMX851992 AWT851987:AWT851992 BGP851987:BGP851992 BQL851987:BQL851992 CAH851987:CAH851992 CKD851987:CKD851992 CTZ851987:CTZ851992 DDV851987:DDV851992 DNR851987:DNR851992 DXN851987:DXN851992 EHJ851987:EHJ851992 ERF851987:ERF851992 FBB851987:FBB851992 FKX851987:FKX851992 FUT851987:FUT851992 GEP851987:GEP851992 GOL851987:GOL851992 GYH851987:GYH851992 HID851987:HID851992 HRZ851987:HRZ851992 IBV851987:IBV851992 ILR851987:ILR851992 IVN851987:IVN851992 JFJ851987:JFJ851992 JPF851987:JPF851992 JZB851987:JZB851992 KIX851987:KIX851992 KST851987:KST851992 LCP851987:LCP851992 LML851987:LML851992 LWH851987:LWH851992 MGD851987:MGD851992 MPZ851987:MPZ851992 MZV851987:MZV851992 NJR851987:NJR851992 NTN851987:NTN851992 ODJ851987:ODJ851992 ONF851987:ONF851992 OXB851987:OXB851992 PGX851987:PGX851992 PQT851987:PQT851992 QAP851987:QAP851992 QKL851987:QKL851992 QUH851987:QUH851992 RED851987:RED851992 RNZ851987:RNZ851992 RXV851987:RXV851992 SHR851987:SHR851992 SRN851987:SRN851992 TBJ851987:TBJ851992 TLF851987:TLF851992 TVB851987:TVB851992 UEX851987:UEX851992 UOT851987:UOT851992 UYP851987:UYP851992 VIL851987:VIL851992 VSH851987:VSH851992 WCD851987:WCD851992 WLZ851987:WLZ851992 WVV851987:WVV851992 X917523:X917528 JJ917523:JJ917528 TF917523:TF917528 ADB917523:ADB917528 AMX917523:AMX917528 AWT917523:AWT917528 BGP917523:BGP917528 BQL917523:BQL917528 CAH917523:CAH917528 CKD917523:CKD917528 CTZ917523:CTZ917528 DDV917523:DDV917528 DNR917523:DNR917528 DXN917523:DXN917528 EHJ917523:EHJ917528 ERF917523:ERF917528 FBB917523:FBB917528 FKX917523:FKX917528 FUT917523:FUT917528 GEP917523:GEP917528 GOL917523:GOL917528 GYH917523:GYH917528 HID917523:HID917528 HRZ917523:HRZ917528 IBV917523:IBV917528 ILR917523:ILR917528 IVN917523:IVN917528 JFJ917523:JFJ917528 JPF917523:JPF917528 JZB917523:JZB917528 KIX917523:KIX917528 KST917523:KST917528 LCP917523:LCP917528 LML917523:LML917528 LWH917523:LWH917528 MGD917523:MGD917528 MPZ917523:MPZ917528 MZV917523:MZV917528 NJR917523:NJR917528 NTN917523:NTN917528 ODJ917523:ODJ917528 ONF917523:ONF917528 OXB917523:OXB917528 PGX917523:PGX917528 PQT917523:PQT917528 QAP917523:QAP917528 QKL917523:QKL917528 QUH917523:QUH917528 RED917523:RED917528 RNZ917523:RNZ917528 RXV917523:RXV917528 SHR917523:SHR917528 SRN917523:SRN917528 TBJ917523:TBJ917528 TLF917523:TLF917528 TVB917523:TVB917528 UEX917523:UEX917528 UOT917523:UOT917528 UYP917523:UYP917528 VIL917523:VIL917528 VSH917523:VSH917528 WCD917523:WCD917528 WLZ917523:WLZ917528 WVV917523:WVV917528 X983059:X983064 JJ983059:JJ983064 TF983059:TF983064 ADB983059:ADB983064 AMX983059:AMX983064 AWT983059:AWT983064 BGP983059:BGP983064 BQL983059:BQL983064 CAH983059:CAH983064 CKD983059:CKD983064 CTZ983059:CTZ983064 DDV983059:DDV983064 DNR983059:DNR983064 DXN983059:DXN983064 EHJ983059:EHJ983064 ERF983059:ERF983064 FBB983059:FBB983064 FKX983059:FKX983064 FUT983059:FUT983064 GEP983059:GEP983064 GOL983059:GOL983064 GYH983059:GYH983064 HID983059:HID983064 HRZ983059:HRZ983064 IBV983059:IBV983064 ILR983059:ILR983064 IVN983059:IVN983064 JFJ983059:JFJ983064 JPF983059:JPF983064 JZB983059:JZB983064 KIX983059:KIX983064 KST983059:KST983064 LCP983059:LCP983064 LML983059:LML983064 LWH983059:LWH983064 MGD983059:MGD983064 MPZ983059:MPZ983064 MZV983059:MZV983064 NJR983059:NJR983064 NTN983059:NTN983064 ODJ983059:ODJ983064 ONF983059:ONF983064 OXB983059:OXB983064 PGX983059:PGX983064 PQT983059:PQT983064 QAP983059:QAP983064 QKL983059:QKL983064 QUH983059:QUH983064 RED983059:RED983064 RNZ983059:RNZ983064 RXV983059:RXV983064 SHR983059:SHR983064 SRN983059:SRN983064 TBJ983059:TBJ983064 TLF983059:TLF983064 TVB983059:TVB983064 UEX983059:UEX983064 UOT983059:UOT983064 UYP983059:UYP983064 VIL983059:VIL983064 VSH983059:VSH983064 WCD983059:WCD983064 WLZ983059:WLZ983064 WVV19:WVV24 JJ19:JJ24 TF19:TF24 ADB19:ADB24 AMX19:AMX24 AWT19:AWT24 BGP19:BGP24 BQL19:BQL24 CAH19:CAH24 CKD19:CKD24 CTZ19:CTZ24 DDV19:DDV24 DNR19:DNR24 DXN19:DXN24 EHJ19:EHJ24 ERF19:ERF24 FBB19:FBB24 FKX19:FKX24 FUT19:FUT24 GEP19:GEP24 GOL19:GOL24 GYH19:GYH24 HID19:HID24 HRZ19:HRZ24 IBV19:IBV24 ILR19:ILR24 IVN19:IVN24 JFJ19:JFJ24 JPF19:JPF24 JZB19:JZB24 KIX19:KIX24 KST19:KST24 LCP19:LCP24 LML19:LML24 LWH19:LWH24 MGD19:MGD24 MPZ19:MPZ24 MZV19:MZV24 NJR19:NJR24 NTN19:NTN24 ODJ19:ODJ24 ONF19:ONF24 OXB19:OXB24 PGX19:PGX24 PQT19:PQT24 QAP19:QAP24 QKL19:QKL24 QUH19:QUH24 RED19:RED24 RNZ19:RNZ24 RXV19:RXV24 SHR19:SHR24 SRN19:SRN24 TBJ19:TBJ24 TLF19:TLF24 TVB19:TVB24 UEX19:UEX24 UOT19:UOT24 UYP19:UYP24 VIL19:VIL24 VSH19:VSH24 WCD19:WCD24 WLZ19:WLZ24 SW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7A38671-8608-98E2-8BB9-17596CCC65D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FFEB89D-798F-B4A6-4A9E-2FDCF279DF6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D1DF154-BF75-DA18-FEAD-BF18629F94B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AEF72AF-EA39-FB64-46A1-7A1DAF18BD5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68BA47C-EC18-1CA7-C7E6-625367328F6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837CAEA-9ABA-8A58-D65F-FD577097BA7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4B7DD3A-7C9B-5928-3461-7CCBE372C9B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94BE82E-417F-F315-B1FF-85E2A80E0553}"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51"/>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045A0B2-1281-6EDF-3098-67D230260C26}" mc:Ignorable="x14ac xr xr2 xr3">
  <dimension ref="A1:E8"/>
  <sheetViews>
    <sheetView topLeftCell="A1" showGridLines="0" workbookViewId="0">
      <selection activeCell="A1" sqref="A1"/>
    </sheetView>
  </sheetViews>
  <sheetFormatPr customHeight="1" defaultRowHeight="11.25"/>
  <cols>
    <col min="1" max="1" width="10.57421875" customWidth="1"/>
    <col min="2" max="2" width="8.7109375" customWidth="1"/>
    <col min="3" max="3" width="18.140625" customWidth="1"/>
    <col min="4" max="4" width="12.57421875" customWidth="1"/>
  </cols>
  <sheetData>
    <row customHeight="1" ht="11.25">
      <c r="A1" s="759" t="s">
        <v>2163</v>
      </c>
      <c r="B1" s="770" t="s">
        <v>2164</v>
      </c>
      <c r="C1" s="2452" t="s">
        <v>2165</v>
      </c>
      <c r="D1" s="2453"/>
      <c r="E1" s="842" t="s">
        <v>2166</v>
      </c>
    </row>
    <row customHeight="1" ht="11.25">
      <c r="A2" s="763"/>
      <c r="B2" s="771" t="s">
        <v>22</v>
      </c>
      <c r="C2" s="759"/>
      <c r="D2" s="770"/>
      <c r="E2" s="842"/>
    </row>
    <row customHeight="1" ht="11.25">
      <c r="A3" s="774"/>
      <c r="B3" s="772" t="s">
        <v>29</v>
      </c>
      <c r="C3" s="759"/>
      <c r="D3" s="770"/>
      <c r="E3" s="842"/>
    </row>
    <row customHeight="1" ht="11.25">
      <c r="A4" s="775"/>
      <c r="B4" s="772" t="s">
        <v>1659</v>
      </c>
      <c r="C4" s="759"/>
      <c r="D4" s="770"/>
      <c r="E4" s="842"/>
    </row>
    <row customHeight="1" ht="11.25">
      <c r="A5" s="787"/>
      <c r="B5" s="772" t="s">
        <v>1653</v>
      </c>
      <c r="C5" s="762" t="s">
        <v>1902</v>
      </c>
      <c r="D5" s="886" t="s">
        <v>2167</v>
      </c>
      <c r="E5" s="842"/>
    </row>
    <row s="4554" customFormat="1" customHeight="1" ht="11.25">
      <c r="A6" s="773"/>
      <c r="B6" s="772" t="s">
        <v>1663</v>
      </c>
      <c r="C6" s="759"/>
      <c r="D6" s="770"/>
      <c r="E6" s="842"/>
    </row>
    <row customHeight="1" ht="11.25">
      <c r="A7" s="761"/>
      <c r="B7" s="772" t="s">
        <v>1671</v>
      </c>
      <c r="C7" s="759"/>
      <c r="D7" s="770"/>
      <c r="E7" s="842"/>
    </row>
    <row customHeight="1" ht="11.25">
      <c r="A8" s="762"/>
      <c r="B8" s="772" t="s">
        <v>1666</v>
      </c>
      <c r="C8" s="759"/>
      <c r="D8" s="770"/>
      <c r="E8" s="842"/>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CAAA683-2898-166D-7822-B86C1A7234C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6AD462A-0A3F-1AFC-7ED7-4B8272D0417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25199DF-8763-A72C-8101-7505223C17FB}" mc:Ignorable="x14ac xr xr2 xr3">
  <sheetPr>
    <tabColor rgb="FFFFCC99"/>
  </sheetPr>
  <dimension ref="A1:I1253"/>
  <sheetViews>
    <sheetView topLeftCell="A1" showGridLines="0" workbookViewId="0">
      <selection activeCell="A1" sqref="A1"/>
    </sheetView>
  </sheetViews>
  <sheetFormatPr defaultColWidth="9.140625" customHeight="1" defaultRowHeight="11.25"/>
  <cols>
    <col min="1" max="2" style="5143" width="9.140625"/>
    <col min="3" max="3" style="5143" width="20.7109375" customWidth="1"/>
    <col min="4" max="4" style="5143" width="25.140625" customWidth="1"/>
    <col min="5" max="9" style="5143" width="9.140625"/>
  </cols>
  <sheetData>
    <row customHeight="1" ht="11.25">
      <c r="A1" s="53" t="s">
        <v>2168</v>
      </c>
      <c r="B1" s="53" t="s">
        <v>2169</v>
      </c>
      <c r="C1" s="53" t="s">
        <v>2170</v>
      </c>
      <c r="D1" s="53" t="s">
        <v>2171</v>
      </c>
      <c r="E1" s="53" t="s">
        <v>2172</v>
      </c>
      <c r="F1" s="53" t="s">
        <v>2173</v>
      </c>
      <c r="G1" s="53" t="s">
        <v>2174</v>
      </c>
      <c r="H1" s="53" t="s">
        <v>2175</v>
      </c>
      <c r="I1" s="53" t="s">
        <v>2176</v>
      </c>
    </row>
    <row customHeight="1" ht="11.25">
      <c r="A2" s="5144" t="s">
        <v>2177</v>
      </c>
      <c r="B2" s="5144" t="s">
        <v>14</v>
      </c>
      <c r="C2" s="5144" t="s">
        <v>24</v>
      </c>
      <c r="D2" s="5144" t="s">
        <v>2178</v>
      </c>
      <c r="E2" s="5144" t="s">
        <v>2179</v>
      </c>
      <c r="F2" s="5144" t="s">
        <v>2180</v>
      </c>
      <c r="G2" s="5144" t="s">
        <v>24</v>
      </c>
      <c r="H2" s="5144" t="s">
        <v>24</v>
      </c>
      <c r="I2" s="5144" t="s">
        <v>710</v>
      </c>
    </row>
    <row customHeight="1" ht="11.25">
      <c r="A3" s="5144" t="s">
        <v>2177</v>
      </c>
      <c r="B3" s="5144" t="s">
        <v>14</v>
      </c>
      <c r="C3" s="5144" t="s">
        <v>24</v>
      </c>
      <c r="D3" s="5144" t="s">
        <v>2181</v>
      </c>
      <c r="E3" s="5144" t="s">
        <v>2182</v>
      </c>
      <c r="F3" s="5144" t="s">
        <v>2183</v>
      </c>
      <c r="G3" s="5144" t="s">
        <v>24</v>
      </c>
      <c r="H3" s="5144" t="s">
        <v>24</v>
      </c>
      <c r="I3" s="5144" t="s">
        <v>710</v>
      </c>
    </row>
    <row customHeight="1" ht="11.25">
      <c r="A4" s="5144" t="s">
        <v>2177</v>
      </c>
      <c r="B4" s="5144" t="s">
        <v>14</v>
      </c>
      <c r="C4" s="5144" t="s">
        <v>24</v>
      </c>
      <c r="D4" s="5144" t="s">
        <v>2184</v>
      </c>
      <c r="E4" s="5144" t="s">
        <v>2185</v>
      </c>
      <c r="F4" s="5144" t="s">
        <v>2186</v>
      </c>
      <c r="G4" s="5144" t="s">
        <v>24</v>
      </c>
      <c r="H4" s="5144" t="s">
        <v>24</v>
      </c>
      <c r="I4" s="5144" t="s">
        <v>710</v>
      </c>
    </row>
    <row customHeight="1" ht="11.25">
      <c r="A5" s="5144" t="s">
        <v>2177</v>
      </c>
      <c r="B5" s="5144" t="s">
        <v>14</v>
      </c>
      <c r="C5" s="5144" t="s">
        <v>24</v>
      </c>
      <c r="D5" s="5144" t="s">
        <v>2187</v>
      </c>
      <c r="E5" s="5144" t="s">
        <v>2188</v>
      </c>
      <c r="F5" s="5144" t="s">
        <v>2189</v>
      </c>
      <c r="G5" s="5144" t="s">
        <v>24</v>
      </c>
      <c r="H5" s="5144" t="s">
        <v>24</v>
      </c>
      <c r="I5" s="5144" t="s">
        <v>710</v>
      </c>
    </row>
    <row customHeight="1" ht="11.25">
      <c r="A6" s="5144" t="s">
        <v>2177</v>
      </c>
      <c r="B6" s="5144" t="s">
        <v>14</v>
      </c>
      <c r="C6" s="5144" t="s">
        <v>24</v>
      </c>
      <c r="D6" s="5144" t="s">
        <v>2190</v>
      </c>
      <c r="E6" s="5144" t="s">
        <v>2191</v>
      </c>
      <c r="F6" s="5144" t="s">
        <v>2192</v>
      </c>
      <c r="G6" s="5144" t="s">
        <v>24</v>
      </c>
      <c r="H6" s="5144" t="s">
        <v>24</v>
      </c>
      <c r="I6" s="5144" t="s">
        <v>710</v>
      </c>
    </row>
    <row customHeight="1" ht="11.25">
      <c r="A7" s="5144" t="s">
        <v>2177</v>
      </c>
      <c r="B7" s="5144" t="s">
        <v>14</v>
      </c>
      <c r="C7" s="5144" t="s">
        <v>24</v>
      </c>
      <c r="D7" s="5144" t="s">
        <v>2193</v>
      </c>
      <c r="E7" s="5144" t="s">
        <v>2194</v>
      </c>
      <c r="F7" s="5144" t="s">
        <v>2189</v>
      </c>
      <c r="G7" s="5144" t="s">
        <v>24</v>
      </c>
      <c r="H7" s="5144" t="s">
        <v>24</v>
      </c>
      <c r="I7" s="5144" t="s">
        <v>710</v>
      </c>
    </row>
    <row customHeight="1" ht="11.25">
      <c r="A8" s="5144" t="s">
        <v>2177</v>
      </c>
      <c r="B8" s="5144" t="s">
        <v>14</v>
      </c>
      <c r="C8" s="5144" t="s">
        <v>24</v>
      </c>
      <c r="D8" s="5144" t="s">
        <v>2195</v>
      </c>
      <c r="E8" s="5144" t="s">
        <v>2196</v>
      </c>
      <c r="F8" s="5144" t="s">
        <v>2186</v>
      </c>
      <c r="G8" s="5144" t="s">
        <v>24</v>
      </c>
      <c r="H8" s="5144" t="s">
        <v>24</v>
      </c>
      <c r="I8" s="5144" t="s">
        <v>710</v>
      </c>
    </row>
    <row customHeight="1" ht="11.25">
      <c r="A9" s="5144" t="s">
        <v>2177</v>
      </c>
      <c r="B9" s="5144" t="s">
        <v>14</v>
      </c>
      <c r="C9" s="5144" t="s">
        <v>24</v>
      </c>
      <c r="D9" s="5144" t="s">
        <v>2197</v>
      </c>
      <c r="E9" s="5144" t="s">
        <v>2198</v>
      </c>
      <c r="F9" s="5144" t="s">
        <v>2199</v>
      </c>
      <c r="G9" s="5144" t="s">
        <v>24</v>
      </c>
      <c r="H9" s="5144" t="s">
        <v>24</v>
      </c>
      <c r="I9" s="5144" t="s">
        <v>710</v>
      </c>
    </row>
    <row customHeight="1" ht="11.25">
      <c r="A10" s="5144" t="s">
        <v>2177</v>
      </c>
      <c r="B10" s="5144" t="s">
        <v>14</v>
      </c>
      <c r="C10" s="5144" t="s">
        <v>24</v>
      </c>
      <c r="D10" s="5144" t="s">
        <v>2200</v>
      </c>
      <c r="E10" s="5144" t="s">
        <v>2201</v>
      </c>
      <c r="F10" s="5144" t="s">
        <v>2202</v>
      </c>
      <c r="G10" s="5144" t="s">
        <v>24</v>
      </c>
      <c r="H10" s="5144" t="s">
        <v>24</v>
      </c>
      <c r="I10" s="5144" t="s">
        <v>710</v>
      </c>
    </row>
    <row customHeight="1" ht="11.25">
      <c r="A11" s="5144" t="s">
        <v>2177</v>
      </c>
      <c r="B11" s="5144" t="s">
        <v>14</v>
      </c>
      <c r="C11" s="5144" t="s">
        <v>24</v>
      </c>
      <c r="D11" s="5144" t="s">
        <v>2203</v>
      </c>
      <c r="E11" s="5144" t="s">
        <v>2204</v>
      </c>
      <c r="F11" s="5144" t="s">
        <v>51</v>
      </c>
      <c r="G11" s="5144" t="s">
        <v>24</v>
      </c>
      <c r="H11" s="5144" t="s">
        <v>24</v>
      </c>
      <c r="I11" s="5144" t="s">
        <v>710</v>
      </c>
    </row>
    <row customHeight="1" ht="11.25">
      <c r="A12" s="5144" t="s">
        <v>2177</v>
      </c>
      <c r="B12" s="5144" t="s">
        <v>14</v>
      </c>
      <c r="C12" s="5144" t="s">
        <v>24</v>
      </c>
      <c r="D12" s="5144" t="s">
        <v>2205</v>
      </c>
      <c r="E12" s="5144" t="s">
        <v>2206</v>
      </c>
      <c r="F12" s="5144" t="s">
        <v>2207</v>
      </c>
      <c r="G12" s="5144" t="s">
        <v>24</v>
      </c>
      <c r="H12" s="5144" t="s">
        <v>24</v>
      </c>
      <c r="I12" s="5144" t="s">
        <v>710</v>
      </c>
    </row>
    <row customHeight="1" ht="11.25">
      <c r="A13" s="5144" t="s">
        <v>2177</v>
      </c>
      <c r="B13" s="5144" t="s">
        <v>14</v>
      </c>
      <c r="C13" s="5144" t="s">
        <v>24</v>
      </c>
      <c r="D13" s="5144" t="s">
        <v>2208</v>
      </c>
      <c r="E13" s="5144" t="s">
        <v>2209</v>
      </c>
      <c r="F13" s="5144" t="s">
        <v>2210</v>
      </c>
      <c r="G13" s="5144" t="s">
        <v>24</v>
      </c>
      <c r="H13" s="5144" t="s">
        <v>24</v>
      </c>
      <c r="I13" s="5144" t="s">
        <v>710</v>
      </c>
    </row>
    <row customHeight="1" ht="11.25">
      <c r="A14" s="5144" t="s">
        <v>2177</v>
      </c>
      <c r="B14" s="5144" t="s">
        <v>14</v>
      </c>
      <c r="C14" s="5144" t="s">
        <v>24</v>
      </c>
      <c r="D14" s="5144" t="s">
        <v>2211</v>
      </c>
      <c r="E14" s="5144" t="s">
        <v>2212</v>
      </c>
      <c r="F14" s="5144" t="s">
        <v>2186</v>
      </c>
      <c r="G14" s="5144" t="s">
        <v>24</v>
      </c>
      <c r="H14" s="5144" t="s">
        <v>24</v>
      </c>
      <c r="I14" s="5144" t="s">
        <v>710</v>
      </c>
    </row>
    <row customHeight="1" ht="11.25">
      <c r="A15" s="5144" t="s">
        <v>2177</v>
      </c>
      <c r="B15" s="5144" t="s">
        <v>14</v>
      </c>
      <c r="C15" s="5144" t="s">
        <v>24</v>
      </c>
      <c r="D15" s="5144" t="s">
        <v>2213</v>
      </c>
      <c r="E15" s="5144" t="s">
        <v>2214</v>
      </c>
      <c r="F15" s="5144" t="s">
        <v>2189</v>
      </c>
      <c r="G15" s="5144" t="s">
        <v>24</v>
      </c>
      <c r="H15" s="5144" t="s">
        <v>24</v>
      </c>
      <c r="I15" s="5144" t="s">
        <v>710</v>
      </c>
    </row>
    <row customHeight="1" ht="11.25">
      <c r="A16" s="5144" t="s">
        <v>2177</v>
      </c>
      <c r="B16" s="5144" t="s">
        <v>14</v>
      </c>
      <c r="C16" s="5144" t="s">
        <v>24</v>
      </c>
      <c r="D16" s="5144" t="s">
        <v>2215</v>
      </c>
      <c r="E16" s="5144" t="s">
        <v>2216</v>
      </c>
      <c r="F16" s="5144" t="s">
        <v>2202</v>
      </c>
      <c r="G16" s="5144" t="s">
        <v>24</v>
      </c>
      <c r="H16" s="5144" t="s">
        <v>24</v>
      </c>
      <c r="I16" s="5144" t="s">
        <v>710</v>
      </c>
    </row>
    <row customHeight="1" ht="11.25">
      <c r="A17" s="5144" t="s">
        <v>2177</v>
      </c>
      <c r="B17" s="5144" t="s">
        <v>14</v>
      </c>
      <c r="C17" s="5144" t="s">
        <v>24</v>
      </c>
      <c r="D17" s="5144" t="s">
        <v>2217</v>
      </c>
      <c r="E17" s="5144" t="s">
        <v>2218</v>
      </c>
      <c r="F17" s="5144" t="s">
        <v>2189</v>
      </c>
      <c r="G17" s="5144" t="s">
        <v>24</v>
      </c>
      <c r="H17" s="5144" t="s">
        <v>24</v>
      </c>
      <c r="I17" s="5144" t="s">
        <v>710</v>
      </c>
    </row>
    <row customHeight="1" ht="11.25">
      <c r="A18" s="5144" t="s">
        <v>2177</v>
      </c>
      <c r="B18" s="5144" t="s">
        <v>14</v>
      </c>
      <c r="C18" s="5144" t="s">
        <v>24</v>
      </c>
      <c r="D18" s="5144" t="s">
        <v>2219</v>
      </c>
      <c r="E18" s="5144" t="s">
        <v>2220</v>
      </c>
      <c r="F18" s="5144" t="s">
        <v>2221</v>
      </c>
      <c r="G18" s="5144" t="s">
        <v>24</v>
      </c>
      <c r="H18" s="5144" t="s">
        <v>24</v>
      </c>
      <c r="I18" s="5144" t="s">
        <v>710</v>
      </c>
    </row>
    <row customHeight="1" ht="11.25">
      <c r="A19" s="5144" t="s">
        <v>2177</v>
      </c>
      <c r="B19" s="5144" t="s">
        <v>14</v>
      </c>
      <c r="C19" s="5144" t="s">
        <v>24</v>
      </c>
      <c r="D19" s="5144" t="s">
        <v>2222</v>
      </c>
      <c r="E19" s="5144" t="s">
        <v>2223</v>
      </c>
      <c r="F19" s="5144" t="s">
        <v>2186</v>
      </c>
      <c r="G19" s="5144" t="s">
        <v>24</v>
      </c>
      <c r="H19" s="5144" t="s">
        <v>24</v>
      </c>
      <c r="I19" s="5144" t="s">
        <v>710</v>
      </c>
    </row>
    <row customHeight="1" ht="11.25">
      <c r="A20" s="5144" t="s">
        <v>2177</v>
      </c>
      <c r="B20" s="5144" t="s">
        <v>14</v>
      </c>
      <c r="C20" s="5144" t="s">
        <v>24</v>
      </c>
      <c r="D20" s="5144" t="s">
        <v>2224</v>
      </c>
      <c r="E20" s="5144" t="s">
        <v>2225</v>
      </c>
      <c r="F20" s="5144" t="s">
        <v>2226</v>
      </c>
      <c r="G20" s="5144" t="s">
        <v>24</v>
      </c>
      <c r="H20" s="5144" t="s">
        <v>24</v>
      </c>
      <c r="I20" s="5144" t="s">
        <v>710</v>
      </c>
    </row>
    <row customHeight="1" ht="11.25">
      <c r="A21" s="5144" t="s">
        <v>2177</v>
      </c>
      <c r="B21" s="5144" t="s">
        <v>14</v>
      </c>
      <c r="C21" s="5144" t="s">
        <v>24</v>
      </c>
      <c r="D21" s="5144" t="s">
        <v>2227</v>
      </c>
      <c r="E21" s="5144" t="s">
        <v>2228</v>
      </c>
      <c r="F21" s="5144" t="s">
        <v>2186</v>
      </c>
      <c r="G21" s="5144" t="s">
        <v>24</v>
      </c>
      <c r="H21" s="5144" t="s">
        <v>24</v>
      </c>
      <c r="I21" s="5144" t="s">
        <v>710</v>
      </c>
    </row>
    <row customHeight="1" ht="11.25">
      <c r="A22" s="5144" t="s">
        <v>2177</v>
      </c>
      <c r="B22" s="5144" t="s">
        <v>14</v>
      </c>
      <c r="C22" s="5144" t="s">
        <v>24</v>
      </c>
      <c r="D22" s="5144" t="s">
        <v>2229</v>
      </c>
      <c r="E22" s="5144" t="s">
        <v>2230</v>
      </c>
      <c r="F22" s="5144" t="s">
        <v>2231</v>
      </c>
      <c r="G22" s="5144" t="s">
        <v>24</v>
      </c>
      <c r="H22" s="5144" t="s">
        <v>24</v>
      </c>
      <c r="I22" s="5144" t="s">
        <v>710</v>
      </c>
    </row>
    <row customHeight="1" ht="11.25">
      <c r="A23" s="5144" t="s">
        <v>2177</v>
      </c>
      <c r="B23" s="5144" t="s">
        <v>14</v>
      </c>
      <c r="C23" s="5144" t="s">
        <v>24</v>
      </c>
      <c r="D23" s="5144" t="s">
        <v>2232</v>
      </c>
      <c r="E23" s="5144" t="s">
        <v>2233</v>
      </c>
      <c r="F23" s="5144" t="s">
        <v>2234</v>
      </c>
      <c r="G23" s="5144" t="s">
        <v>24</v>
      </c>
      <c r="H23" s="5144" t="s">
        <v>24</v>
      </c>
      <c r="I23" s="5144" t="s">
        <v>710</v>
      </c>
    </row>
    <row customHeight="1" ht="11.25">
      <c r="A24" s="5144" t="s">
        <v>2177</v>
      </c>
      <c r="B24" s="5144" t="s">
        <v>14</v>
      </c>
      <c r="C24" s="5144" t="s">
        <v>24</v>
      </c>
      <c r="D24" s="5144" t="s">
        <v>2235</v>
      </c>
      <c r="E24" s="5144" t="s">
        <v>2236</v>
      </c>
      <c r="F24" s="5144" t="s">
        <v>2231</v>
      </c>
      <c r="G24" s="5144" t="s">
        <v>24</v>
      </c>
      <c r="H24" s="5144" t="s">
        <v>24</v>
      </c>
      <c r="I24" s="5144" t="s">
        <v>710</v>
      </c>
    </row>
    <row customHeight="1" ht="11.25">
      <c r="A25" s="5144" t="s">
        <v>2177</v>
      </c>
      <c r="B25" s="5144" t="s">
        <v>14</v>
      </c>
      <c r="C25" s="5144" t="s">
        <v>24</v>
      </c>
      <c r="D25" s="5144" t="s">
        <v>2237</v>
      </c>
      <c r="E25" s="5144" t="s">
        <v>2238</v>
      </c>
      <c r="F25" s="5144" t="s">
        <v>2239</v>
      </c>
      <c r="G25" s="5144" t="s">
        <v>24</v>
      </c>
      <c r="H25" s="5144" t="s">
        <v>24</v>
      </c>
      <c r="I25" s="5144" t="s">
        <v>710</v>
      </c>
    </row>
    <row customHeight="1" ht="11.25">
      <c r="A26" s="5144" t="s">
        <v>2177</v>
      </c>
      <c r="B26" s="5144" t="s">
        <v>14</v>
      </c>
      <c r="C26" s="5144" t="s">
        <v>24</v>
      </c>
      <c r="D26" s="5144" t="s">
        <v>2240</v>
      </c>
      <c r="E26" s="5144" t="s">
        <v>2241</v>
      </c>
      <c r="F26" s="5144" t="s">
        <v>2231</v>
      </c>
      <c r="G26" s="5144" t="s">
        <v>24</v>
      </c>
      <c r="H26" s="5144" t="s">
        <v>24</v>
      </c>
      <c r="I26" s="5144" t="s">
        <v>710</v>
      </c>
    </row>
    <row customHeight="1" ht="11.25">
      <c r="A27" s="5144" t="s">
        <v>2177</v>
      </c>
      <c r="B27" s="5144" t="s">
        <v>14</v>
      </c>
      <c r="C27" s="5144" t="s">
        <v>24</v>
      </c>
      <c r="D27" s="5144" t="s">
        <v>2242</v>
      </c>
      <c r="E27" s="5144" t="s">
        <v>2243</v>
      </c>
      <c r="F27" s="5144" t="s">
        <v>2234</v>
      </c>
      <c r="G27" s="5144" t="s">
        <v>24</v>
      </c>
      <c r="H27" s="5144" t="s">
        <v>24</v>
      </c>
      <c r="I27" s="5144" t="s">
        <v>710</v>
      </c>
    </row>
    <row customHeight="1" ht="11.25">
      <c r="A28" s="5144" t="s">
        <v>2177</v>
      </c>
      <c r="B28" s="5144" t="s">
        <v>14</v>
      </c>
      <c r="C28" s="5144" t="s">
        <v>24</v>
      </c>
      <c r="D28" s="5144" t="s">
        <v>2244</v>
      </c>
      <c r="E28" s="5144" t="s">
        <v>2245</v>
      </c>
      <c r="F28" s="5144" t="s">
        <v>2231</v>
      </c>
      <c r="G28" s="5144" t="s">
        <v>24</v>
      </c>
      <c r="H28" s="5144" t="s">
        <v>24</v>
      </c>
      <c r="I28" s="5144" t="s">
        <v>710</v>
      </c>
    </row>
    <row customHeight="1" ht="11.25">
      <c r="A29" s="5144" t="s">
        <v>2177</v>
      </c>
      <c r="B29" s="5144" t="s">
        <v>14</v>
      </c>
      <c r="C29" s="5144" t="s">
        <v>24</v>
      </c>
      <c r="D29" s="5144" t="s">
        <v>2246</v>
      </c>
      <c r="E29" s="5144" t="s">
        <v>2247</v>
      </c>
      <c r="F29" s="5144" t="s">
        <v>2234</v>
      </c>
      <c r="G29" s="5144" t="s">
        <v>24</v>
      </c>
      <c r="H29" s="5144" t="s">
        <v>24</v>
      </c>
      <c r="I29" s="5144" t="s">
        <v>710</v>
      </c>
    </row>
    <row customHeight="1" ht="11.25">
      <c r="A30" s="5144" t="s">
        <v>2177</v>
      </c>
      <c r="B30" s="5144" t="s">
        <v>14</v>
      </c>
      <c r="C30" s="5144" t="s">
        <v>24</v>
      </c>
      <c r="D30" s="5144" t="s">
        <v>2248</v>
      </c>
      <c r="E30" s="5144" t="s">
        <v>2249</v>
      </c>
      <c r="F30" s="5144" t="s">
        <v>2234</v>
      </c>
      <c r="G30" s="5144" t="s">
        <v>24</v>
      </c>
      <c r="H30" s="5144" t="s">
        <v>24</v>
      </c>
      <c r="I30" s="5144" t="s">
        <v>710</v>
      </c>
    </row>
    <row customHeight="1" ht="11.25">
      <c r="A31" s="5144" t="s">
        <v>2177</v>
      </c>
      <c r="B31" s="5144" t="s">
        <v>14</v>
      </c>
      <c r="C31" s="5144" t="s">
        <v>24</v>
      </c>
      <c r="D31" s="5144" t="s">
        <v>2250</v>
      </c>
      <c r="E31" s="5144" t="s">
        <v>2251</v>
      </c>
      <c r="F31" s="5144" t="s">
        <v>2252</v>
      </c>
      <c r="G31" s="5144" t="s">
        <v>24</v>
      </c>
      <c r="H31" s="5144" t="s">
        <v>24</v>
      </c>
      <c r="I31" s="5144" t="s">
        <v>710</v>
      </c>
    </row>
    <row customHeight="1" ht="11.25">
      <c r="A32" s="5144" t="s">
        <v>2177</v>
      </c>
      <c r="B32" s="5144" t="s">
        <v>14</v>
      </c>
      <c r="C32" s="5144" t="s">
        <v>24</v>
      </c>
      <c r="D32" s="5144" t="s">
        <v>2253</v>
      </c>
      <c r="E32" s="5144" t="s">
        <v>2254</v>
      </c>
      <c r="F32" s="5144" t="s">
        <v>2192</v>
      </c>
      <c r="G32" s="5144" t="s">
        <v>24</v>
      </c>
      <c r="H32" s="5144" t="s">
        <v>24</v>
      </c>
      <c r="I32" s="5144" t="s">
        <v>710</v>
      </c>
    </row>
    <row customHeight="1" ht="11.25">
      <c r="A33" s="5144" t="s">
        <v>2177</v>
      </c>
      <c r="B33" s="5144" t="s">
        <v>14</v>
      </c>
      <c r="C33" s="5144" t="s">
        <v>24</v>
      </c>
      <c r="D33" s="5144" t="s">
        <v>2255</v>
      </c>
      <c r="E33" s="5144" t="s">
        <v>2256</v>
      </c>
      <c r="F33" s="5144" t="s">
        <v>2234</v>
      </c>
      <c r="G33" s="5144" t="s">
        <v>24</v>
      </c>
      <c r="H33" s="5144" t="s">
        <v>24</v>
      </c>
      <c r="I33" s="5144" t="s">
        <v>710</v>
      </c>
    </row>
    <row customHeight="1" ht="11.25">
      <c r="A34" s="5144" t="s">
        <v>2177</v>
      </c>
      <c r="B34" s="5144" t="s">
        <v>14</v>
      </c>
      <c r="C34" s="5144" t="s">
        <v>24</v>
      </c>
      <c r="D34" s="5144" t="s">
        <v>2257</v>
      </c>
      <c r="E34" s="5144" t="s">
        <v>2258</v>
      </c>
      <c r="F34" s="5144" t="s">
        <v>2239</v>
      </c>
      <c r="G34" s="5144" t="s">
        <v>24</v>
      </c>
      <c r="H34" s="5144" t="s">
        <v>24</v>
      </c>
      <c r="I34" s="5144" t="s">
        <v>710</v>
      </c>
    </row>
    <row customHeight="1" ht="11.25">
      <c r="A35" s="5144" t="s">
        <v>2177</v>
      </c>
      <c r="B35" s="5144" t="s">
        <v>14</v>
      </c>
      <c r="C35" s="5144" t="s">
        <v>24</v>
      </c>
      <c r="D35" s="5144" t="s">
        <v>2259</v>
      </c>
      <c r="E35" s="5144" t="s">
        <v>2260</v>
      </c>
      <c r="F35" s="5144" t="s">
        <v>2234</v>
      </c>
      <c r="G35" s="5144" t="s">
        <v>24</v>
      </c>
      <c r="H35" s="5144" t="s">
        <v>24</v>
      </c>
      <c r="I35" s="5144" t="s">
        <v>710</v>
      </c>
    </row>
    <row customHeight="1" ht="11.25">
      <c r="A36" s="5144" t="s">
        <v>2177</v>
      </c>
      <c r="B36" s="5144" t="s">
        <v>14</v>
      </c>
      <c r="C36" s="5144" t="s">
        <v>24</v>
      </c>
      <c r="D36" s="5144" t="s">
        <v>2261</v>
      </c>
      <c r="E36" s="5144" t="s">
        <v>2262</v>
      </c>
      <c r="F36" s="5144" t="s">
        <v>2202</v>
      </c>
      <c r="G36" s="5144" t="s">
        <v>24</v>
      </c>
      <c r="H36" s="5144" t="s">
        <v>24</v>
      </c>
      <c r="I36" s="5144" t="s">
        <v>710</v>
      </c>
    </row>
    <row customHeight="1" ht="11.25">
      <c r="A37" s="5144" t="s">
        <v>2177</v>
      </c>
      <c r="B37" s="5144" t="s">
        <v>14</v>
      </c>
      <c r="C37" s="5144" t="s">
        <v>24</v>
      </c>
      <c r="D37" s="5144" t="s">
        <v>2263</v>
      </c>
      <c r="E37" s="5144" t="s">
        <v>2264</v>
      </c>
      <c r="F37" s="5144" t="s">
        <v>2192</v>
      </c>
      <c r="G37" s="5144" t="s">
        <v>24</v>
      </c>
      <c r="H37" s="5144" t="s">
        <v>24</v>
      </c>
      <c r="I37" s="5144" t="s">
        <v>710</v>
      </c>
    </row>
    <row customHeight="1" ht="11.25">
      <c r="A38" s="5144" t="s">
        <v>2177</v>
      </c>
      <c r="B38" s="5144" t="s">
        <v>14</v>
      </c>
      <c r="C38" s="5144" t="s">
        <v>24</v>
      </c>
      <c r="D38" s="5144" t="s">
        <v>2265</v>
      </c>
      <c r="E38" s="5144" t="s">
        <v>2266</v>
      </c>
      <c r="F38" s="5144" t="s">
        <v>2202</v>
      </c>
      <c r="G38" s="5144" t="s">
        <v>24</v>
      </c>
      <c r="H38" s="5144" t="s">
        <v>24</v>
      </c>
      <c r="I38" s="5144" t="s">
        <v>710</v>
      </c>
    </row>
    <row customHeight="1" ht="11.25">
      <c r="A39" s="5144" t="s">
        <v>2177</v>
      </c>
      <c r="B39" s="5144" t="s">
        <v>14</v>
      </c>
      <c r="C39" s="5144" t="s">
        <v>24</v>
      </c>
      <c r="D39" s="5144" t="s">
        <v>2267</v>
      </c>
      <c r="E39" s="5144" t="s">
        <v>2268</v>
      </c>
      <c r="F39" s="5144" t="s">
        <v>2221</v>
      </c>
      <c r="G39" s="5144" t="s">
        <v>24</v>
      </c>
      <c r="H39" s="5144" t="s">
        <v>24</v>
      </c>
      <c r="I39" s="5144" t="s">
        <v>710</v>
      </c>
    </row>
    <row customHeight="1" ht="11.25">
      <c r="A40" s="5144" t="s">
        <v>2177</v>
      </c>
      <c r="B40" s="5144" t="s">
        <v>14</v>
      </c>
      <c r="C40" s="5144" t="s">
        <v>24</v>
      </c>
      <c r="D40" s="5144" t="s">
        <v>2269</v>
      </c>
      <c r="E40" s="5144" t="s">
        <v>2270</v>
      </c>
      <c r="F40" s="5144" t="s">
        <v>2231</v>
      </c>
      <c r="G40" s="5144" t="s">
        <v>24</v>
      </c>
      <c r="H40" s="5144" t="s">
        <v>24</v>
      </c>
      <c r="I40" s="5144" t="s">
        <v>710</v>
      </c>
    </row>
    <row customHeight="1" ht="11.25">
      <c r="A41" s="5144" t="s">
        <v>2177</v>
      </c>
      <c r="B41" s="5144" t="s">
        <v>14</v>
      </c>
      <c r="C41" s="5144" t="s">
        <v>24</v>
      </c>
      <c r="D41" s="5144" t="s">
        <v>2271</v>
      </c>
      <c r="E41" s="5144" t="s">
        <v>2272</v>
      </c>
      <c r="F41" s="5144" t="s">
        <v>2202</v>
      </c>
      <c r="G41" s="5144" t="s">
        <v>24</v>
      </c>
      <c r="H41" s="5144" t="s">
        <v>24</v>
      </c>
      <c r="I41" s="5144" t="s">
        <v>710</v>
      </c>
    </row>
    <row customHeight="1" ht="11.25">
      <c r="A42" s="5144" t="s">
        <v>2177</v>
      </c>
      <c r="B42" s="5144" t="s">
        <v>14</v>
      </c>
      <c r="C42" s="5144" t="s">
        <v>24</v>
      </c>
      <c r="D42" s="5144" t="s">
        <v>2273</v>
      </c>
      <c r="E42" s="5144" t="s">
        <v>2274</v>
      </c>
      <c r="F42" s="5144" t="s">
        <v>2231</v>
      </c>
      <c r="G42" s="5144" t="s">
        <v>24</v>
      </c>
      <c r="H42" s="5144" t="s">
        <v>24</v>
      </c>
      <c r="I42" s="5144" t="s">
        <v>710</v>
      </c>
    </row>
    <row customHeight="1" ht="11.25">
      <c r="A43" s="5144" t="s">
        <v>2177</v>
      </c>
      <c r="B43" s="5144" t="s">
        <v>14</v>
      </c>
      <c r="C43" s="5144" t="s">
        <v>24</v>
      </c>
      <c r="D43" s="5144" t="s">
        <v>2275</v>
      </c>
      <c r="E43" s="5144" t="s">
        <v>2276</v>
      </c>
      <c r="F43" s="5144" t="s">
        <v>2277</v>
      </c>
      <c r="G43" s="5144" t="s">
        <v>24</v>
      </c>
      <c r="H43" s="5144" t="s">
        <v>24</v>
      </c>
      <c r="I43" s="5144" t="s">
        <v>710</v>
      </c>
    </row>
    <row customHeight="1" ht="11.25">
      <c r="A44" s="5144" t="s">
        <v>2177</v>
      </c>
      <c r="B44" s="5144" t="s">
        <v>14</v>
      </c>
      <c r="C44" s="5144" t="s">
        <v>24</v>
      </c>
      <c r="D44" s="5144" t="s">
        <v>2278</v>
      </c>
      <c r="E44" s="5144" t="s">
        <v>2279</v>
      </c>
      <c r="F44" s="5144" t="s">
        <v>2202</v>
      </c>
      <c r="G44" s="5144" t="s">
        <v>24</v>
      </c>
      <c r="H44" s="5144" t="s">
        <v>24</v>
      </c>
      <c r="I44" s="5144" t="s">
        <v>710</v>
      </c>
    </row>
    <row customHeight="1" ht="11.25">
      <c r="A45" s="5144" t="s">
        <v>2177</v>
      </c>
      <c r="B45" s="5144" t="s">
        <v>14</v>
      </c>
      <c r="C45" s="5144" t="s">
        <v>24</v>
      </c>
      <c r="D45" s="5144" t="s">
        <v>2280</v>
      </c>
      <c r="E45" s="5144" t="s">
        <v>2281</v>
      </c>
      <c r="F45" s="5144" t="s">
        <v>2202</v>
      </c>
      <c r="G45" s="5144" t="s">
        <v>24</v>
      </c>
      <c r="H45" s="5144" t="s">
        <v>24</v>
      </c>
      <c r="I45" s="5144" t="s">
        <v>710</v>
      </c>
    </row>
    <row customHeight="1" ht="11.25">
      <c r="A46" s="5144" t="s">
        <v>2177</v>
      </c>
      <c r="B46" s="5144" t="s">
        <v>14</v>
      </c>
      <c r="C46" s="5144" t="s">
        <v>24</v>
      </c>
      <c r="D46" s="5144" t="s">
        <v>2282</v>
      </c>
      <c r="E46" s="5144" t="s">
        <v>2283</v>
      </c>
      <c r="F46" s="5144" t="s">
        <v>2202</v>
      </c>
      <c r="G46" s="5144" t="s">
        <v>24</v>
      </c>
      <c r="H46" s="5144" t="s">
        <v>24</v>
      </c>
      <c r="I46" s="5144" t="s">
        <v>710</v>
      </c>
    </row>
    <row customHeight="1" ht="11.25">
      <c r="A47" s="5144" t="s">
        <v>2177</v>
      </c>
      <c r="B47" s="5144" t="s">
        <v>14</v>
      </c>
      <c r="C47" s="5144" t="s">
        <v>24</v>
      </c>
      <c r="D47" s="5144" t="s">
        <v>2284</v>
      </c>
      <c r="E47" s="5144" t="s">
        <v>2285</v>
      </c>
      <c r="F47" s="5144" t="s">
        <v>2221</v>
      </c>
      <c r="G47" s="5144" t="s">
        <v>24</v>
      </c>
      <c r="H47" s="5144" t="s">
        <v>24</v>
      </c>
      <c r="I47" s="5144" t="s">
        <v>710</v>
      </c>
    </row>
    <row customHeight="1" ht="11.25">
      <c r="A48" s="5144" t="s">
        <v>2177</v>
      </c>
      <c r="B48" s="5144" t="s">
        <v>14</v>
      </c>
      <c r="C48" s="5144" t="s">
        <v>24</v>
      </c>
      <c r="D48" s="5144" t="s">
        <v>2286</v>
      </c>
      <c r="E48" s="5144" t="s">
        <v>2287</v>
      </c>
      <c r="F48" s="5144" t="s">
        <v>2288</v>
      </c>
      <c r="G48" s="5144" t="s">
        <v>24</v>
      </c>
      <c r="H48" s="5144" t="s">
        <v>24</v>
      </c>
      <c r="I48" s="5144" t="s">
        <v>710</v>
      </c>
    </row>
    <row customHeight="1" ht="11.25">
      <c r="A49" s="5144" t="s">
        <v>2177</v>
      </c>
      <c r="B49" s="5144" t="s">
        <v>14</v>
      </c>
      <c r="C49" s="5144" t="s">
        <v>24</v>
      </c>
      <c r="D49" s="5144" t="s">
        <v>2289</v>
      </c>
      <c r="E49" s="5144" t="s">
        <v>2290</v>
      </c>
      <c r="F49" s="5144" t="s">
        <v>2199</v>
      </c>
      <c r="G49" s="5144" t="s">
        <v>24</v>
      </c>
      <c r="H49" s="5144" t="s">
        <v>24</v>
      </c>
      <c r="I49" s="5144" t="s">
        <v>710</v>
      </c>
    </row>
    <row customHeight="1" ht="11.25">
      <c r="A50" s="5144" t="s">
        <v>2177</v>
      </c>
      <c r="B50" s="5144" t="s">
        <v>14</v>
      </c>
      <c r="C50" s="5144" t="s">
        <v>24</v>
      </c>
      <c r="D50" s="5144" t="s">
        <v>2291</v>
      </c>
      <c r="E50" s="5144" t="s">
        <v>2292</v>
      </c>
      <c r="F50" s="5144" t="s">
        <v>2192</v>
      </c>
      <c r="G50" s="5144" t="s">
        <v>24</v>
      </c>
      <c r="H50" s="5144" t="s">
        <v>24</v>
      </c>
      <c r="I50" s="5144" t="s">
        <v>710</v>
      </c>
    </row>
    <row customHeight="1" ht="11.25">
      <c r="A51" s="5144" t="s">
        <v>2177</v>
      </c>
      <c r="B51" s="5144" t="s">
        <v>14</v>
      </c>
      <c r="C51" s="5144" t="s">
        <v>24</v>
      </c>
      <c r="D51" s="5144" t="s">
        <v>2293</v>
      </c>
      <c r="E51" s="5144" t="s">
        <v>2294</v>
      </c>
      <c r="F51" s="5144" t="s">
        <v>2202</v>
      </c>
      <c r="G51" s="5144" t="s">
        <v>24</v>
      </c>
      <c r="H51" s="5144" t="s">
        <v>24</v>
      </c>
      <c r="I51" s="5144" t="s">
        <v>710</v>
      </c>
    </row>
    <row customHeight="1" ht="11.25">
      <c r="A52" s="5144" t="s">
        <v>2177</v>
      </c>
      <c r="B52" s="5144" t="s">
        <v>14</v>
      </c>
      <c r="C52" s="5144" t="s">
        <v>2295</v>
      </c>
      <c r="D52" s="5144" t="s">
        <v>2296</v>
      </c>
      <c r="E52" s="5144" t="s">
        <v>2297</v>
      </c>
      <c r="F52" s="5144" t="s">
        <v>2298</v>
      </c>
      <c r="G52" s="5144" t="s">
        <v>2299</v>
      </c>
      <c r="H52" s="5144" t="s">
        <v>24</v>
      </c>
      <c r="I52" s="5144" t="s">
        <v>710</v>
      </c>
    </row>
    <row customHeight="1" ht="11.25">
      <c r="A53" s="5144" t="s">
        <v>2177</v>
      </c>
      <c r="B53" s="5144" t="s">
        <v>14</v>
      </c>
      <c r="C53" s="5144" t="s">
        <v>2300</v>
      </c>
      <c r="D53" s="5144" t="s">
        <v>2301</v>
      </c>
      <c r="E53" s="5144" t="s">
        <v>2302</v>
      </c>
      <c r="F53" s="5144" t="s">
        <v>2180</v>
      </c>
      <c r="G53" s="5144" t="s">
        <v>2303</v>
      </c>
      <c r="H53" s="5144" t="s">
        <v>24</v>
      </c>
      <c r="I53" s="5144" t="s">
        <v>710</v>
      </c>
    </row>
    <row customHeight="1" ht="11.25">
      <c r="A54" s="5144" t="s">
        <v>2177</v>
      </c>
      <c r="B54" s="5144" t="s">
        <v>14</v>
      </c>
      <c r="C54" s="5144" t="s">
        <v>2304</v>
      </c>
      <c r="D54" s="5144" t="s">
        <v>2305</v>
      </c>
      <c r="E54" s="5144" t="s">
        <v>2306</v>
      </c>
      <c r="F54" s="5144" t="s">
        <v>2186</v>
      </c>
      <c r="G54" s="5144" t="s">
        <v>2307</v>
      </c>
      <c r="H54" s="5144" t="s">
        <v>24</v>
      </c>
      <c r="I54" s="5144" t="s">
        <v>710</v>
      </c>
    </row>
    <row customHeight="1" ht="11.25">
      <c r="A55" s="5144" t="s">
        <v>2177</v>
      </c>
      <c r="B55" s="5144" t="s">
        <v>14</v>
      </c>
      <c r="C55" s="5144" t="s">
        <v>2308</v>
      </c>
      <c r="D55" s="5144" t="s">
        <v>2309</v>
      </c>
      <c r="E55" s="5144" t="s">
        <v>2310</v>
      </c>
      <c r="F55" s="5144" t="s">
        <v>2311</v>
      </c>
      <c r="G55" s="5144" t="s">
        <v>2312</v>
      </c>
      <c r="H55" s="5144" t="s">
        <v>24</v>
      </c>
      <c r="I55" s="5144" t="s">
        <v>710</v>
      </c>
    </row>
    <row customHeight="1" ht="11.25">
      <c r="A56" s="5144" t="s">
        <v>2177</v>
      </c>
      <c r="B56" s="5144" t="s">
        <v>14</v>
      </c>
      <c r="C56" s="5144" t="s">
        <v>2313</v>
      </c>
      <c r="D56" s="5144" t="s">
        <v>2314</v>
      </c>
      <c r="E56" s="5144" t="s">
        <v>2315</v>
      </c>
      <c r="F56" s="5144" t="s">
        <v>2316</v>
      </c>
      <c r="G56" s="5144" t="s">
        <v>2317</v>
      </c>
      <c r="H56" s="5144" t="s">
        <v>24</v>
      </c>
      <c r="I56" s="5144" t="s">
        <v>710</v>
      </c>
    </row>
    <row customHeight="1" ht="11.25">
      <c r="A57" s="5144" t="s">
        <v>2177</v>
      </c>
      <c r="B57" s="5144" t="s">
        <v>14</v>
      </c>
      <c r="C57" s="5144" t="s">
        <v>2318</v>
      </c>
      <c r="D57" s="5144" t="s">
        <v>2314</v>
      </c>
      <c r="E57" s="5144" t="s">
        <v>2315</v>
      </c>
      <c r="F57" s="5144" t="s">
        <v>2319</v>
      </c>
      <c r="G57" s="5144" t="s">
        <v>2317</v>
      </c>
      <c r="H57" s="5144" t="s">
        <v>24</v>
      </c>
      <c r="I57" s="5144" t="s">
        <v>710</v>
      </c>
    </row>
    <row customHeight="1" ht="11.25">
      <c r="A58" s="5144" t="s">
        <v>2177</v>
      </c>
      <c r="B58" s="5144" t="s">
        <v>14</v>
      </c>
      <c r="C58" s="5144" t="s">
        <v>2320</v>
      </c>
      <c r="D58" s="5144" t="s">
        <v>2321</v>
      </c>
      <c r="E58" s="5144" t="s">
        <v>2322</v>
      </c>
      <c r="F58" s="5144" t="s">
        <v>2323</v>
      </c>
      <c r="G58" s="5144" t="s">
        <v>2324</v>
      </c>
      <c r="H58" s="5144" t="s">
        <v>24</v>
      </c>
      <c r="I58" s="5144" t="s">
        <v>710</v>
      </c>
    </row>
    <row customHeight="1" ht="11.25">
      <c r="A59" s="5144" t="s">
        <v>2177</v>
      </c>
      <c r="B59" s="5144" t="s">
        <v>14</v>
      </c>
      <c r="C59" s="5144" t="s">
        <v>2325</v>
      </c>
      <c r="D59" s="5144" t="s">
        <v>2326</v>
      </c>
      <c r="E59" s="5144" t="s">
        <v>2322</v>
      </c>
      <c r="F59" s="5144" t="s">
        <v>2327</v>
      </c>
      <c r="G59" s="5144" t="s">
        <v>2324</v>
      </c>
      <c r="H59" s="5144" t="s">
        <v>24</v>
      </c>
      <c r="I59" s="5144" t="s">
        <v>710</v>
      </c>
    </row>
    <row customHeight="1" ht="11.25">
      <c r="A60" s="5144" t="s">
        <v>2177</v>
      </c>
      <c r="B60" s="5144" t="s">
        <v>14</v>
      </c>
      <c r="C60" s="5144" t="s">
        <v>2328</v>
      </c>
      <c r="D60" s="5144" t="s">
        <v>2329</v>
      </c>
      <c r="E60" s="5144" t="s">
        <v>2322</v>
      </c>
      <c r="F60" s="5144" t="s">
        <v>2330</v>
      </c>
      <c r="G60" s="5144" t="s">
        <v>2324</v>
      </c>
      <c r="H60" s="5144" t="s">
        <v>24</v>
      </c>
      <c r="I60" s="5144" t="s">
        <v>710</v>
      </c>
    </row>
    <row customHeight="1" ht="11.25">
      <c r="A61" s="5144" t="s">
        <v>2177</v>
      </c>
      <c r="B61" s="5144" t="s">
        <v>14</v>
      </c>
      <c r="C61" s="5144" t="s">
        <v>2331</v>
      </c>
      <c r="D61" s="5144" t="s">
        <v>2332</v>
      </c>
      <c r="E61" s="5144" t="s">
        <v>2333</v>
      </c>
      <c r="F61" s="5144" t="s">
        <v>2334</v>
      </c>
      <c r="G61" s="5144" t="s">
        <v>2335</v>
      </c>
      <c r="H61" s="5144" t="s">
        <v>24</v>
      </c>
      <c r="I61" s="5144" t="s">
        <v>710</v>
      </c>
    </row>
    <row customHeight="1" ht="11.25">
      <c r="A62" s="5144" t="s">
        <v>2177</v>
      </c>
      <c r="B62" s="5144" t="s">
        <v>14</v>
      </c>
      <c r="C62" s="5144" t="s">
        <v>2336</v>
      </c>
      <c r="D62" s="5144" t="s">
        <v>2337</v>
      </c>
      <c r="E62" s="5144" t="s">
        <v>2338</v>
      </c>
      <c r="F62" s="5144" t="s">
        <v>2183</v>
      </c>
      <c r="G62" s="5144" t="s">
        <v>2339</v>
      </c>
      <c r="H62" s="5144" t="s">
        <v>24</v>
      </c>
      <c r="I62" s="5144" t="s">
        <v>710</v>
      </c>
    </row>
    <row customHeight="1" ht="11.25">
      <c r="A63" s="5144" t="s">
        <v>2177</v>
      </c>
      <c r="B63" s="5144" t="s">
        <v>14</v>
      </c>
      <c r="C63" s="5144" t="s">
        <v>2340</v>
      </c>
      <c r="D63" s="5144" t="s">
        <v>2341</v>
      </c>
      <c r="E63" s="5144" t="s">
        <v>2342</v>
      </c>
      <c r="F63" s="5144" t="s">
        <v>2343</v>
      </c>
      <c r="G63" s="5144" t="s">
        <v>24</v>
      </c>
      <c r="H63" s="5144" t="s">
        <v>24</v>
      </c>
      <c r="I63" s="5144" t="s">
        <v>710</v>
      </c>
    </row>
    <row customHeight="1" ht="11.25">
      <c r="A64" s="5144" t="s">
        <v>2177</v>
      </c>
      <c r="B64" s="5144" t="s">
        <v>14</v>
      </c>
      <c r="C64" s="5144" t="s">
        <v>2344</v>
      </c>
      <c r="D64" s="5144" t="s">
        <v>2345</v>
      </c>
      <c r="E64" s="5144" t="s">
        <v>2346</v>
      </c>
      <c r="F64" s="5144" t="s">
        <v>51</v>
      </c>
      <c r="G64" s="5144" t="s">
        <v>2347</v>
      </c>
      <c r="H64" s="5144" t="s">
        <v>24</v>
      </c>
      <c r="I64" s="5144" t="s">
        <v>710</v>
      </c>
    </row>
    <row customHeight="1" ht="11.25">
      <c r="A65" s="5144" t="s">
        <v>2177</v>
      </c>
      <c r="B65" s="5144" t="s">
        <v>14</v>
      </c>
      <c r="C65" s="5144" t="s">
        <v>2348</v>
      </c>
      <c r="D65" s="5144" t="s">
        <v>2349</v>
      </c>
      <c r="E65" s="5144" t="s">
        <v>2350</v>
      </c>
      <c r="F65" s="5144" t="s">
        <v>51</v>
      </c>
      <c r="G65" s="5144" t="s">
        <v>2351</v>
      </c>
      <c r="H65" s="5144" t="s">
        <v>24</v>
      </c>
      <c r="I65" s="5144" t="s">
        <v>710</v>
      </c>
    </row>
    <row customHeight="1" ht="11.25">
      <c r="A66" s="5144" t="s">
        <v>2177</v>
      </c>
      <c r="B66" s="5144" t="s">
        <v>14</v>
      </c>
      <c r="C66" s="5144" t="s">
        <v>2352</v>
      </c>
      <c r="D66" s="5144" t="s">
        <v>2353</v>
      </c>
      <c r="E66" s="5144" t="s">
        <v>2354</v>
      </c>
      <c r="F66" s="5144" t="s">
        <v>2207</v>
      </c>
      <c r="G66" s="5144" t="s">
        <v>2355</v>
      </c>
      <c r="H66" s="5144" t="s">
        <v>24</v>
      </c>
      <c r="I66" s="5144" t="s">
        <v>710</v>
      </c>
    </row>
    <row customHeight="1" ht="11.25">
      <c r="A67" s="5144" t="s">
        <v>2177</v>
      </c>
      <c r="B67" s="5144" t="s">
        <v>14</v>
      </c>
      <c r="C67" s="5144" t="s">
        <v>2356</v>
      </c>
      <c r="D67" s="5144" t="s">
        <v>2357</v>
      </c>
      <c r="E67" s="5144" t="s">
        <v>2358</v>
      </c>
      <c r="F67" s="5144" t="s">
        <v>2359</v>
      </c>
      <c r="G67" s="5144" t="s">
        <v>2360</v>
      </c>
      <c r="H67" s="5144" t="s">
        <v>24</v>
      </c>
      <c r="I67" s="5144" t="s">
        <v>710</v>
      </c>
    </row>
    <row customHeight="1" ht="11.25">
      <c r="A68" s="5144" t="s">
        <v>2177</v>
      </c>
      <c r="B68" s="5144" t="s">
        <v>14</v>
      </c>
      <c r="C68" s="5144" t="s">
        <v>2361</v>
      </c>
      <c r="D68" s="5144" t="s">
        <v>2362</v>
      </c>
      <c r="E68" s="5144" t="s">
        <v>2363</v>
      </c>
      <c r="F68" s="5144" t="s">
        <v>2364</v>
      </c>
      <c r="G68" s="5144" t="s">
        <v>2365</v>
      </c>
      <c r="H68" s="5144" t="s">
        <v>24</v>
      </c>
      <c r="I68" s="5144" t="s">
        <v>710</v>
      </c>
    </row>
    <row customHeight="1" ht="11.25">
      <c r="A69" s="5144" t="s">
        <v>2177</v>
      </c>
      <c r="B69" s="5144" t="s">
        <v>14</v>
      </c>
      <c r="C69" s="5144" t="s">
        <v>2366</v>
      </c>
      <c r="D69" s="5144" t="s">
        <v>2367</v>
      </c>
      <c r="E69" s="5144" t="s">
        <v>2368</v>
      </c>
      <c r="F69" s="5144" t="s">
        <v>2369</v>
      </c>
      <c r="G69" s="5144" t="s">
        <v>2370</v>
      </c>
      <c r="H69" s="5144" t="s">
        <v>2371</v>
      </c>
      <c r="I69" s="5144" t="s">
        <v>710</v>
      </c>
    </row>
    <row customHeight="1" ht="11.25">
      <c r="A70" s="5144" t="s">
        <v>2177</v>
      </c>
      <c r="B70" s="5144" t="s">
        <v>14</v>
      </c>
      <c r="C70" s="5144" t="s">
        <v>2372</v>
      </c>
      <c r="D70" s="5144" t="s">
        <v>2373</v>
      </c>
      <c r="E70" s="5144" t="s">
        <v>2374</v>
      </c>
      <c r="F70" s="5144" t="s">
        <v>2183</v>
      </c>
      <c r="G70" s="5144" t="s">
        <v>2371</v>
      </c>
      <c r="H70" s="5144" t="s">
        <v>24</v>
      </c>
      <c r="I70" s="5144" t="s">
        <v>710</v>
      </c>
    </row>
    <row customHeight="1" ht="11.25">
      <c r="A71" s="5144" t="s">
        <v>2177</v>
      </c>
      <c r="B71" s="5144" t="s">
        <v>14</v>
      </c>
      <c r="C71" s="5144" t="s">
        <v>2375</v>
      </c>
      <c r="D71" s="5144" t="s">
        <v>46</v>
      </c>
      <c r="E71" s="5144" t="s">
        <v>49</v>
      </c>
      <c r="F71" s="5144" t="s">
        <v>51</v>
      </c>
      <c r="G71" s="5144" t="s">
        <v>2376</v>
      </c>
      <c r="H71" s="5144" t="s">
        <v>24</v>
      </c>
      <c r="I71" s="5144" t="s">
        <v>710</v>
      </c>
    </row>
    <row customHeight="1" ht="11.25">
      <c r="A72" s="5144" t="s">
        <v>2177</v>
      </c>
      <c r="B72" s="5144" t="s">
        <v>14</v>
      </c>
      <c r="C72" s="5144" t="s">
        <v>2377</v>
      </c>
      <c r="D72" s="5144" t="s">
        <v>2378</v>
      </c>
      <c r="E72" s="5144" t="s">
        <v>2379</v>
      </c>
      <c r="F72" s="5144" t="s">
        <v>2202</v>
      </c>
      <c r="G72" s="5144" t="s">
        <v>24</v>
      </c>
      <c r="H72" s="5144" t="s">
        <v>24</v>
      </c>
      <c r="I72" s="5144" t="s">
        <v>710</v>
      </c>
    </row>
    <row customHeight="1" ht="11.25">
      <c r="A73" s="5144" t="s">
        <v>2177</v>
      </c>
      <c r="B73" s="5144" t="s">
        <v>14</v>
      </c>
      <c r="C73" s="5144" t="s">
        <v>2380</v>
      </c>
      <c r="D73" s="5144" t="s">
        <v>2381</v>
      </c>
      <c r="E73" s="5144" t="s">
        <v>2382</v>
      </c>
      <c r="F73" s="5144" t="s">
        <v>2186</v>
      </c>
      <c r="G73" s="5144" t="s">
        <v>2383</v>
      </c>
      <c r="H73" s="5144" t="s">
        <v>24</v>
      </c>
      <c r="I73" s="5144" t="s">
        <v>710</v>
      </c>
    </row>
    <row customHeight="1" ht="11.25">
      <c r="A74" s="5144" t="s">
        <v>2177</v>
      </c>
      <c r="B74" s="5144" t="s">
        <v>14</v>
      </c>
      <c r="C74" s="5144" t="s">
        <v>2384</v>
      </c>
      <c r="D74" s="5144" t="s">
        <v>2385</v>
      </c>
      <c r="E74" s="5144" t="s">
        <v>2386</v>
      </c>
      <c r="F74" s="5144" t="s">
        <v>563</v>
      </c>
      <c r="G74" s="5144" t="s">
        <v>2387</v>
      </c>
      <c r="H74" s="5144" t="s">
        <v>24</v>
      </c>
      <c r="I74" s="5144" t="s">
        <v>710</v>
      </c>
    </row>
    <row customHeight="1" ht="11.25">
      <c r="A75" s="5144" t="s">
        <v>2177</v>
      </c>
      <c r="B75" s="5144" t="s">
        <v>14</v>
      </c>
      <c r="C75" s="5144" t="s">
        <v>2388</v>
      </c>
      <c r="D75" s="5144" t="s">
        <v>2389</v>
      </c>
      <c r="E75" s="5144" t="s">
        <v>2390</v>
      </c>
      <c r="F75" s="5144" t="s">
        <v>563</v>
      </c>
      <c r="G75" s="5144" t="s">
        <v>24</v>
      </c>
      <c r="H75" s="5144" t="s">
        <v>24</v>
      </c>
      <c r="I75" s="5144" t="s">
        <v>710</v>
      </c>
    </row>
    <row customHeight="1" ht="11.25">
      <c r="A76" s="5144" t="s">
        <v>2177</v>
      </c>
      <c r="B76" s="5144" t="s">
        <v>14</v>
      </c>
      <c r="C76" s="5144" t="s">
        <v>2391</v>
      </c>
      <c r="D76" s="5144" t="s">
        <v>2392</v>
      </c>
      <c r="E76" s="5144" t="s">
        <v>2393</v>
      </c>
      <c r="F76" s="5144" t="s">
        <v>563</v>
      </c>
      <c r="G76" s="5144" t="s">
        <v>2394</v>
      </c>
      <c r="H76" s="5144" t="s">
        <v>24</v>
      </c>
      <c r="I76" s="5144" t="s">
        <v>710</v>
      </c>
    </row>
    <row customHeight="1" ht="11.25">
      <c r="A77" s="5144" t="s">
        <v>2177</v>
      </c>
      <c r="B77" s="5144" t="s">
        <v>14</v>
      </c>
      <c r="C77" s="5144" t="s">
        <v>2395</v>
      </c>
      <c r="D77" s="5144" t="s">
        <v>2396</v>
      </c>
      <c r="E77" s="5144" t="s">
        <v>2397</v>
      </c>
      <c r="F77" s="5144" t="s">
        <v>563</v>
      </c>
      <c r="G77" s="5144" t="s">
        <v>2398</v>
      </c>
      <c r="H77" s="5144" t="s">
        <v>24</v>
      </c>
      <c r="I77" s="5144" t="s">
        <v>710</v>
      </c>
    </row>
    <row customHeight="1" ht="11.25">
      <c r="A78" s="5144" t="s">
        <v>2177</v>
      </c>
      <c r="B78" s="5144" t="s">
        <v>14</v>
      </c>
      <c r="C78" s="5144" t="s">
        <v>2399</v>
      </c>
      <c r="D78" s="5144" t="s">
        <v>2400</v>
      </c>
      <c r="E78" s="5144" t="s">
        <v>2401</v>
      </c>
      <c r="F78" s="5144" t="s">
        <v>563</v>
      </c>
      <c r="G78" s="5144" t="s">
        <v>2402</v>
      </c>
      <c r="H78" s="5144" t="s">
        <v>24</v>
      </c>
      <c r="I78" s="5144" t="s">
        <v>710</v>
      </c>
    </row>
    <row customHeight="1" ht="11.25">
      <c r="A79" s="5144" t="s">
        <v>2177</v>
      </c>
      <c r="B79" s="5144" t="s">
        <v>14</v>
      </c>
      <c r="C79" s="5144" t="s">
        <v>2403</v>
      </c>
      <c r="D79" s="5144" t="s">
        <v>2404</v>
      </c>
      <c r="E79" s="5144" t="s">
        <v>2405</v>
      </c>
      <c r="F79" s="5144" t="s">
        <v>563</v>
      </c>
      <c r="G79" s="5144" t="s">
        <v>2406</v>
      </c>
      <c r="H79" s="5144" t="s">
        <v>24</v>
      </c>
      <c r="I79" s="5144" t="s">
        <v>710</v>
      </c>
    </row>
    <row customHeight="1" ht="11.25">
      <c r="A80" s="5144" t="s">
        <v>2177</v>
      </c>
      <c r="B80" s="5144" t="s">
        <v>14</v>
      </c>
      <c r="C80" s="5144" t="s">
        <v>2407</v>
      </c>
      <c r="D80" s="5144" t="s">
        <v>2408</v>
      </c>
      <c r="E80" s="5144" t="s">
        <v>2409</v>
      </c>
      <c r="F80" s="5144" t="s">
        <v>563</v>
      </c>
      <c r="G80" s="5144" t="s">
        <v>2410</v>
      </c>
      <c r="H80" s="5144" t="s">
        <v>24</v>
      </c>
      <c r="I80" s="5144" t="s">
        <v>710</v>
      </c>
    </row>
    <row customHeight="1" ht="11.25">
      <c r="A81" s="5144" t="s">
        <v>2177</v>
      </c>
      <c r="B81" s="5144" t="s">
        <v>14</v>
      </c>
      <c r="C81" s="5144" t="s">
        <v>2411</v>
      </c>
      <c r="D81" s="5144" t="s">
        <v>2412</v>
      </c>
      <c r="E81" s="5144" t="s">
        <v>2413</v>
      </c>
      <c r="F81" s="5144" t="s">
        <v>563</v>
      </c>
      <c r="G81" s="5144" t="s">
        <v>2414</v>
      </c>
      <c r="H81" s="5144" t="s">
        <v>2415</v>
      </c>
      <c r="I81" s="5144" t="s">
        <v>710</v>
      </c>
    </row>
    <row customHeight="1" ht="11.25">
      <c r="A82" s="5144" t="s">
        <v>2177</v>
      </c>
      <c r="B82" s="5144" t="s">
        <v>14</v>
      </c>
      <c r="C82" s="5144" t="s">
        <v>2416</v>
      </c>
      <c r="D82" s="5144" t="s">
        <v>2417</v>
      </c>
      <c r="E82" s="5144" t="s">
        <v>2418</v>
      </c>
      <c r="F82" s="5144" t="s">
        <v>563</v>
      </c>
      <c r="G82" s="5144" t="s">
        <v>24</v>
      </c>
      <c r="H82" s="5144" t="s">
        <v>24</v>
      </c>
      <c r="I82" s="5144" t="s">
        <v>710</v>
      </c>
    </row>
    <row customHeight="1" ht="11.25">
      <c r="A83" s="5144" t="s">
        <v>2177</v>
      </c>
      <c r="B83" s="5144" t="s">
        <v>14</v>
      </c>
      <c r="C83" s="5144" t="s">
        <v>2419</v>
      </c>
      <c r="D83" s="5144" t="s">
        <v>2420</v>
      </c>
      <c r="E83" s="5144" t="s">
        <v>2421</v>
      </c>
      <c r="F83" s="5144" t="s">
        <v>563</v>
      </c>
      <c r="G83" s="5144" t="s">
        <v>2422</v>
      </c>
      <c r="H83" s="5144" t="s">
        <v>24</v>
      </c>
      <c r="I83" s="5144" t="s">
        <v>710</v>
      </c>
    </row>
    <row customHeight="1" ht="11.25">
      <c r="A84" s="5144" t="s">
        <v>2177</v>
      </c>
      <c r="B84" s="5144" t="s">
        <v>14</v>
      </c>
      <c r="C84" s="5144" t="s">
        <v>2423</v>
      </c>
      <c r="D84" s="5144" t="s">
        <v>2424</v>
      </c>
      <c r="E84" s="5144" t="s">
        <v>2425</v>
      </c>
      <c r="F84" s="5144" t="s">
        <v>563</v>
      </c>
      <c r="G84" s="5144" t="s">
        <v>2426</v>
      </c>
      <c r="H84" s="5144" t="s">
        <v>24</v>
      </c>
      <c r="I84" s="5144" t="s">
        <v>710</v>
      </c>
    </row>
    <row customHeight="1" ht="11.25">
      <c r="A85" s="5144" t="s">
        <v>2177</v>
      </c>
      <c r="B85" s="5144" t="s">
        <v>14</v>
      </c>
      <c r="C85" s="5144" t="s">
        <v>2427</v>
      </c>
      <c r="D85" s="5144" t="s">
        <v>2428</v>
      </c>
      <c r="E85" s="5144" t="s">
        <v>2429</v>
      </c>
      <c r="F85" s="5144" t="s">
        <v>563</v>
      </c>
      <c r="G85" s="5144" t="s">
        <v>2430</v>
      </c>
      <c r="H85" s="5144" t="s">
        <v>24</v>
      </c>
      <c r="I85" s="5144" t="s">
        <v>710</v>
      </c>
    </row>
    <row customHeight="1" ht="11.25">
      <c r="A86" s="5144" t="s">
        <v>2177</v>
      </c>
      <c r="B86" s="5144" t="s">
        <v>14</v>
      </c>
      <c r="C86" s="5144" t="s">
        <v>2431</v>
      </c>
      <c r="D86" s="5144" t="s">
        <v>2432</v>
      </c>
      <c r="E86" s="5144" t="s">
        <v>2433</v>
      </c>
      <c r="F86" s="5144" t="s">
        <v>563</v>
      </c>
      <c r="G86" s="5144" t="s">
        <v>2434</v>
      </c>
      <c r="H86" s="5144" t="s">
        <v>24</v>
      </c>
      <c r="I86" s="5144" t="s">
        <v>710</v>
      </c>
    </row>
    <row customHeight="1" ht="11.25">
      <c r="A87" s="5144" t="s">
        <v>2177</v>
      </c>
      <c r="B87" s="5144" t="s">
        <v>14</v>
      </c>
      <c r="C87" s="5144" t="s">
        <v>2435</v>
      </c>
      <c r="D87" s="5144" t="s">
        <v>2436</v>
      </c>
      <c r="E87" s="5144" t="s">
        <v>2437</v>
      </c>
      <c r="F87" s="5144" t="s">
        <v>563</v>
      </c>
      <c r="G87" s="5144" t="s">
        <v>2438</v>
      </c>
      <c r="H87" s="5144" t="s">
        <v>24</v>
      </c>
      <c r="I87" s="5144" t="s">
        <v>710</v>
      </c>
    </row>
    <row customHeight="1" ht="11.25">
      <c r="A88" s="5144" t="s">
        <v>2177</v>
      </c>
      <c r="B88" s="5144" t="s">
        <v>14</v>
      </c>
      <c r="C88" s="5144" t="s">
        <v>2439</v>
      </c>
      <c r="D88" s="5144" t="s">
        <v>2440</v>
      </c>
      <c r="E88" s="5144" t="s">
        <v>2441</v>
      </c>
      <c r="F88" s="5144" t="s">
        <v>563</v>
      </c>
      <c r="G88" s="5144" t="s">
        <v>2442</v>
      </c>
      <c r="H88" s="5144" t="s">
        <v>24</v>
      </c>
      <c r="I88" s="5144" t="s">
        <v>710</v>
      </c>
    </row>
    <row customHeight="1" ht="11.25">
      <c r="A89" s="5144" t="s">
        <v>2177</v>
      </c>
      <c r="B89" s="5144" t="s">
        <v>14</v>
      </c>
      <c r="C89" s="5144" t="s">
        <v>2443</v>
      </c>
      <c r="D89" s="5144" t="s">
        <v>2444</v>
      </c>
      <c r="E89" s="5144" t="s">
        <v>2445</v>
      </c>
      <c r="F89" s="5144" t="s">
        <v>563</v>
      </c>
      <c r="G89" s="5144" t="s">
        <v>2446</v>
      </c>
      <c r="H89" s="5144" t="s">
        <v>24</v>
      </c>
      <c r="I89" s="5144" t="s">
        <v>710</v>
      </c>
    </row>
    <row customHeight="1" ht="11.25">
      <c r="A90" s="5144" t="s">
        <v>2177</v>
      </c>
      <c r="B90" s="5144" t="s">
        <v>14</v>
      </c>
      <c r="C90" s="5144" t="s">
        <v>24</v>
      </c>
      <c r="D90" s="5144" t="s">
        <v>2447</v>
      </c>
      <c r="E90" s="5144" t="s">
        <v>2448</v>
      </c>
      <c r="F90" s="5144" t="s">
        <v>2183</v>
      </c>
      <c r="G90" s="5144" t="s">
        <v>24</v>
      </c>
      <c r="H90" s="5144" t="s">
        <v>24</v>
      </c>
      <c r="I90" s="5144" t="s">
        <v>710</v>
      </c>
    </row>
    <row customHeight="1" ht="11.25">
      <c r="A91" s="5144" t="s">
        <v>2177</v>
      </c>
      <c r="B91" s="5144" t="s">
        <v>14</v>
      </c>
      <c r="C91" s="5144" t="s">
        <v>2449</v>
      </c>
      <c r="D91" s="5144" t="s">
        <v>2450</v>
      </c>
      <c r="E91" s="5144" t="s">
        <v>2451</v>
      </c>
      <c r="F91" s="5144" t="s">
        <v>2202</v>
      </c>
      <c r="G91" s="5144" t="s">
        <v>2452</v>
      </c>
      <c r="H91" s="5144" t="s">
        <v>24</v>
      </c>
      <c r="I91" s="5144" t="s">
        <v>710</v>
      </c>
    </row>
    <row customHeight="1" ht="11.25">
      <c r="A92" s="5144" t="s">
        <v>2177</v>
      </c>
      <c r="B92" s="5144" t="s">
        <v>14</v>
      </c>
      <c r="C92" s="5144" t="s">
        <v>24</v>
      </c>
      <c r="D92" s="5144" t="s">
        <v>2453</v>
      </c>
      <c r="E92" s="5144" t="s">
        <v>2454</v>
      </c>
      <c r="F92" s="5144" t="s">
        <v>2231</v>
      </c>
      <c r="G92" s="5144" t="s">
        <v>24</v>
      </c>
      <c r="H92" s="5144" t="s">
        <v>24</v>
      </c>
      <c r="I92" s="5144" t="s">
        <v>710</v>
      </c>
    </row>
    <row customHeight="1" ht="11.25">
      <c r="A93" s="5144" t="s">
        <v>2177</v>
      </c>
      <c r="B93" s="5144" t="s">
        <v>14</v>
      </c>
      <c r="C93" s="5144" t="s">
        <v>2455</v>
      </c>
      <c r="D93" s="5144" t="s">
        <v>2456</v>
      </c>
      <c r="E93" s="5144" t="s">
        <v>2457</v>
      </c>
      <c r="F93" s="5144" t="s">
        <v>2458</v>
      </c>
      <c r="G93" s="5144" t="s">
        <v>2459</v>
      </c>
      <c r="H93" s="5144" t="s">
        <v>24</v>
      </c>
      <c r="I93" s="5144" t="s">
        <v>710</v>
      </c>
    </row>
    <row customHeight="1" ht="11.25">
      <c r="A94" s="5144" t="s">
        <v>2177</v>
      </c>
      <c r="B94" s="5144" t="s">
        <v>14</v>
      </c>
      <c r="C94" s="5144" t="s">
        <v>2460</v>
      </c>
      <c r="D94" s="5144" t="s">
        <v>2461</v>
      </c>
      <c r="E94" s="5144" t="s">
        <v>2462</v>
      </c>
      <c r="F94" s="5144" t="s">
        <v>2463</v>
      </c>
      <c r="G94" s="5144" t="s">
        <v>24</v>
      </c>
      <c r="H94" s="5144" t="s">
        <v>24</v>
      </c>
      <c r="I94" s="5144" t="s">
        <v>710</v>
      </c>
    </row>
    <row customHeight="1" ht="11.25">
      <c r="A95" s="5144" t="s">
        <v>2177</v>
      </c>
      <c r="B95" s="5144" t="s">
        <v>14</v>
      </c>
      <c r="C95" s="5144" t="s">
        <v>2464</v>
      </c>
      <c r="D95" s="5144" t="s">
        <v>2465</v>
      </c>
      <c r="E95" s="5144" t="s">
        <v>2466</v>
      </c>
      <c r="F95" s="5144" t="s">
        <v>2467</v>
      </c>
      <c r="G95" s="5144" t="s">
        <v>2468</v>
      </c>
      <c r="H95" s="5144" t="s">
        <v>24</v>
      </c>
      <c r="I95" s="5144" t="s">
        <v>710</v>
      </c>
    </row>
    <row customHeight="1" ht="11.25">
      <c r="A96" s="5144" t="s">
        <v>2177</v>
      </c>
      <c r="B96" s="5144" t="s">
        <v>14</v>
      </c>
      <c r="C96" s="5144" t="s">
        <v>2469</v>
      </c>
      <c r="D96" s="5144" t="s">
        <v>2470</v>
      </c>
      <c r="E96" s="5144" t="s">
        <v>2471</v>
      </c>
      <c r="F96" s="5144" t="s">
        <v>2234</v>
      </c>
      <c r="G96" s="5144" t="s">
        <v>2472</v>
      </c>
      <c r="H96" s="5144" t="s">
        <v>24</v>
      </c>
      <c r="I96" s="5144" t="s">
        <v>710</v>
      </c>
    </row>
    <row customHeight="1" ht="11.25">
      <c r="A97" s="5144" t="s">
        <v>2177</v>
      </c>
      <c r="B97" s="5144" t="s">
        <v>14</v>
      </c>
      <c r="C97" s="5144" t="s">
        <v>2473</v>
      </c>
      <c r="D97" s="5144" t="s">
        <v>2474</v>
      </c>
      <c r="E97" s="5144" t="s">
        <v>2475</v>
      </c>
      <c r="F97" s="5144" t="s">
        <v>2180</v>
      </c>
      <c r="G97" s="5144" t="s">
        <v>2476</v>
      </c>
      <c r="H97" s="5144" t="s">
        <v>24</v>
      </c>
      <c r="I97" s="5144" t="s">
        <v>710</v>
      </c>
    </row>
    <row customHeight="1" ht="11.25">
      <c r="A98" s="5144" t="s">
        <v>2177</v>
      </c>
      <c r="B98" s="5144" t="s">
        <v>14</v>
      </c>
      <c r="C98" s="5144" t="s">
        <v>2477</v>
      </c>
      <c r="D98" s="5144" t="s">
        <v>2478</v>
      </c>
      <c r="E98" s="5144" t="s">
        <v>2479</v>
      </c>
      <c r="F98" s="5144" t="s">
        <v>2252</v>
      </c>
      <c r="G98" s="5144" t="s">
        <v>2480</v>
      </c>
      <c r="H98" s="5144" t="s">
        <v>24</v>
      </c>
      <c r="I98" s="5144" t="s">
        <v>710</v>
      </c>
    </row>
    <row customHeight="1" ht="11.25">
      <c r="A99" s="5144" t="s">
        <v>2177</v>
      </c>
      <c r="B99" s="5144" t="s">
        <v>14</v>
      </c>
      <c r="C99" s="5144" t="s">
        <v>24</v>
      </c>
      <c r="D99" s="5144" t="s">
        <v>2481</v>
      </c>
      <c r="E99" s="5144" t="s">
        <v>2482</v>
      </c>
      <c r="F99" s="5144" t="s">
        <v>2183</v>
      </c>
      <c r="G99" s="5144" t="s">
        <v>24</v>
      </c>
      <c r="H99" s="5144" t="s">
        <v>24</v>
      </c>
      <c r="I99" s="5144" t="s">
        <v>710</v>
      </c>
    </row>
    <row customHeight="1" ht="11.25">
      <c r="A100" s="5144" t="s">
        <v>2177</v>
      </c>
      <c r="B100" s="5144" t="s">
        <v>14</v>
      </c>
      <c r="C100" s="5144" t="s">
        <v>24</v>
      </c>
      <c r="D100" s="5144" t="s">
        <v>2483</v>
      </c>
      <c r="E100" s="5144" t="s">
        <v>2484</v>
      </c>
      <c r="F100" s="5144" t="s">
        <v>2277</v>
      </c>
      <c r="G100" s="5144" t="s">
        <v>24</v>
      </c>
      <c r="H100" s="5144" t="s">
        <v>24</v>
      </c>
      <c r="I100" s="5144" t="s">
        <v>710</v>
      </c>
    </row>
    <row customHeight="1" ht="11.25">
      <c r="A101" s="5144" t="s">
        <v>2177</v>
      </c>
      <c r="B101" s="5144" t="s">
        <v>14</v>
      </c>
      <c r="C101" s="5144" t="s">
        <v>24</v>
      </c>
      <c r="D101" s="5144" t="s">
        <v>2485</v>
      </c>
      <c r="E101" s="5144" t="s">
        <v>2486</v>
      </c>
      <c r="F101" s="5144" t="s">
        <v>2183</v>
      </c>
      <c r="G101" s="5144" t="s">
        <v>24</v>
      </c>
      <c r="H101" s="5144" t="s">
        <v>24</v>
      </c>
      <c r="I101" s="5144" t="s">
        <v>710</v>
      </c>
    </row>
    <row customHeight="1" ht="11.25">
      <c r="A102" s="5144" t="s">
        <v>2177</v>
      </c>
      <c r="B102" s="5144" t="s">
        <v>14</v>
      </c>
      <c r="C102" s="5144" t="s">
        <v>24</v>
      </c>
      <c r="D102" s="5144" t="s">
        <v>2487</v>
      </c>
      <c r="E102" s="5144" t="s">
        <v>2488</v>
      </c>
      <c r="F102" s="5144" t="s">
        <v>2277</v>
      </c>
      <c r="G102" s="5144" t="s">
        <v>24</v>
      </c>
      <c r="H102" s="5144" t="s">
        <v>24</v>
      </c>
      <c r="I102" s="5144" t="s">
        <v>710</v>
      </c>
    </row>
    <row customHeight="1" ht="11.25">
      <c r="A103" s="5144" t="s">
        <v>2177</v>
      </c>
      <c r="B103" s="5144" t="s">
        <v>14</v>
      </c>
      <c r="C103" s="5144" t="s">
        <v>2489</v>
      </c>
      <c r="D103" s="5144" t="s">
        <v>2490</v>
      </c>
      <c r="E103" s="5144" t="s">
        <v>2491</v>
      </c>
      <c r="F103" s="5144" t="s">
        <v>2492</v>
      </c>
      <c r="G103" s="5144" t="s">
        <v>2493</v>
      </c>
      <c r="H103" s="5144" t="s">
        <v>24</v>
      </c>
      <c r="I103" s="5144" t="s">
        <v>710</v>
      </c>
    </row>
    <row customHeight="1" ht="11.25">
      <c r="A104" s="5144" t="s">
        <v>2177</v>
      </c>
      <c r="B104" s="5144" t="s">
        <v>14</v>
      </c>
      <c r="C104" s="5144" t="s">
        <v>2494</v>
      </c>
      <c r="D104" s="5144" t="s">
        <v>2495</v>
      </c>
      <c r="E104" s="5144" t="s">
        <v>2496</v>
      </c>
      <c r="F104" s="5144" t="s">
        <v>2252</v>
      </c>
      <c r="G104" s="5144" t="s">
        <v>2497</v>
      </c>
      <c r="H104" s="5144" t="s">
        <v>24</v>
      </c>
      <c r="I104" s="5144" t="s">
        <v>710</v>
      </c>
    </row>
    <row customHeight="1" ht="11.25">
      <c r="A105" s="5144" t="s">
        <v>2177</v>
      </c>
      <c r="B105" s="5144" t="s">
        <v>14</v>
      </c>
      <c r="C105" s="5144" t="s">
        <v>2498</v>
      </c>
      <c r="D105" s="5144" t="s">
        <v>2499</v>
      </c>
      <c r="E105" s="5144" t="s">
        <v>2500</v>
      </c>
      <c r="F105" s="5144" t="s">
        <v>2467</v>
      </c>
      <c r="G105" s="5144" t="s">
        <v>2501</v>
      </c>
      <c r="H105" s="5144" t="s">
        <v>24</v>
      </c>
      <c r="I105" s="5144" t="s">
        <v>710</v>
      </c>
    </row>
    <row customHeight="1" ht="11.25">
      <c r="A106" s="5144" t="s">
        <v>2177</v>
      </c>
      <c r="B106" s="5144" t="s">
        <v>14</v>
      </c>
      <c r="C106" s="5144" t="s">
        <v>2502</v>
      </c>
      <c r="D106" s="5144" t="s">
        <v>2503</v>
      </c>
      <c r="E106" s="5144" t="s">
        <v>2504</v>
      </c>
      <c r="F106" s="5144" t="s">
        <v>2505</v>
      </c>
      <c r="G106" s="5144" t="s">
        <v>2506</v>
      </c>
      <c r="H106" s="5144" t="s">
        <v>24</v>
      </c>
      <c r="I106" s="5144" t="s">
        <v>710</v>
      </c>
    </row>
    <row customHeight="1" ht="11.25">
      <c r="A107" s="5144" t="s">
        <v>2177</v>
      </c>
      <c r="B107" s="5144" t="s">
        <v>14</v>
      </c>
      <c r="C107" s="5144" t="s">
        <v>2507</v>
      </c>
      <c r="D107" s="5144" t="s">
        <v>2508</v>
      </c>
      <c r="E107" s="5144" t="s">
        <v>2509</v>
      </c>
      <c r="F107" s="5144" t="s">
        <v>2510</v>
      </c>
      <c r="G107" s="5144" t="s">
        <v>2511</v>
      </c>
      <c r="H107" s="5144" t="s">
        <v>24</v>
      </c>
      <c r="I107" s="5144" t="s">
        <v>710</v>
      </c>
    </row>
    <row customHeight="1" ht="11.25">
      <c r="A108" s="5144" t="s">
        <v>2177</v>
      </c>
      <c r="B108" s="5144" t="s">
        <v>14</v>
      </c>
      <c r="C108" s="5144" t="s">
        <v>2512</v>
      </c>
      <c r="D108" s="5144" t="s">
        <v>2513</v>
      </c>
      <c r="E108" s="5144" t="s">
        <v>2514</v>
      </c>
      <c r="F108" s="5144" t="s">
        <v>2515</v>
      </c>
      <c r="G108" s="5144" t="s">
        <v>2516</v>
      </c>
      <c r="H108" s="5144" t="s">
        <v>24</v>
      </c>
      <c r="I108" s="5144" t="s">
        <v>710</v>
      </c>
    </row>
    <row customHeight="1" ht="11.25">
      <c r="A109" s="5144" t="s">
        <v>2177</v>
      </c>
      <c r="B109" s="5144" t="s">
        <v>14</v>
      </c>
      <c r="C109" s="5144" t="s">
        <v>2517</v>
      </c>
      <c r="D109" s="5144" t="s">
        <v>2518</v>
      </c>
      <c r="E109" s="5144" t="s">
        <v>2519</v>
      </c>
      <c r="F109" s="5144" t="s">
        <v>2520</v>
      </c>
      <c r="G109" s="5144" t="s">
        <v>2521</v>
      </c>
      <c r="H109" s="5144" t="s">
        <v>24</v>
      </c>
      <c r="I109" s="5144" t="s">
        <v>710</v>
      </c>
    </row>
    <row customHeight="1" ht="11.25">
      <c r="A110" s="5144" t="s">
        <v>2177</v>
      </c>
      <c r="B110" s="5144" t="s">
        <v>14</v>
      </c>
      <c r="C110" s="5144" t="s">
        <v>2522</v>
      </c>
      <c r="D110" s="5144" t="s">
        <v>2523</v>
      </c>
      <c r="E110" s="5144" t="s">
        <v>2524</v>
      </c>
      <c r="F110" s="5144" t="s">
        <v>2202</v>
      </c>
      <c r="G110" s="5144" t="s">
        <v>2525</v>
      </c>
      <c r="H110" s="5144" t="s">
        <v>24</v>
      </c>
      <c r="I110" s="5144" t="s">
        <v>710</v>
      </c>
    </row>
    <row customHeight="1" ht="11.25">
      <c r="A111" s="5144" t="s">
        <v>2177</v>
      </c>
      <c r="B111" s="5144" t="s">
        <v>14</v>
      </c>
      <c r="C111" s="5144" t="s">
        <v>2526</v>
      </c>
      <c r="D111" s="5144" t="s">
        <v>2527</v>
      </c>
      <c r="E111" s="5144" t="s">
        <v>2528</v>
      </c>
      <c r="F111" s="5144" t="s">
        <v>2505</v>
      </c>
      <c r="G111" s="5144" t="s">
        <v>2529</v>
      </c>
      <c r="H111" s="5144" t="s">
        <v>24</v>
      </c>
      <c r="I111" s="5144" t="s">
        <v>710</v>
      </c>
    </row>
    <row customHeight="1" ht="11.25">
      <c r="A112" s="5144" t="s">
        <v>2177</v>
      </c>
      <c r="B112" s="5144" t="s">
        <v>14</v>
      </c>
      <c r="C112" s="5144" t="s">
        <v>2530</v>
      </c>
      <c r="D112" s="5144" t="s">
        <v>2531</v>
      </c>
      <c r="E112" s="5144" t="s">
        <v>2532</v>
      </c>
      <c r="F112" s="5144" t="s">
        <v>2252</v>
      </c>
      <c r="G112" s="5144" t="s">
        <v>2533</v>
      </c>
      <c r="H112" s="5144" t="s">
        <v>24</v>
      </c>
      <c r="I112" s="5144" t="s">
        <v>710</v>
      </c>
    </row>
    <row customHeight="1" ht="11.25">
      <c r="A113" s="5144" t="s">
        <v>2177</v>
      </c>
      <c r="B113" s="5144" t="s">
        <v>14</v>
      </c>
      <c r="C113" s="5144" t="s">
        <v>2534</v>
      </c>
      <c r="D113" s="5144" t="s">
        <v>2535</v>
      </c>
      <c r="E113" s="5144" t="s">
        <v>2536</v>
      </c>
      <c r="F113" s="5144" t="s">
        <v>2277</v>
      </c>
      <c r="G113" s="5144" t="s">
        <v>2537</v>
      </c>
      <c r="H113" s="5144" t="s">
        <v>24</v>
      </c>
      <c r="I113" s="5144" t="s">
        <v>710</v>
      </c>
    </row>
    <row customHeight="1" ht="11.25">
      <c r="A114" s="5144" t="s">
        <v>2177</v>
      </c>
      <c r="B114" s="5144" t="s">
        <v>14</v>
      </c>
      <c r="C114" s="5144" t="s">
        <v>2538</v>
      </c>
      <c r="D114" s="5144" t="s">
        <v>2539</v>
      </c>
      <c r="E114" s="5144" t="s">
        <v>2540</v>
      </c>
      <c r="F114" s="5144" t="s">
        <v>2288</v>
      </c>
      <c r="G114" s="5144" t="s">
        <v>2541</v>
      </c>
      <c r="H114" s="5144" t="s">
        <v>24</v>
      </c>
      <c r="I114" s="5144" t="s">
        <v>710</v>
      </c>
    </row>
    <row customHeight="1" ht="11.25">
      <c r="A115" s="5144" t="s">
        <v>2177</v>
      </c>
      <c r="B115" s="5144" t="s">
        <v>14</v>
      </c>
      <c r="C115" s="5144" t="s">
        <v>2542</v>
      </c>
      <c r="D115" s="5144" t="s">
        <v>2543</v>
      </c>
      <c r="E115" s="5144" t="s">
        <v>2544</v>
      </c>
      <c r="F115" s="5144" t="s">
        <v>2505</v>
      </c>
      <c r="G115" s="5144" t="s">
        <v>2545</v>
      </c>
      <c r="H115" s="5144" t="s">
        <v>24</v>
      </c>
      <c r="I115" s="5144" t="s">
        <v>710</v>
      </c>
    </row>
    <row customHeight="1" ht="11.25">
      <c r="A116" s="5144" t="s">
        <v>2177</v>
      </c>
      <c r="B116" s="5144" t="s">
        <v>14</v>
      </c>
      <c r="C116" s="5144" t="s">
        <v>2546</v>
      </c>
      <c r="D116" s="5144" t="s">
        <v>2547</v>
      </c>
      <c r="E116" s="5144" t="s">
        <v>2548</v>
      </c>
      <c r="F116" s="5144" t="s">
        <v>2202</v>
      </c>
      <c r="G116" s="5144" t="s">
        <v>2549</v>
      </c>
      <c r="H116" s="5144" t="s">
        <v>24</v>
      </c>
      <c r="I116" s="5144" t="s">
        <v>710</v>
      </c>
    </row>
    <row customHeight="1" ht="11.25">
      <c r="A117" s="5144" t="s">
        <v>2177</v>
      </c>
      <c r="B117" s="5144" t="s">
        <v>14</v>
      </c>
      <c r="C117" s="5144" t="s">
        <v>2550</v>
      </c>
      <c r="D117" s="5144" t="s">
        <v>2551</v>
      </c>
      <c r="E117" s="5144" t="s">
        <v>2552</v>
      </c>
      <c r="F117" s="5144" t="s">
        <v>2186</v>
      </c>
      <c r="G117" s="5144" t="s">
        <v>2553</v>
      </c>
      <c r="H117" s="5144" t="s">
        <v>24</v>
      </c>
      <c r="I117" s="5144" t="s">
        <v>710</v>
      </c>
    </row>
    <row customHeight="1" ht="11.25">
      <c r="A118" s="5144" t="s">
        <v>2177</v>
      </c>
      <c r="B118" s="5144" t="s">
        <v>14</v>
      </c>
      <c r="C118" s="5144" t="s">
        <v>2554</v>
      </c>
      <c r="D118" s="5144" t="s">
        <v>2555</v>
      </c>
      <c r="E118" s="5144" t="s">
        <v>2556</v>
      </c>
      <c r="F118" s="5144" t="s">
        <v>2505</v>
      </c>
      <c r="G118" s="5144" t="s">
        <v>2557</v>
      </c>
      <c r="H118" s="5144" t="s">
        <v>24</v>
      </c>
      <c r="I118" s="5144" t="s">
        <v>710</v>
      </c>
    </row>
    <row customHeight="1" ht="11.25">
      <c r="A119" s="5144" t="s">
        <v>2177</v>
      </c>
      <c r="B119" s="5144" t="s">
        <v>14</v>
      </c>
      <c r="C119" s="5144" t="s">
        <v>2558</v>
      </c>
      <c r="D119" s="5144" t="s">
        <v>2559</v>
      </c>
      <c r="E119" s="5144" t="s">
        <v>2560</v>
      </c>
      <c r="F119" s="5144" t="s">
        <v>2221</v>
      </c>
      <c r="G119" s="5144" t="s">
        <v>2561</v>
      </c>
      <c r="H119" s="5144" t="s">
        <v>24</v>
      </c>
      <c r="I119" s="5144" t="s">
        <v>710</v>
      </c>
    </row>
    <row customHeight="1" ht="11.25">
      <c r="A120" s="5144" t="s">
        <v>2177</v>
      </c>
      <c r="B120" s="5144" t="s">
        <v>14</v>
      </c>
      <c r="C120" s="5144" t="s">
        <v>2562</v>
      </c>
      <c r="D120" s="5144" t="s">
        <v>2563</v>
      </c>
      <c r="E120" s="5144" t="s">
        <v>2564</v>
      </c>
      <c r="F120" s="5144" t="s">
        <v>2202</v>
      </c>
      <c r="G120" s="5144" t="s">
        <v>2565</v>
      </c>
      <c r="H120" s="5144" t="s">
        <v>24</v>
      </c>
      <c r="I120" s="5144" t="s">
        <v>710</v>
      </c>
    </row>
    <row customHeight="1" ht="11.25">
      <c r="A121" s="5144" t="s">
        <v>2177</v>
      </c>
      <c r="B121" s="5144" t="s">
        <v>14</v>
      </c>
      <c r="C121" s="5144" t="s">
        <v>2566</v>
      </c>
      <c r="D121" s="5144" t="s">
        <v>2567</v>
      </c>
      <c r="E121" s="5144" t="s">
        <v>2568</v>
      </c>
      <c r="F121" s="5144" t="s">
        <v>2288</v>
      </c>
      <c r="G121" s="5144" t="s">
        <v>2569</v>
      </c>
      <c r="H121" s="5144" t="s">
        <v>24</v>
      </c>
      <c r="I121" s="5144" t="s">
        <v>710</v>
      </c>
    </row>
    <row customHeight="1" ht="11.25">
      <c r="A122" s="5144" t="s">
        <v>2177</v>
      </c>
      <c r="B122" s="5144" t="s">
        <v>14</v>
      </c>
      <c r="C122" s="5144" t="s">
        <v>2570</v>
      </c>
      <c r="D122" s="5144" t="s">
        <v>2571</v>
      </c>
      <c r="E122" s="5144" t="s">
        <v>2572</v>
      </c>
      <c r="F122" s="5144" t="s">
        <v>2221</v>
      </c>
      <c r="G122" s="5144" t="s">
        <v>2573</v>
      </c>
      <c r="H122" s="5144" t="s">
        <v>24</v>
      </c>
      <c r="I122" s="5144" t="s">
        <v>710</v>
      </c>
    </row>
    <row customHeight="1" ht="11.25">
      <c r="A123" s="5144" t="s">
        <v>2177</v>
      </c>
      <c r="B123" s="5144" t="s">
        <v>14</v>
      </c>
      <c r="C123" s="5144" t="s">
        <v>2574</v>
      </c>
      <c r="D123" s="5144" t="s">
        <v>2575</v>
      </c>
      <c r="E123" s="5144" t="s">
        <v>2576</v>
      </c>
      <c r="F123" s="5144" t="s">
        <v>2252</v>
      </c>
      <c r="G123" s="5144" t="s">
        <v>2577</v>
      </c>
      <c r="H123" s="5144" t="s">
        <v>24</v>
      </c>
      <c r="I123" s="5144" t="s">
        <v>710</v>
      </c>
    </row>
    <row customHeight="1" ht="11.25">
      <c r="A124" s="5144" t="s">
        <v>2177</v>
      </c>
      <c r="B124" s="5144" t="s">
        <v>14</v>
      </c>
      <c r="C124" s="5144" t="s">
        <v>2578</v>
      </c>
      <c r="D124" s="5144" t="s">
        <v>2579</v>
      </c>
      <c r="E124" s="5144" t="s">
        <v>2580</v>
      </c>
      <c r="F124" s="5144" t="s">
        <v>2288</v>
      </c>
      <c r="G124" s="5144" t="s">
        <v>2581</v>
      </c>
      <c r="H124" s="5144" t="s">
        <v>2582</v>
      </c>
      <c r="I124" s="5144" t="s">
        <v>710</v>
      </c>
    </row>
    <row customHeight="1" ht="11.25">
      <c r="A125" s="5144" t="s">
        <v>2177</v>
      </c>
      <c r="B125" s="5144" t="s">
        <v>14</v>
      </c>
      <c r="C125" s="5144" t="s">
        <v>2583</v>
      </c>
      <c r="D125" s="5144" t="s">
        <v>2584</v>
      </c>
      <c r="E125" s="5144" t="s">
        <v>2585</v>
      </c>
      <c r="F125" s="5144" t="s">
        <v>2231</v>
      </c>
      <c r="G125" s="5144" t="s">
        <v>2586</v>
      </c>
      <c r="H125" s="5144" t="s">
        <v>24</v>
      </c>
      <c r="I125" s="5144" t="s">
        <v>710</v>
      </c>
    </row>
    <row customHeight="1" ht="11.25">
      <c r="A126" s="5144" t="s">
        <v>2177</v>
      </c>
      <c r="B126" s="5144" t="s">
        <v>14</v>
      </c>
      <c r="C126" s="5144" t="s">
        <v>2587</v>
      </c>
      <c r="D126" s="5144" t="s">
        <v>2588</v>
      </c>
      <c r="E126" s="5144" t="s">
        <v>2589</v>
      </c>
      <c r="F126" s="5144" t="s">
        <v>2505</v>
      </c>
      <c r="G126" s="5144" t="s">
        <v>2590</v>
      </c>
      <c r="H126" s="5144" t="s">
        <v>24</v>
      </c>
      <c r="I126" s="5144" t="s">
        <v>710</v>
      </c>
    </row>
    <row customHeight="1" ht="11.25">
      <c r="A127" s="5144" t="s">
        <v>2177</v>
      </c>
      <c r="B127" s="5144" t="s">
        <v>14</v>
      </c>
      <c r="C127" s="5144" t="s">
        <v>2591</v>
      </c>
      <c r="D127" s="5144" t="s">
        <v>2592</v>
      </c>
      <c r="E127" s="5144" t="s">
        <v>2593</v>
      </c>
      <c r="F127" s="5144" t="s">
        <v>2192</v>
      </c>
      <c r="G127" s="5144" t="s">
        <v>2594</v>
      </c>
      <c r="H127" s="5144" t="s">
        <v>24</v>
      </c>
      <c r="I127" s="5144" t="s">
        <v>710</v>
      </c>
    </row>
    <row customHeight="1" ht="11.25">
      <c r="A128" s="5144" t="s">
        <v>2177</v>
      </c>
      <c r="B128" s="5144" t="s">
        <v>14</v>
      </c>
      <c r="C128" s="5144" t="s">
        <v>2595</v>
      </c>
      <c r="D128" s="5144" t="s">
        <v>2596</v>
      </c>
      <c r="E128" s="5144" t="s">
        <v>2597</v>
      </c>
      <c r="F128" s="5144" t="s">
        <v>2505</v>
      </c>
      <c r="G128" s="5144" t="s">
        <v>2598</v>
      </c>
      <c r="H128" s="5144" t="s">
        <v>24</v>
      </c>
      <c r="I128" s="5144" t="s">
        <v>710</v>
      </c>
    </row>
    <row customHeight="1" ht="11.25">
      <c r="A129" s="5144" t="s">
        <v>2177</v>
      </c>
      <c r="B129" s="5144" t="s">
        <v>14</v>
      </c>
      <c r="C129" s="5144" t="s">
        <v>2599</v>
      </c>
      <c r="D129" s="5144" t="s">
        <v>2600</v>
      </c>
      <c r="E129" s="5144" t="s">
        <v>2601</v>
      </c>
      <c r="F129" s="5144" t="s">
        <v>2602</v>
      </c>
      <c r="G129" s="5144" t="s">
        <v>2603</v>
      </c>
      <c r="H129" s="5144" t="s">
        <v>2604</v>
      </c>
      <c r="I129" s="5144" t="s">
        <v>710</v>
      </c>
    </row>
    <row customHeight="1" ht="11.25">
      <c r="A130" s="5144" t="s">
        <v>2177</v>
      </c>
      <c r="B130" s="5144" t="s">
        <v>14</v>
      </c>
      <c r="C130" s="5144" t="s">
        <v>2605</v>
      </c>
      <c r="D130" s="5144" t="s">
        <v>2606</v>
      </c>
      <c r="E130" s="5144" t="s">
        <v>2607</v>
      </c>
      <c r="F130" s="5144" t="s">
        <v>2252</v>
      </c>
      <c r="G130" s="5144" t="s">
        <v>2608</v>
      </c>
      <c r="H130" s="5144" t="s">
        <v>24</v>
      </c>
      <c r="I130" s="5144" t="s">
        <v>710</v>
      </c>
    </row>
    <row customHeight="1" ht="11.25">
      <c r="A131" s="5144" t="s">
        <v>2177</v>
      </c>
      <c r="B131" s="5144" t="s">
        <v>14</v>
      </c>
      <c r="C131" s="5144" t="s">
        <v>2609</v>
      </c>
      <c r="D131" s="5144" t="s">
        <v>2610</v>
      </c>
      <c r="E131" s="5144" t="s">
        <v>2611</v>
      </c>
      <c r="F131" s="5144" t="s">
        <v>2505</v>
      </c>
      <c r="G131" s="5144" t="s">
        <v>2612</v>
      </c>
      <c r="H131" s="5144" t="s">
        <v>2613</v>
      </c>
      <c r="I131" s="5144" t="s">
        <v>710</v>
      </c>
    </row>
    <row customHeight="1" ht="11.25">
      <c r="A132" s="5144" t="s">
        <v>2177</v>
      </c>
      <c r="B132" s="5144" t="s">
        <v>14</v>
      </c>
      <c r="C132" s="5144" t="s">
        <v>2614</v>
      </c>
      <c r="D132" s="5144" t="s">
        <v>2615</v>
      </c>
      <c r="E132" s="5144" t="s">
        <v>2616</v>
      </c>
      <c r="F132" s="5144" t="s">
        <v>2505</v>
      </c>
      <c r="G132" s="5144" t="s">
        <v>2617</v>
      </c>
      <c r="H132" s="5144" t="s">
        <v>24</v>
      </c>
      <c r="I132" s="5144" t="s">
        <v>710</v>
      </c>
    </row>
    <row customHeight="1" ht="11.25">
      <c r="A133" s="5144" t="s">
        <v>2177</v>
      </c>
      <c r="B133" s="5144" t="s">
        <v>14</v>
      </c>
      <c r="C133" s="5144" t="s">
        <v>2618</v>
      </c>
      <c r="D133" s="5144" t="s">
        <v>2619</v>
      </c>
      <c r="E133" s="5144" t="s">
        <v>2620</v>
      </c>
      <c r="F133" s="5144" t="s">
        <v>2505</v>
      </c>
      <c r="G133" s="5144" t="s">
        <v>2621</v>
      </c>
      <c r="H133" s="5144" t="s">
        <v>24</v>
      </c>
      <c r="I133" s="5144" t="s">
        <v>710</v>
      </c>
    </row>
    <row customHeight="1" ht="11.25">
      <c r="A134" s="5144" t="s">
        <v>2177</v>
      </c>
      <c r="B134" s="5144" t="s">
        <v>14</v>
      </c>
      <c r="C134" s="5144" t="s">
        <v>2622</v>
      </c>
      <c r="D134" s="5144" t="s">
        <v>2623</v>
      </c>
      <c r="E134" s="5144" t="s">
        <v>2624</v>
      </c>
      <c r="F134" s="5144" t="s">
        <v>2183</v>
      </c>
      <c r="G134" s="5144" t="s">
        <v>2625</v>
      </c>
      <c r="H134" s="5144" t="s">
        <v>24</v>
      </c>
      <c r="I134" s="5144" t="s">
        <v>710</v>
      </c>
    </row>
    <row customHeight="1" ht="11.25">
      <c r="A135" s="5144" t="s">
        <v>2177</v>
      </c>
      <c r="B135" s="5144" t="s">
        <v>14</v>
      </c>
      <c r="C135" s="5144" t="s">
        <v>2626</v>
      </c>
      <c r="D135" s="5144" t="s">
        <v>2627</v>
      </c>
      <c r="E135" s="5144" t="s">
        <v>2628</v>
      </c>
      <c r="F135" s="5144" t="s">
        <v>2183</v>
      </c>
      <c r="G135" s="5144" t="s">
        <v>2629</v>
      </c>
      <c r="H135" s="5144" t="s">
        <v>24</v>
      </c>
      <c r="I135" s="5144" t="s">
        <v>710</v>
      </c>
    </row>
    <row customHeight="1" ht="11.25">
      <c r="A136" s="5144" t="s">
        <v>2177</v>
      </c>
      <c r="B136" s="5144" t="s">
        <v>14</v>
      </c>
      <c r="C136" s="5144" t="s">
        <v>2630</v>
      </c>
      <c r="D136" s="5144" t="s">
        <v>2631</v>
      </c>
      <c r="E136" s="5144" t="s">
        <v>2632</v>
      </c>
      <c r="F136" s="5144" t="s">
        <v>2183</v>
      </c>
      <c r="G136" s="5144" t="s">
        <v>24</v>
      </c>
      <c r="H136" s="5144" t="s">
        <v>24</v>
      </c>
      <c r="I136" s="5144" t="s">
        <v>710</v>
      </c>
    </row>
    <row customHeight="1" ht="11.25">
      <c r="A137" s="5144" t="s">
        <v>2177</v>
      </c>
      <c r="B137" s="5144" t="s">
        <v>14</v>
      </c>
      <c r="C137" s="5144" t="s">
        <v>2633</v>
      </c>
      <c r="D137" s="5144" t="s">
        <v>2634</v>
      </c>
      <c r="E137" s="5144" t="s">
        <v>2635</v>
      </c>
      <c r="F137" s="5144" t="s">
        <v>2231</v>
      </c>
      <c r="G137" s="5144" t="s">
        <v>24</v>
      </c>
      <c r="H137" s="5144" t="s">
        <v>24</v>
      </c>
      <c r="I137" s="5144" t="s">
        <v>710</v>
      </c>
    </row>
    <row customHeight="1" ht="11.25">
      <c r="A138" s="5144" t="s">
        <v>2177</v>
      </c>
      <c r="B138" s="5144" t="s">
        <v>14</v>
      </c>
      <c r="C138" s="5144" t="s">
        <v>2636</v>
      </c>
      <c r="D138" s="5144" t="s">
        <v>2637</v>
      </c>
      <c r="E138" s="5144" t="s">
        <v>2638</v>
      </c>
      <c r="F138" s="5144" t="s">
        <v>2186</v>
      </c>
      <c r="G138" s="5144" t="s">
        <v>2639</v>
      </c>
      <c r="H138" s="5144" t="s">
        <v>24</v>
      </c>
      <c r="I138" s="5144" t="s">
        <v>710</v>
      </c>
    </row>
    <row customHeight="1" ht="11.25">
      <c r="A139" s="5144" t="s">
        <v>2177</v>
      </c>
      <c r="B139" s="5144" t="s">
        <v>14</v>
      </c>
      <c r="C139" s="5144" t="s">
        <v>2640</v>
      </c>
      <c r="D139" s="5144" t="s">
        <v>2641</v>
      </c>
      <c r="E139" s="5144" t="s">
        <v>2642</v>
      </c>
      <c r="F139" s="5144" t="s">
        <v>2467</v>
      </c>
      <c r="G139" s="5144" t="s">
        <v>2643</v>
      </c>
      <c r="H139" s="5144" t="s">
        <v>24</v>
      </c>
      <c r="I139" s="5144" t="s">
        <v>710</v>
      </c>
    </row>
    <row customHeight="1" ht="11.25">
      <c r="A140" s="5144" t="s">
        <v>2177</v>
      </c>
      <c r="B140" s="5144" t="s">
        <v>14</v>
      </c>
      <c r="C140" s="5144" t="s">
        <v>2644</v>
      </c>
      <c r="D140" s="5144" t="s">
        <v>2645</v>
      </c>
      <c r="E140" s="5144" t="s">
        <v>2646</v>
      </c>
      <c r="F140" s="5144" t="s">
        <v>2505</v>
      </c>
      <c r="G140" s="5144" t="s">
        <v>24</v>
      </c>
      <c r="H140" s="5144" t="s">
        <v>24</v>
      </c>
      <c r="I140" s="5144" t="s">
        <v>710</v>
      </c>
    </row>
    <row customHeight="1" ht="11.25">
      <c r="A141" s="5144" t="s">
        <v>2177</v>
      </c>
      <c r="B141" s="5144" t="s">
        <v>14</v>
      </c>
      <c r="C141" s="5144" t="s">
        <v>2647</v>
      </c>
      <c r="D141" s="5144" t="s">
        <v>2648</v>
      </c>
      <c r="E141" s="5144" t="s">
        <v>2649</v>
      </c>
      <c r="F141" s="5144" t="s">
        <v>2186</v>
      </c>
      <c r="G141" s="5144" t="s">
        <v>2650</v>
      </c>
      <c r="H141" s="5144" t="s">
        <v>24</v>
      </c>
      <c r="I141" s="5144" t="s">
        <v>710</v>
      </c>
    </row>
    <row customHeight="1" ht="11.25">
      <c r="A142" s="5144" t="s">
        <v>2177</v>
      </c>
      <c r="B142" s="5144" t="s">
        <v>14</v>
      </c>
      <c r="C142" s="5144" t="s">
        <v>2651</v>
      </c>
      <c r="D142" s="5144" t="s">
        <v>2652</v>
      </c>
      <c r="E142" s="5144" t="s">
        <v>2653</v>
      </c>
      <c r="F142" s="5144" t="s">
        <v>2186</v>
      </c>
      <c r="G142" s="5144" t="s">
        <v>2654</v>
      </c>
      <c r="H142" s="5144" t="s">
        <v>24</v>
      </c>
      <c r="I142" s="5144" t="s">
        <v>710</v>
      </c>
    </row>
    <row customHeight="1" ht="11.25">
      <c r="A143" s="5144" t="s">
        <v>2177</v>
      </c>
      <c r="B143" s="5144" t="s">
        <v>14</v>
      </c>
      <c r="C143" s="5144" t="s">
        <v>2655</v>
      </c>
      <c r="D143" s="5144" t="s">
        <v>2656</v>
      </c>
      <c r="E143" s="5144" t="s">
        <v>2657</v>
      </c>
      <c r="F143" s="5144" t="s">
        <v>2231</v>
      </c>
      <c r="G143" s="5144" t="s">
        <v>2658</v>
      </c>
      <c r="H143" s="5144" t="s">
        <v>24</v>
      </c>
      <c r="I143" s="5144" t="s">
        <v>710</v>
      </c>
    </row>
    <row customHeight="1" ht="11.25">
      <c r="A144" s="5144" t="s">
        <v>2177</v>
      </c>
      <c r="B144" s="5144" t="s">
        <v>14</v>
      </c>
      <c r="C144" s="5144" t="s">
        <v>2659</v>
      </c>
      <c r="D144" s="5144" t="s">
        <v>2660</v>
      </c>
      <c r="E144" s="5144" t="s">
        <v>2661</v>
      </c>
      <c r="F144" s="5144" t="s">
        <v>2252</v>
      </c>
      <c r="G144" s="5144" t="s">
        <v>2662</v>
      </c>
      <c r="H144" s="5144" t="s">
        <v>24</v>
      </c>
      <c r="I144" s="5144" t="s">
        <v>710</v>
      </c>
    </row>
    <row customHeight="1" ht="11.25">
      <c r="A145" s="5144" t="s">
        <v>2177</v>
      </c>
      <c r="B145" s="5144" t="s">
        <v>14</v>
      </c>
      <c r="C145" s="5144" t="s">
        <v>2663</v>
      </c>
      <c r="D145" s="5144" t="s">
        <v>2664</v>
      </c>
      <c r="E145" s="5144" t="s">
        <v>2665</v>
      </c>
      <c r="F145" s="5144" t="s">
        <v>2231</v>
      </c>
      <c r="G145" s="5144" t="s">
        <v>24</v>
      </c>
      <c r="H145" s="5144" t="s">
        <v>24</v>
      </c>
      <c r="I145" s="5144" t="s">
        <v>710</v>
      </c>
    </row>
    <row customHeight="1" ht="11.25">
      <c r="A146" s="5144" t="s">
        <v>2177</v>
      </c>
      <c r="B146" s="5144" t="s">
        <v>14</v>
      </c>
      <c r="C146" s="5144" t="s">
        <v>2666</v>
      </c>
      <c r="D146" s="5144" t="s">
        <v>2667</v>
      </c>
      <c r="E146" s="5144" t="s">
        <v>2668</v>
      </c>
      <c r="F146" s="5144" t="s">
        <v>2669</v>
      </c>
      <c r="G146" s="5144" t="s">
        <v>24</v>
      </c>
      <c r="H146" s="5144" t="s">
        <v>24</v>
      </c>
      <c r="I146" s="5144" t="s">
        <v>710</v>
      </c>
    </row>
    <row customHeight="1" ht="11.25">
      <c r="A147" s="5144" t="s">
        <v>2177</v>
      </c>
      <c r="B147" s="5144" t="s">
        <v>14</v>
      </c>
      <c r="C147" s="5144" t="s">
        <v>2670</v>
      </c>
      <c r="D147" s="5144" t="s">
        <v>2671</v>
      </c>
      <c r="E147" s="5144" t="s">
        <v>2672</v>
      </c>
      <c r="F147" s="5144" t="s">
        <v>2673</v>
      </c>
      <c r="G147" s="5144" t="s">
        <v>2674</v>
      </c>
      <c r="H147" s="5144" t="s">
        <v>24</v>
      </c>
      <c r="I147" s="5144" t="s">
        <v>710</v>
      </c>
    </row>
    <row customHeight="1" ht="11.25">
      <c r="A148" s="5144" t="s">
        <v>2177</v>
      </c>
      <c r="B148" s="5144" t="s">
        <v>14</v>
      </c>
      <c r="C148" s="5144" t="s">
        <v>2675</v>
      </c>
      <c r="D148" s="5144" t="s">
        <v>2676</v>
      </c>
      <c r="E148" s="5144" t="s">
        <v>2677</v>
      </c>
      <c r="F148" s="5144" t="s">
        <v>2226</v>
      </c>
      <c r="G148" s="5144" t="s">
        <v>2678</v>
      </c>
      <c r="H148" s="5144" t="s">
        <v>24</v>
      </c>
      <c r="I148" s="5144" t="s">
        <v>710</v>
      </c>
    </row>
    <row customHeight="1" ht="11.25">
      <c r="A149" s="5144" t="s">
        <v>2177</v>
      </c>
      <c r="B149" s="5144" t="s">
        <v>14</v>
      </c>
      <c r="C149" s="5144" t="s">
        <v>2679</v>
      </c>
      <c r="D149" s="5144" t="s">
        <v>2680</v>
      </c>
      <c r="E149" s="5144" t="s">
        <v>2681</v>
      </c>
      <c r="F149" s="5144" t="s">
        <v>2510</v>
      </c>
      <c r="G149" s="5144" t="s">
        <v>2682</v>
      </c>
      <c r="H149" s="5144" t="s">
        <v>24</v>
      </c>
      <c r="I149" s="5144" t="s">
        <v>710</v>
      </c>
    </row>
    <row customHeight="1" ht="11.25">
      <c r="A150" s="5144" t="s">
        <v>2177</v>
      </c>
      <c r="B150" s="5144" t="s">
        <v>14</v>
      </c>
      <c r="C150" s="5144" t="s">
        <v>2683</v>
      </c>
      <c r="D150" s="5144" t="s">
        <v>2684</v>
      </c>
      <c r="E150" s="5144" t="s">
        <v>2685</v>
      </c>
      <c r="F150" s="5144" t="s">
        <v>2231</v>
      </c>
      <c r="G150" s="5144" t="s">
        <v>2686</v>
      </c>
      <c r="H150" s="5144" t="s">
        <v>24</v>
      </c>
      <c r="I150" s="5144" t="s">
        <v>710</v>
      </c>
    </row>
    <row customHeight="1" ht="11.25">
      <c r="A151" s="5144" t="s">
        <v>2177</v>
      </c>
      <c r="B151" s="5144" t="s">
        <v>14</v>
      </c>
      <c r="C151" s="5144" t="s">
        <v>2687</v>
      </c>
      <c r="D151" s="5144" t="s">
        <v>2688</v>
      </c>
      <c r="E151" s="5144" t="s">
        <v>2689</v>
      </c>
      <c r="F151" s="5144" t="s">
        <v>2252</v>
      </c>
      <c r="G151" s="5144" t="s">
        <v>2613</v>
      </c>
      <c r="H151" s="5144" t="s">
        <v>24</v>
      </c>
      <c r="I151" s="5144" t="s">
        <v>710</v>
      </c>
    </row>
    <row customHeight="1" ht="11.25">
      <c r="A152" s="5144" t="s">
        <v>2177</v>
      </c>
      <c r="B152" s="5144" t="s">
        <v>14</v>
      </c>
      <c r="C152" s="5144" t="s">
        <v>2690</v>
      </c>
      <c r="D152" s="5144" t="s">
        <v>2688</v>
      </c>
      <c r="E152" s="5144" t="s">
        <v>2691</v>
      </c>
      <c r="F152" s="5144" t="s">
        <v>2505</v>
      </c>
      <c r="G152" s="5144" t="s">
        <v>2692</v>
      </c>
      <c r="H152" s="5144" t="s">
        <v>24</v>
      </c>
      <c r="I152" s="5144" t="s">
        <v>710</v>
      </c>
    </row>
    <row customHeight="1" ht="11.25">
      <c r="A153" s="5144" t="s">
        <v>2177</v>
      </c>
      <c r="B153" s="5144" t="s">
        <v>14</v>
      </c>
      <c r="C153" s="5144" t="s">
        <v>2693</v>
      </c>
      <c r="D153" s="5144" t="s">
        <v>2694</v>
      </c>
      <c r="E153" s="5144" t="s">
        <v>2695</v>
      </c>
      <c r="F153" s="5144" t="s">
        <v>2180</v>
      </c>
      <c r="G153" s="5144" t="s">
        <v>2696</v>
      </c>
      <c r="H153" s="5144" t="s">
        <v>2697</v>
      </c>
      <c r="I153" s="5144" t="s">
        <v>710</v>
      </c>
    </row>
    <row customHeight="1" ht="11.25">
      <c r="A154" s="5144" t="s">
        <v>2177</v>
      </c>
      <c r="B154" s="5144" t="s">
        <v>14</v>
      </c>
      <c r="C154" s="5144" t="s">
        <v>2698</v>
      </c>
      <c r="D154" s="5144" t="s">
        <v>2699</v>
      </c>
      <c r="E154" s="5144" t="s">
        <v>2700</v>
      </c>
      <c r="F154" s="5144" t="s">
        <v>2180</v>
      </c>
      <c r="G154" s="5144" t="s">
        <v>2701</v>
      </c>
      <c r="H154" s="5144" t="s">
        <v>2702</v>
      </c>
      <c r="I154" s="5144" t="s">
        <v>710</v>
      </c>
    </row>
    <row customHeight="1" ht="11.25">
      <c r="A155" s="5144" t="s">
        <v>2177</v>
      </c>
      <c r="B155" s="5144" t="s">
        <v>14</v>
      </c>
      <c r="C155" s="5144" t="s">
        <v>2703</v>
      </c>
      <c r="D155" s="5144" t="s">
        <v>2704</v>
      </c>
      <c r="E155" s="5144" t="s">
        <v>2705</v>
      </c>
      <c r="F155" s="5144" t="s">
        <v>2180</v>
      </c>
      <c r="G155" s="5144" t="s">
        <v>2706</v>
      </c>
      <c r="H155" s="5144" t="s">
        <v>24</v>
      </c>
      <c r="I155" s="5144" t="s">
        <v>710</v>
      </c>
    </row>
    <row customHeight="1" ht="11.25">
      <c r="A156" s="5144" t="s">
        <v>2177</v>
      </c>
      <c r="B156" s="5144" t="s">
        <v>14</v>
      </c>
      <c r="C156" s="5144" t="s">
        <v>2707</v>
      </c>
      <c r="D156" s="5144" t="s">
        <v>2708</v>
      </c>
      <c r="E156" s="5144" t="s">
        <v>2709</v>
      </c>
      <c r="F156" s="5144" t="s">
        <v>2505</v>
      </c>
      <c r="G156" s="5144" t="s">
        <v>2710</v>
      </c>
      <c r="H156" s="5144" t="s">
        <v>24</v>
      </c>
      <c r="I156" s="5144" t="s">
        <v>710</v>
      </c>
    </row>
    <row customHeight="1" ht="11.25">
      <c r="A157" s="5144" t="s">
        <v>2177</v>
      </c>
      <c r="B157" s="5144" t="s">
        <v>14</v>
      </c>
      <c r="C157" s="5144" t="s">
        <v>2711</v>
      </c>
      <c r="D157" s="5144" t="s">
        <v>2712</v>
      </c>
      <c r="E157" s="5144" t="s">
        <v>2713</v>
      </c>
      <c r="F157" s="5144" t="s">
        <v>2252</v>
      </c>
      <c r="G157" s="5144" t="s">
        <v>2714</v>
      </c>
      <c r="H157" s="5144" t="s">
        <v>24</v>
      </c>
      <c r="I157" s="5144" t="s">
        <v>710</v>
      </c>
    </row>
    <row customHeight="1" ht="11.25">
      <c r="A158" s="5144" t="s">
        <v>2177</v>
      </c>
      <c r="B158" s="5144" t="s">
        <v>14</v>
      </c>
      <c r="C158" s="5144" t="s">
        <v>2715</v>
      </c>
      <c r="D158" s="5144" t="s">
        <v>2716</v>
      </c>
      <c r="E158" s="5144" t="s">
        <v>2717</v>
      </c>
      <c r="F158" s="5144" t="s">
        <v>2252</v>
      </c>
      <c r="G158" s="5144" t="s">
        <v>2718</v>
      </c>
      <c r="H158" s="5144" t="s">
        <v>24</v>
      </c>
      <c r="I158" s="5144" t="s">
        <v>710</v>
      </c>
    </row>
    <row customHeight="1" ht="11.25">
      <c r="A159" s="5144" t="s">
        <v>2177</v>
      </c>
      <c r="B159" s="5144" t="s">
        <v>14</v>
      </c>
      <c r="C159" s="5144" t="s">
        <v>2719</v>
      </c>
      <c r="D159" s="5144" t="s">
        <v>2720</v>
      </c>
      <c r="E159" s="5144" t="s">
        <v>2721</v>
      </c>
      <c r="F159" s="5144" t="s">
        <v>2207</v>
      </c>
      <c r="G159" s="5144" t="s">
        <v>2722</v>
      </c>
      <c r="H159" s="5144" t="s">
        <v>24</v>
      </c>
      <c r="I159" s="5144" t="s">
        <v>710</v>
      </c>
    </row>
    <row customHeight="1" ht="11.25">
      <c r="A160" s="5144" t="s">
        <v>2177</v>
      </c>
      <c r="B160" s="5144" t="s">
        <v>14</v>
      </c>
      <c r="C160" s="5144" t="s">
        <v>2723</v>
      </c>
      <c r="D160" s="5144" t="s">
        <v>2724</v>
      </c>
      <c r="E160" s="5144" t="s">
        <v>2725</v>
      </c>
      <c r="F160" s="5144" t="s">
        <v>2192</v>
      </c>
      <c r="G160" s="5144" t="s">
        <v>2726</v>
      </c>
      <c r="H160" s="5144" t="s">
        <v>24</v>
      </c>
      <c r="I160" s="5144" t="s">
        <v>710</v>
      </c>
    </row>
    <row customHeight="1" ht="11.25">
      <c r="A161" s="5144" t="s">
        <v>2177</v>
      </c>
      <c r="B161" s="5144" t="s">
        <v>14</v>
      </c>
      <c r="C161" s="5144" t="s">
        <v>2727</v>
      </c>
      <c r="D161" s="5144" t="s">
        <v>2728</v>
      </c>
      <c r="E161" s="5144" t="s">
        <v>2729</v>
      </c>
      <c r="F161" s="5144" t="s">
        <v>2467</v>
      </c>
      <c r="G161" s="5144" t="s">
        <v>24</v>
      </c>
      <c r="H161" s="5144" t="s">
        <v>24</v>
      </c>
      <c r="I161" s="5144" t="s">
        <v>710</v>
      </c>
    </row>
    <row customHeight="1" ht="11.25">
      <c r="A162" s="5144" t="s">
        <v>2177</v>
      </c>
      <c r="B162" s="5144" t="s">
        <v>14</v>
      </c>
      <c r="C162" s="5144" t="s">
        <v>2730</v>
      </c>
      <c r="D162" s="5144" t="s">
        <v>2731</v>
      </c>
      <c r="E162" s="5144" t="s">
        <v>2732</v>
      </c>
      <c r="F162" s="5144" t="s">
        <v>2505</v>
      </c>
      <c r="G162" s="5144" t="s">
        <v>24</v>
      </c>
      <c r="H162" s="5144" t="s">
        <v>24</v>
      </c>
      <c r="I162" s="5144" t="s">
        <v>710</v>
      </c>
    </row>
    <row customHeight="1" ht="11.25">
      <c r="A163" s="5144" t="s">
        <v>2177</v>
      </c>
      <c r="B163" s="5144" t="s">
        <v>14</v>
      </c>
      <c r="C163" s="5144" t="s">
        <v>2733</v>
      </c>
      <c r="D163" s="5144" t="s">
        <v>2734</v>
      </c>
      <c r="E163" s="5144" t="s">
        <v>2735</v>
      </c>
      <c r="F163" s="5144" t="s">
        <v>2226</v>
      </c>
      <c r="G163" s="5144" t="s">
        <v>2736</v>
      </c>
      <c r="H163" s="5144" t="s">
        <v>24</v>
      </c>
      <c r="I163" s="5144" t="s">
        <v>710</v>
      </c>
    </row>
    <row customHeight="1" ht="11.25">
      <c r="A164" s="5144" t="s">
        <v>2177</v>
      </c>
      <c r="B164" s="5144" t="s">
        <v>14</v>
      </c>
      <c r="C164" s="5144" t="s">
        <v>2737</v>
      </c>
      <c r="D164" s="5144" t="s">
        <v>2738</v>
      </c>
      <c r="E164" s="5144" t="s">
        <v>2739</v>
      </c>
      <c r="F164" s="5144" t="s">
        <v>2740</v>
      </c>
      <c r="G164" s="5144" t="s">
        <v>2741</v>
      </c>
      <c r="H164" s="5144" t="s">
        <v>24</v>
      </c>
      <c r="I164" s="5144" t="s">
        <v>710</v>
      </c>
    </row>
    <row customHeight="1" ht="11.25">
      <c r="A165" s="5144" t="s">
        <v>2177</v>
      </c>
      <c r="B165" s="5144" t="s">
        <v>14</v>
      </c>
      <c r="C165" s="5144" t="s">
        <v>2742</v>
      </c>
      <c r="D165" s="5144" t="s">
        <v>2743</v>
      </c>
      <c r="E165" s="5144" t="s">
        <v>2744</v>
      </c>
      <c r="F165" s="5144" t="s">
        <v>2745</v>
      </c>
      <c r="G165" s="5144" t="s">
        <v>24</v>
      </c>
      <c r="H165" s="5144" t="s">
        <v>24</v>
      </c>
      <c r="I165" s="5144" t="s">
        <v>710</v>
      </c>
    </row>
    <row customHeight="1" ht="11.25">
      <c r="A166" s="5144" t="s">
        <v>2177</v>
      </c>
      <c r="B166" s="5144" t="s">
        <v>14</v>
      </c>
      <c r="C166" s="5144" t="s">
        <v>2746</v>
      </c>
      <c r="D166" s="5144" t="s">
        <v>2747</v>
      </c>
      <c r="E166" s="5144" t="s">
        <v>2748</v>
      </c>
      <c r="F166" s="5144" t="s">
        <v>2749</v>
      </c>
      <c r="G166" s="5144" t="s">
        <v>2750</v>
      </c>
      <c r="H166" s="5144" t="s">
        <v>24</v>
      </c>
      <c r="I166" s="5144" t="s">
        <v>710</v>
      </c>
    </row>
    <row customHeight="1" ht="11.25">
      <c r="A167" s="5144" t="s">
        <v>2177</v>
      </c>
      <c r="B167" s="5144" t="s">
        <v>14</v>
      </c>
      <c r="C167" s="5144" t="s">
        <v>2751</v>
      </c>
      <c r="D167" s="5144" t="s">
        <v>2752</v>
      </c>
      <c r="E167" s="5144" t="s">
        <v>2753</v>
      </c>
      <c r="F167" s="5144" t="s">
        <v>2520</v>
      </c>
      <c r="G167" s="5144" t="s">
        <v>2754</v>
      </c>
      <c r="H167" s="5144" t="s">
        <v>24</v>
      </c>
      <c r="I167" s="5144" t="s">
        <v>710</v>
      </c>
    </row>
    <row customHeight="1" ht="11.25">
      <c r="A168" s="5144" t="s">
        <v>2177</v>
      </c>
      <c r="B168" s="5144" t="s">
        <v>14</v>
      </c>
      <c r="C168" s="5144" t="s">
        <v>2755</v>
      </c>
      <c r="D168" s="5144" t="s">
        <v>2756</v>
      </c>
      <c r="E168" s="5144" t="s">
        <v>2757</v>
      </c>
      <c r="F168" s="5144" t="s">
        <v>2186</v>
      </c>
      <c r="G168" s="5144" t="s">
        <v>2758</v>
      </c>
      <c r="H168" s="5144" t="s">
        <v>24</v>
      </c>
      <c r="I168" s="5144" t="s">
        <v>710</v>
      </c>
    </row>
    <row customHeight="1" ht="11.25">
      <c r="A169" s="5144" t="s">
        <v>2177</v>
      </c>
      <c r="B169" s="5144" t="s">
        <v>14</v>
      </c>
      <c r="C169" s="5144" t="s">
        <v>2759</v>
      </c>
      <c r="D169" s="5144" t="s">
        <v>2760</v>
      </c>
      <c r="E169" s="5144" t="s">
        <v>2761</v>
      </c>
      <c r="F169" s="5144" t="s">
        <v>2505</v>
      </c>
      <c r="G169" s="5144" t="s">
        <v>2762</v>
      </c>
      <c r="H169" s="5144" t="s">
        <v>24</v>
      </c>
      <c r="I169" s="5144" t="s">
        <v>710</v>
      </c>
    </row>
    <row customHeight="1" ht="11.25">
      <c r="A170" s="5144" t="s">
        <v>2177</v>
      </c>
      <c r="B170" s="5144" t="s">
        <v>14</v>
      </c>
      <c r="C170" s="5144" t="s">
        <v>2763</v>
      </c>
      <c r="D170" s="5144" t="s">
        <v>2764</v>
      </c>
      <c r="E170" s="5144" t="s">
        <v>2765</v>
      </c>
      <c r="F170" s="5144" t="s">
        <v>2183</v>
      </c>
      <c r="G170" s="5144" t="s">
        <v>2766</v>
      </c>
      <c r="H170" s="5144" t="s">
        <v>24</v>
      </c>
      <c r="I170" s="5144" t="s">
        <v>710</v>
      </c>
    </row>
    <row customHeight="1" ht="11.25">
      <c r="A171" s="5144" t="s">
        <v>2177</v>
      </c>
      <c r="B171" s="5144" t="s">
        <v>14</v>
      </c>
      <c r="C171" s="5144" t="s">
        <v>2767</v>
      </c>
      <c r="D171" s="5144" t="s">
        <v>2768</v>
      </c>
      <c r="E171" s="5144" t="s">
        <v>2769</v>
      </c>
      <c r="F171" s="5144" t="s">
        <v>2770</v>
      </c>
      <c r="G171" s="5144" t="s">
        <v>2771</v>
      </c>
      <c r="H171" s="5144" t="s">
        <v>24</v>
      </c>
      <c r="I171" s="5144" t="s">
        <v>710</v>
      </c>
    </row>
    <row customHeight="1" ht="11.25">
      <c r="A172" s="5144" t="s">
        <v>2177</v>
      </c>
      <c r="B172" s="5144" t="s">
        <v>14</v>
      </c>
      <c r="C172" s="5144" t="s">
        <v>2772</v>
      </c>
      <c r="D172" s="5144" t="s">
        <v>2773</v>
      </c>
      <c r="E172" s="5144" t="s">
        <v>2774</v>
      </c>
      <c r="F172" s="5144" t="s">
        <v>51</v>
      </c>
      <c r="G172" s="5144" t="s">
        <v>2775</v>
      </c>
      <c r="H172" s="5144" t="s">
        <v>2776</v>
      </c>
      <c r="I172" s="5144" t="s">
        <v>710</v>
      </c>
    </row>
    <row customHeight="1" ht="11.25">
      <c r="A173" s="5144" t="s">
        <v>2177</v>
      </c>
      <c r="B173" s="5144" t="s">
        <v>14</v>
      </c>
      <c r="C173" s="5144" t="s">
        <v>2777</v>
      </c>
      <c r="D173" s="5144" t="s">
        <v>2778</v>
      </c>
      <c r="E173" s="5144" t="s">
        <v>2779</v>
      </c>
      <c r="F173" s="5144" t="s">
        <v>2467</v>
      </c>
      <c r="G173" s="5144" t="s">
        <v>24</v>
      </c>
      <c r="H173" s="5144" t="s">
        <v>24</v>
      </c>
      <c r="I173" s="5144" t="s">
        <v>710</v>
      </c>
    </row>
    <row customHeight="1" ht="11.25">
      <c r="A174" s="5144" t="s">
        <v>2177</v>
      </c>
      <c r="B174" s="5144" t="s">
        <v>14</v>
      </c>
      <c r="C174" s="5144" t="s">
        <v>2780</v>
      </c>
      <c r="D174" s="5144" t="s">
        <v>2781</v>
      </c>
      <c r="E174" s="5144" t="s">
        <v>2782</v>
      </c>
      <c r="F174" s="5144" t="s">
        <v>2231</v>
      </c>
      <c r="G174" s="5144" t="s">
        <v>2783</v>
      </c>
      <c r="H174" s="5144" t="s">
        <v>24</v>
      </c>
      <c r="I174" s="5144" t="s">
        <v>710</v>
      </c>
    </row>
    <row customHeight="1" ht="11.25">
      <c r="A175" s="5144" t="s">
        <v>2177</v>
      </c>
      <c r="B175" s="5144" t="s">
        <v>14</v>
      </c>
      <c r="C175" s="5144" t="s">
        <v>2784</v>
      </c>
      <c r="D175" s="5144" t="s">
        <v>2785</v>
      </c>
      <c r="E175" s="5144" t="s">
        <v>2786</v>
      </c>
      <c r="F175" s="5144" t="s">
        <v>2463</v>
      </c>
      <c r="G175" s="5144" t="s">
        <v>2787</v>
      </c>
      <c r="H175" s="5144" t="s">
        <v>24</v>
      </c>
      <c r="I175" s="5144" t="s">
        <v>710</v>
      </c>
    </row>
    <row customHeight="1" ht="11.25">
      <c r="A176" s="5144" t="s">
        <v>2177</v>
      </c>
      <c r="B176" s="5144" t="s">
        <v>14</v>
      </c>
      <c r="C176" s="5144" t="s">
        <v>2788</v>
      </c>
      <c r="D176" s="5144" t="s">
        <v>2789</v>
      </c>
      <c r="E176" s="5144" t="s">
        <v>2790</v>
      </c>
      <c r="F176" s="5144" t="s">
        <v>2226</v>
      </c>
      <c r="G176" s="5144" t="s">
        <v>2791</v>
      </c>
      <c r="H176" s="5144" t="s">
        <v>24</v>
      </c>
      <c r="I176" s="5144" t="s">
        <v>710</v>
      </c>
    </row>
    <row customHeight="1" ht="11.25">
      <c r="A177" s="5144" t="s">
        <v>2177</v>
      </c>
      <c r="B177" s="5144" t="s">
        <v>14</v>
      </c>
      <c r="C177" s="5144" t="s">
        <v>2792</v>
      </c>
      <c r="D177" s="5144" t="s">
        <v>2793</v>
      </c>
      <c r="E177" s="5144" t="s">
        <v>2794</v>
      </c>
      <c r="F177" s="5144" t="s">
        <v>2795</v>
      </c>
      <c r="G177" s="5144" t="s">
        <v>2796</v>
      </c>
      <c r="H177" s="5144" t="s">
        <v>24</v>
      </c>
      <c r="I177" s="5144" t="s">
        <v>710</v>
      </c>
    </row>
    <row customHeight="1" ht="11.25">
      <c r="A178" s="5144" t="s">
        <v>2177</v>
      </c>
      <c r="B178" s="5144" t="s">
        <v>14</v>
      </c>
      <c r="C178" s="5144" t="s">
        <v>2797</v>
      </c>
      <c r="D178" s="5144" t="s">
        <v>2798</v>
      </c>
      <c r="E178" s="5144" t="s">
        <v>2799</v>
      </c>
      <c r="F178" s="5144" t="s">
        <v>2673</v>
      </c>
      <c r="G178" s="5144" t="s">
        <v>2800</v>
      </c>
      <c r="H178" s="5144" t="s">
        <v>24</v>
      </c>
      <c r="I178" s="5144" t="s">
        <v>710</v>
      </c>
    </row>
    <row customHeight="1" ht="11.25">
      <c r="A179" s="5144" t="s">
        <v>2177</v>
      </c>
      <c r="B179" s="5144" t="s">
        <v>14</v>
      </c>
      <c r="C179" s="5144" t="s">
        <v>2801</v>
      </c>
      <c r="D179" s="5144" t="s">
        <v>2798</v>
      </c>
      <c r="E179" s="5144" t="s">
        <v>2799</v>
      </c>
      <c r="F179" s="5144" t="s">
        <v>2802</v>
      </c>
      <c r="G179" s="5144" t="s">
        <v>2800</v>
      </c>
      <c r="H179" s="5144" t="s">
        <v>24</v>
      </c>
      <c r="I179" s="5144" t="s">
        <v>710</v>
      </c>
    </row>
    <row customHeight="1" ht="11.25">
      <c r="A180" s="5144" t="s">
        <v>2177</v>
      </c>
      <c r="B180" s="5144" t="s">
        <v>14</v>
      </c>
      <c r="C180" s="5144" t="s">
        <v>2803</v>
      </c>
      <c r="D180" s="5144" t="s">
        <v>2804</v>
      </c>
      <c r="E180" s="5144" t="s">
        <v>2805</v>
      </c>
      <c r="F180" s="5144" t="s">
        <v>2467</v>
      </c>
      <c r="G180" s="5144" t="s">
        <v>2806</v>
      </c>
      <c r="H180" s="5144" t="s">
        <v>24</v>
      </c>
      <c r="I180" s="5144" t="s">
        <v>710</v>
      </c>
    </row>
    <row customHeight="1" ht="11.25">
      <c r="A181" s="5144" t="s">
        <v>2177</v>
      </c>
      <c r="B181" s="5144" t="s">
        <v>14</v>
      </c>
      <c r="C181" s="5144" t="s">
        <v>2807</v>
      </c>
      <c r="D181" s="5144" t="s">
        <v>2808</v>
      </c>
      <c r="E181" s="5144" t="s">
        <v>2809</v>
      </c>
      <c r="F181" s="5144" t="s">
        <v>2810</v>
      </c>
      <c r="G181" s="5144" t="s">
        <v>2811</v>
      </c>
      <c r="H181" s="5144" t="s">
        <v>24</v>
      </c>
      <c r="I181" s="5144" t="s">
        <v>710</v>
      </c>
    </row>
    <row customHeight="1" ht="11.25">
      <c r="A182" s="5144" t="s">
        <v>2177</v>
      </c>
      <c r="B182" s="5144" t="s">
        <v>14</v>
      </c>
      <c r="C182" s="5144" t="s">
        <v>2812</v>
      </c>
      <c r="D182" s="5144" t="s">
        <v>2813</v>
      </c>
      <c r="E182" s="5144" t="s">
        <v>2814</v>
      </c>
      <c r="F182" s="5144" t="s">
        <v>2252</v>
      </c>
      <c r="G182" s="5144" t="s">
        <v>24</v>
      </c>
      <c r="H182" s="5144" t="s">
        <v>24</v>
      </c>
      <c r="I182" s="5144" t="s">
        <v>710</v>
      </c>
    </row>
    <row customHeight="1" ht="11.25">
      <c r="A183" s="5144" t="s">
        <v>2177</v>
      </c>
      <c r="B183" s="5144" t="s">
        <v>14</v>
      </c>
      <c r="C183" s="5144" t="s">
        <v>2815</v>
      </c>
      <c r="D183" s="5144" t="s">
        <v>2816</v>
      </c>
      <c r="E183" s="5144" t="s">
        <v>2817</v>
      </c>
      <c r="F183" s="5144" t="s">
        <v>2467</v>
      </c>
      <c r="G183" s="5144" t="s">
        <v>2818</v>
      </c>
      <c r="H183" s="5144" t="s">
        <v>2819</v>
      </c>
      <c r="I183" s="5144" t="s">
        <v>710</v>
      </c>
    </row>
    <row customHeight="1" ht="11.25">
      <c r="A184" s="5144" t="s">
        <v>2177</v>
      </c>
      <c r="B184" s="5144" t="s">
        <v>14</v>
      </c>
      <c r="C184" s="5144" t="s">
        <v>2820</v>
      </c>
      <c r="D184" s="5144" t="s">
        <v>2821</v>
      </c>
      <c r="E184" s="5144" t="s">
        <v>2822</v>
      </c>
      <c r="F184" s="5144" t="s">
        <v>2467</v>
      </c>
      <c r="G184" s="5144" t="s">
        <v>2823</v>
      </c>
      <c r="H184" s="5144" t="s">
        <v>24</v>
      </c>
      <c r="I184" s="5144" t="s">
        <v>710</v>
      </c>
    </row>
    <row customHeight="1" ht="11.25">
      <c r="A185" s="5144" t="s">
        <v>2177</v>
      </c>
      <c r="B185" s="5144" t="s">
        <v>14</v>
      </c>
      <c r="C185" s="5144" t="s">
        <v>2824</v>
      </c>
      <c r="D185" s="5144" t="s">
        <v>2825</v>
      </c>
      <c r="E185" s="5144" t="s">
        <v>2826</v>
      </c>
      <c r="F185" s="5144" t="s">
        <v>2183</v>
      </c>
      <c r="G185" s="5144" t="s">
        <v>2827</v>
      </c>
      <c r="H185" s="5144" t="s">
        <v>24</v>
      </c>
      <c r="I185" s="5144" t="s">
        <v>710</v>
      </c>
    </row>
    <row customHeight="1" ht="11.25">
      <c r="A186" s="5144" t="s">
        <v>2177</v>
      </c>
      <c r="B186" s="5144" t="s">
        <v>14</v>
      </c>
      <c r="C186" s="5144" t="s">
        <v>2828</v>
      </c>
      <c r="D186" s="5144" t="s">
        <v>2829</v>
      </c>
      <c r="E186" s="5144" t="s">
        <v>2830</v>
      </c>
      <c r="F186" s="5144" t="s">
        <v>2520</v>
      </c>
      <c r="G186" s="5144" t="s">
        <v>2831</v>
      </c>
      <c r="H186" s="5144" t="s">
        <v>24</v>
      </c>
      <c r="I186" s="5144" t="s">
        <v>710</v>
      </c>
    </row>
    <row customHeight="1" ht="11.25">
      <c r="A187" s="5144" t="s">
        <v>2177</v>
      </c>
      <c r="B187" s="5144" t="s">
        <v>14</v>
      </c>
      <c r="C187" s="5144" t="s">
        <v>2832</v>
      </c>
      <c r="D187" s="5144" t="s">
        <v>2833</v>
      </c>
      <c r="E187" s="5144" t="s">
        <v>2834</v>
      </c>
      <c r="F187" s="5144" t="s">
        <v>2288</v>
      </c>
      <c r="G187" s="5144" t="s">
        <v>2835</v>
      </c>
      <c r="H187" s="5144" t="s">
        <v>24</v>
      </c>
      <c r="I187" s="5144" t="s">
        <v>710</v>
      </c>
    </row>
    <row customHeight="1" ht="11.25">
      <c r="A188" s="5144" t="s">
        <v>2177</v>
      </c>
      <c r="B188" s="5144" t="s">
        <v>14</v>
      </c>
      <c r="C188" s="5144" t="s">
        <v>2836</v>
      </c>
      <c r="D188" s="5144" t="s">
        <v>2837</v>
      </c>
      <c r="E188" s="5144" t="s">
        <v>2838</v>
      </c>
      <c r="F188" s="5144" t="s">
        <v>2673</v>
      </c>
      <c r="G188" s="5144" t="s">
        <v>2839</v>
      </c>
      <c r="H188" s="5144" t="s">
        <v>24</v>
      </c>
      <c r="I188" s="5144" t="s">
        <v>710</v>
      </c>
    </row>
    <row customHeight="1" ht="11.25">
      <c r="A189" s="5144" t="s">
        <v>2177</v>
      </c>
      <c r="B189" s="5144" t="s">
        <v>14</v>
      </c>
      <c r="C189" s="5144" t="s">
        <v>2840</v>
      </c>
      <c r="D189" s="5144" t="s">
        <v>2841</v>
      </c>
      <c r="E189" s="5144" t="s">
        <v>2842</v>
      </c>
      <c r="F189" s="5144" t="s">
        <v>2207</v>
      </c>
      <c r="G189" s="5144" t="s">
        <v>24</v>
      </c>
      <c r="H189" s="5144" t="s">
        <v>24</v>
      </c>
      <c r="I189" s="5144" t="s">
        <v>710</v>
      </c>
    </row>
    <row customHeight="1" ht="11.25">
      <c r="A190" s="5144" t="s">
        <v>2177</v>
      </c>
      <c r="B190" s="5144" t="s">
        <v>14</v>
      </c>
      <c r="C190" s="5144" t="s">
        <v>2843</v>
      </c>
      <c r="D190" s="5144" t="s">
        <v>2844</v>
      </c>
      <c r="E190" s="5144" t="s">
        <v>2845</v>
      </c>
      <c r="F190" s="5144" t="s">
        <v>51</v>
      </c>
      <c r="G190" s="5144" t="s">
        <v>2846</v>
      </c>
      <c r="H190" s="5144" t="s">
        <v>24</v>
      </c>
      <c r="I190" s="5144" t="s">
        <v>710</v>
      </c>
    </row>
    <row customHeight="1" ht="11.25">
      <c r="A191" s="5144" t="s">
        <v>2177</v>
      </c>
      <c r="B191" s="5144" t="s">
        <v>14</v>
      </c>
      <c r="C191" s="5144" t="s">
        <v>2847</v>
      </c>
      <c r="D191" s="5144" t="s">
        <v>2848</v>
      </c>
      <c r="E191" s="5144" t="s">
        <v>2849</v>
      </c>
      <c r="F191" s="5144" t="s">
        <v>2226</v>
      </c>
      <c r="G191" s="5144" t="s">
        <v>2850</v>
      </c>
      <c r="H191" s="5144" t="s">
        <v>24</v>
      </c>
      <c r="I191" s="5144" t="s">
        <v>710</v>
      </c>
    </row>
    <row customHeight="1" ht="11.25">
      <c r="A192" s="5144" t="s">
        <v>2177</v>
      </c>
      <c r="B192" s="5144" t="s">
        <v>14</v>
      </c>
      <c r="C192" s="5144" t="s">
        <v>2851</v>
      </c>
      <c r="D192" s="5144" t="s">
        <v>2852</v>
      </c>
      <c r="E192" s="5144" t="s">
        <v>2853</v>
      </c>
      <c r="F192" s="5144" t="s">
        <v>2183</v>
      </c>
      <c r="G192" s="5144" t="s">
        <v>2854</v>
      </c>
      <c r="H192" s="5144" t="s">
        <v>24</v>
      </c>
      <c r="I192" s="5144" t="s">
        <v>710</v>
      </c>
    </row>
    <row customHeight="1" ht="11.25">
      <c r="A193" s="5144" t="s">
        <v>2177</v>
      </c>
      <c r="B193" s="5144" t="s">
        <v>14</v>
      </c>
      <c r="C193" s="5144" t="s">
        <v>2855</v>
      </c>
      <c r="D193" s="5144" t="s">
        <v>2856</v>
      </c>
      <c r="E193" s="5144" t="s">
        <v>2857</v>
      </c>
      <c r="F193" s="5144" t="s">
        <v>2202</v>
      </c>
      <c r="G193" s="5144" t="s">
        <v>2858</v>
      </c>
      <c r="H193" s="5144" t="s">
        <v>24</v>
      </c>
      <c r="I193" s="5144" t="s">
        <v>710</v>
      </c>
    </row>
    <row customHeight="1" ht="11.25">
      <c r="A194" s="5144" t="s">
        <v>2177</v>
      </c>
      <c r="B194" s="5144" t="s">
        <v>14</v>
      </c>
      <c r="C194" s="5144" t="s">
        <v>2859</v>
      </c>
      <c r="D194" s="5144" t="s">
        <v>2860</v>
      </c>
      <c r="E194" s="5144" t="s">
        <v>2861</v>
      </c>
      <c r="F194" s="5144" t="s">
        <v>2505</v>
      </c>
      <c r="G194" s="5144" t="s">
        <v>2862</v>
      </c>
      <c r="H194" s="5144" t="s">
        <v>24</v>
      </c>
      <c r="I194" s="5144" t="s">
        <v>710</v>
      </c>
    </row>
    <row customHeight="1" ht="11.25">
      <c r="A195" s="5144" t="s">
        <v>2177</v>
      </c>
      <c r="B195" s="5144" t="s">
        <v>14</v>
      </c>
      <c r="C195" s="5144" t="s">
        <v>2863</v>
      </c>
      <c r="D195" s="5144" t="s">
        <v>2864</v>
      </c>
      <c r="E195" s="5144" t="s">
        <v>2865</v>
      </c>
      <c r="F195" s="5144" t="s">
        <v>2189</v>
      </c>
      <c r="G195" s="5144" t="s">
        <v>2866</v>
      </c>
      <c r="H195" s="5144" t="s">
        <v>24</v>
      </c>
      <c r="I195" s="5144" t="s">
        <v>710</v>
      </c>
    </row>
    <row customHeight="1" ht="11.25">
      <c r="A196" s="5144" t="s">
        <v>2177</v>
      </c>
      <c r="B196" s="5144" t="s">
        <v>14</v>
      </c>
      <c r="C196" s="5144" t="s">
        <v>2867</v>
      </c>
      <c r="D196" s="5144" t="s">
        <v>2868</v>
      </c>
      <c r="E196" s="5144" t="s">
        <v>2869</v>
      </c>
      <c r="F196" s="5144" t="s">
        <v>2673</v>
      </c>
      <c r="G196" s="5144" t="s">
        <v>2870</v>
      </c>
      <c r="H196" s="5144" t="s">
        <v>24</v>
      </c>
      <c r="I196" s="5144" t="s">
        <v>710</v>
      </c>
    </row>
    <row customHeight="1" ht="11.25">
      <c r="A197" s="5144" t="s">
        <v>2177</v>
      </c>
      <c r="B197" s="5144" t="s">
        <v>14</v>
      </c>
      <c r="C197" s="5144" t="s">
        <v>2871</v>
      </c>
      <c r="D197" s="5144" t="s">
        <v>2872</v>
      </c>
      <c r="E197" s="5144" t="s">
        <v>2873</v>
      </c>
      <c r="F197" s="5144" t="s">
        <v>2288</v>
      </c>
      <c r="G197" s="5144" t="s">
        <v>2874</v>
      </c>
      <c r="H197" s="5144" t="s">
        <v>24</v>
      </c>
      <c r="I197" s="5144" t="s">
        <v>710</v>
      </c>
    </row>
    <row customHeight="1" ht="11.25">
      <c r="A198" s="5144" t="s">
        <v>2177</v>
      </c>
      <c r="B198" s="5144" t="s">
        <v>14</v>
      </c>
      <c r="C198" s="5144" t="s">
        <v>2875</v>
      </c>
      <c r="D198" s="5144" t="s">
        <v>2876</v>
      </c>
      <c r="E198" s="5144" t="s">
        <v>2877</v>
      </c>
      <c r="F198" s="5144" t="s">
        <v>2673</v>
      </c>
      <c r="G198" s="5144" t="s">
        <v>2878</v>
      </c>
      <c r="H198" s="5144" t="s">
        <v>24</v>
      </c>
      <c r="I198" s="5144" t="s">
        <v>710</v>
      </c>
    </row>
    <row customHeight="1" ht="11.25">
      <c r="A199" s="5144" t="s">
        <v>2177</v>
      </c>
      <c r="B199" s="5144" t="s">
        <v>14</v>
      </c>
      <c r="C199" s="5144" t="s">
        <v>2879</v>
      </c>
      <c r="D199" s="5144" t="s">
        <v>2880</v>
      </c>
      <c r="E199" s="5144" t="s">
        <v>2881</v>
      </c>
      <c r="F199" s="5144" t="s">
        <v>2252</v>
      </c>
      <c r="G199" s="5144" t="s">
        <v>2882</v>
      </c>
      <c r="H199" s="5144" t="s">
        <v>24</v>
      </c>
      <c r="I199" s="5144" t="s">
        <v>710</v>
      </c>
    </row>
    <row customHeight="1" ht="11.25">
      <c r="A200" s="5144" t="s">
        <v>2177</v>
      </c>
      <c r="B200" s="5144" t="s">
        <v>14</v>
      </c>
      <c r="C200" s="5144" t="s">
        <v>2883</v>
      </c>
      <c r="D200" s="5144" t="s">
        <v>2884</v>
      </c>
      <c r="E200" s="5144" t="s">
        <v>2885</v>
      </c>
      <c r="F200" s="5144" t="s">
        <v>2221</v>
      </c>
      <c r="G200" s="5144" t="s">
        <v>2886</v>
      </c>
      <c r="H200" s="5144" t="s">
        <v>24</v>
      </c>
      <c r="I200" s="5144" t="s">
        <v>710</v>
      </c>
    </row>
    <row customHeight="1" ht="11.25">
      <c r="A201" s="5144" t="s">
        <v>2177</v>
      </c>
      <c r="B201" s="5144" t="s">
        <v>14</v>
      </c>
      <c r="C201" s="5144" t="s">
        <v>2887</v>
      </c>
      <c r="D201" s="5144" t="s">
        <v>2888</v>
      </c>
      <c r="E201" s="5144" t="s">
        <v>2889</v>
      </c>
      <c r="F201" s="5144" t="s">
        <v>2520</v>
      </c>
      <c r="G201" s="5144" t="s">
        <v>24</v>
      </c>
      <c r="H201" s="5144" t="s">
        <v>24</v>
      </c>
      <c r="I201" s="5144" t="s">
        <v>710</v>
      </c>
    </row>
    <row customHeight="1" ht="11.25">
      <c r="A202" s="5144" t="s">
        <v>2177</v>
      </c>
      <c r="B202" s="5144" t="s">
        <v>14</v>
      </c>
      <c r="C202" s="5144" t="s">
        <v>2890</v>
      </c>
      <c r="D202" s="5144" t="s">
        <v>2888</v>
      </c>
      <c r="E202" s="5144" t="s">
        <v>2891</v>
      </c>
      <c r="F202" s="5144" t="s">
        <v>2231</v>
      </c>
      <c r="G202" s="5144" t="s">
        <v>2892</v>
      </c>
      <c r="H202" s="5144" t="s">
        <v>24</v>
      </c>
      <c r="I202" s="5144" t="s">
        <v>710</v>
      </c>
    </row>
    <row customHeight="1" ht="11.25">
      <c r="A203" s="5144" t="s">
        <v>2177</v>
      </c>
      <c r="B203" s="5144" t="s">
        <v>14</v>
      </c>
      <c r="C203" s="5144" t="s">
        <v>2893</v>
      </c>
      <c r="D203" s="5144" t="s">
        <v>2894</v>
      </c>
      <c r="E203" s="5144" t="s">
        <v>2895</v>
      </c>
      <c r="F203" s="5144" t="s">
        <v>2207</v>
      </c>
      <c r="G203" s="5144" t="s">
        <v>2896</v>
      </c>
      <c r="H203" s="5144" t="s">
        <v>2897</v>
      </c>
      <c r="I203" s="5144" t="s">
        <v>710</v>
      </c>
    </row>
    <row customHeight="1" ht="11.25">
      <c r="A204" s="5144" t="s">
        <v>2177</v>
      </c>
      <c r="B204" s="5144" t="s">
        <v>14</v>
      </c>
      <c r="C204" s="5144" t="s">
        <v>2898</v>
      </c>
      <c r="D204" s="5144" t="s">
        <v>2899</v>
      </c>
      <c r="E204" s="5144" t="s">
        <v>2900</v>
      </c>
      <c r="F204" s="5144" t="s">
        <v>2192</v>
      </c>
      <c r="G204" s="5144" t="s">
        <v>2901</v>
      </c>
      <c r="H204" s="5144" t="s">
        <v>2902</v>
      </c>
      <c r="I204" s="5144" t="s">
        <v>710</v>
      </c>
    </row>
    <row customHeight="1" ht="11.25">
      <c r="A205" s="5144" t="s">
        <v>2177</v>
      </c>
      <c r="B205" s="5144" t="s">
        <v>14</v>
      </c>
      <c r="C205" s="5144" t="s">
        <v>2903</v>
      </c>
      <c r="D205" s="5144" t="s">
        <v>2904</v>
      </c>
      <c r="E205" s="5144" t="s">
        <v>2905</v>
      </c>
      <c r="F205" s="5144" t="s">
        <v>2906</v>
      </c>
      <c r="G205" s="5144" t="s">
        <v>2907</v>
      </c>
      <c r="H205" s="5144" t="s">
        <v>2908</v>
      </c>
      <c r="I205" s="5144" t="s">
        <v>710</v>
      </c>
    </row>
    <row customHeight="1" ht="11.25">
      <c r="A206" s="5144" t="s">
        <v>2177</v>
      </c>
      <c r="B206" s="5144" t="s">
        <v>14</v>
      </c>
      <c r="C206" s="5144" t="s">
        <v>2909</v>
      </c>
      <c r="D206" s="5144" t="s">
        <v>2910</v>
      </c>
      <c r="E206" s="5144" t="s">
        <v>2911</v>
      </c>
      <c r="F206" s="5144" t="s">
        <v>2912</v>
      </c>
      <c r="G206" s="5144" t="s">
        <v>2913</v>
      </c>
      <c r="H206" s="5144" t="s">
        <v>24</v>
      </c>
      <c r="I206" s="5144" t="s">
        <v>710</v>
      </c>
    </row>
    <row customHeight="1" ht="11.25">
      <c r="A207" s="5144" t="s">
        <v>2177</v>
      </c>
      <c r="B207" s="5144" t="s">
        <v>14</v>
      </c>
      <c r="C207" s="5144" t="s">
        <v>2914</v>
      </c>
      <c r="D207" s="5144" t="s">
        <v>2915</v>
      </c>
      <c r="E207" s="5144" t="s">
        <v>2916</v>
      </c>
      <c r="F207" s="5144" t="s">
        <v>2202</v>
      </c>
      <c r="G207" s="5144" t="s">
        <v>2917</v>
      </c>
      <c r="H207" s="5144" t="s">
        <v>24</v>
      </c>
      <c r="I207" s="5144" t="s">
        <v>710</v>
      </c>
    </row>
    <row customHeight="1" ht="11.25">
      <c r="A208" s="5144" t="s">
        <v>2177</v>
      </c>
      <c r="B208" s="5144" t="s">
        <v>14</v>
      </c>
      <c r="C208" s="5144" t="s">
        <v>2918</v>
      </c>
      <c r="D208" s="5144" t="s">
        <v>2919</v>
      </c>
      <c r="E208" s="5144" t="s">
        <v>2920</v>
      </c>
      <c r="F208" s="5144" t="s">
        <v>2912</v>
      </c>
      <c r="G208" s="5144" t="s">
        <v>24</v>
      </c>
      <c r="H208" s="5144" t="s">
        <v>24</v>
      </c>
      <c r="I208" s="5144" t="s">
        <v>710</v>
      </c>
    </row>
    <row customHeight="1" ht="11.25">
      <c r="A209" s="5144" t="s">
        <v>2177</v>
      </c>
      <c r="B209" s="5144" t="s">
        <v>14</v>
      </c>
      <c r="C209" s="5144" t="s">
        <v>2921</v>
      </c>
      <c r="D209" s="5144" t="s">
        <v>2922</v>
      </c>
      <c r="E209" s="5144" t="s">
        <v>2923</v>
      </c>
      <c r="F209" s="5144" t="s">
        <v>2520</v>
      </c>
      <c r="G209" s="5144" t="s">
        <v>2924</v>
      </c>
      <c r="H209" s="5144" t="s">
        <v>24</v>
      </c>
      <c r="I209" s="5144" t="s">
        <v>710</v>
      </c>
    </row>
    <row customHeight="1" ht="11.25">
      <c r="A210" s="5144" t="s">
        <v>2177</v>
      </c>
      <c r="B210" s="5144" t="s">
        <v>14</v>
      </c>
      <c r="C210" s="5144" t="s">
        <v>2925</v>
      </c>
      <c r="D210" s="5144" t="s">
        <v>2926</v>
      </c>
      <c r="E210" s="5144" t="s">
        <v>2927</v>
      </c>
      <c r="F210" s="5144" t="s">
        <v>2673</v>
      </c>
      <c r="G210" s="5144" t="s">
        <v>2928</v>
      </c>
      <c r="H210" s="5144" t="s">
        <v>24</v>
      </c>
      <c r="I210" s="5144" t="s">
        <v>710</v>
      </c>
    </row>
    <row customHeight="1" ht="11.25">
      <c r="A211" s="5144" t="s">
        <v>2177</v>
      </c>
      <c r="B211" s="5144" t="s">
        <v>14</v>
      </c>
      <c r="C211" s="5144" t="s">
        <v>2929</v>
      </c>
      <c r="D211" s="5144" t="s">
        <v>2930</v>
      </c>
      <c r="E211" s="5144" t="s">
        <v>2931</v>
      </c>
      <c r="F211" s="5144" t="s">
        <v>2202</v>
      </c>
      <c r="G211" s="5144" t="s">
        <v>2932</v>
      </c>
      <c r="H211" s="5144" t="s">
        <v>24</v>
      </c>
      <c r="I211" s="5144" t="s">
        <v>710</v>
      </c>
    </row>
    <row customHeight="1" ht="11.25">
      <c r="A212" s="5144" t="s">
        <v>2177</v>
      </c>
      <c r="B212" s="5144" t="s">
        <v>14</v>
      </c>
      <c r="C212" s="5144" t="s">
        <v>2933</v>
      </c>
      <c r="D212" s="5144" t="s">
        <v>2934</v>
      </c>
      <c r="E212" s="5144" t="s">
        <v>2935</v>
      </c>
      <c r="F212" s="5144" t="s">
        <v>2673</v>
      </c>
      <c r="G212" s="5144" t="s">
        <v>24</v>
      </c>
      <c r="H212" s="5144" t="s">
        <v>24</v>
      </c>
      <c r="I212" s="5144" t="s">
        <v>710</v>
      </c>
    </row>
    <row customHeight="1" ht="11.25">
      <c r="A213" s="5144" t="s">
        <v>2177</v>
      </c>
      <c r="B213" s="5144" t="s">
        <v>14</v>
      </c>
      <c r="C213" s="5144" t="s">
        <v>2936</v>
      </c>
      <c r="D213" s="5144" t="s">
        <v>2937</v>
      </c>
      <c r="E213" s="5144" t="s">
        <v>2938</v>
      </c>
      <c r="F213" s="5144" t="s">
        <v>51</v>
      </c>
      <c r="G213" s="5144" t="s">
        <v>24</v>
      </c>
      <c r="H213" s="5144" t="s">
        <v>24</v>
      </c>
      <c r="I213" s="5144" t="s">
        <v>710</v>
      </c>
    </row>
    <row customHeight="1" ht="11.25">
      <c r="A214" s="5144" t="s">
        <v>2177</v>
      </c>
      <c r="B214" s="5144" t="s">
        <v>14</v>
      </c>
      <c r="C214" s="5144" t="s">
        <v>2939</v>
      </c>
      <c r="D214" s="5144" t="s">
        <v>2940</v>
      </c>
      <c r="E214" s="5144" t="s">
        <v>2941</v>
      </c>
      <c r="F214" s="5144" t="s">
        <v>51</v>
      </c>
      <c r="G214" s="5144" t="s">
        <v>24</v>
      </c>
      <c r="H214" s="5144" t="s">
        <v>24</v>
      </c>
      <c r="I214" s="5144" t="s">
        <v>710</v>
      </c>
    </row>
    <row customHeight="1" ht="11.25">
      <c r="A215" s="5144" t="s">
        <v>2177</v>
      </c>
      <c r="B215" s="5144" t="s">
        <v>14</v>
      </c>
      <c r="C215" s="5144" t="s">
        <v>2942</v>
      </c>
      <c r="D215" s="5144" t="s">
        <v>2943</v>
      </c>
      <c r="E215" s="5144" t="s">
        <v>2944</v>
      </c>
      <c r="F215" s="5144" t="s">
        <v>2221</v>
      </c>
      <c r="G215" s="5144" t="s">
        <v>2945</v>
      </c>
      <c r="H215" s="5144" t="s">
        <v>24</v>
      </c>
      <c r="I215" s="5144" t="s">
        <v>710</v>
      </c>
    </row>
    <row customHeight="1" ht="11.25">
      <c r="A216" s="5144" t="s">
        <v>2177</v>
      </c>
      <c r="B216" s="5144" t="s">
        <v>14</v>
      </c>
      <c r="C216" s="5144" t="s">
        <v>2946</v>
      </c>
      <c r="D216" s="5144" t="s">
        <v>2947</v>
      </c>
      <c r="E216" s="5144" t="s">
        <v>2948</v>
      </c>
      <c r="F216" s="5144" t="s">
        <v>2467</v>
      </c>
      <c r="G216" s="5144" t="s">
        <v>2949</v>
      </c>
      <c r="H216" s="5144" t="s">
        <v>24</v>
      </c>
      <c r="I216" s="5144" t="s">
        <v>710</v>
      </c>
    </row>
    <row customHeight="1" ht="11.25">
      <c r="A217" s="5144" t="s">
        <v>2177</v>
      </c>
      <c r="B217" s="5144" t="s">
        <v>14</v>
      </c>
      <c r="C217" s="5144" t="s">
        <v>2950</v>
      </c>
      <c r="D217" s="5144" t="s">
        <v>2951</v>
      </c>
      <c r="E217" s="5144" t="s">
        <v>2952</v>
      </c>
      <c r="F217" s="5144" t="s">
        <v>2953</v>
      </c>
      <c r="G217" s="5144" t="s">
        <v>2954</v>
      </c>
      <c r="H217" s="5144" t="s">
        <v>24</v>
      </c>
      <c r="I217" s="5144" t="s">
        <v>710</v>
      </c>
    </row>
    <row customHeight="1" ht="11.25">
      <c r="A218" s="5144" t="s">
        <v>2177</v>
      </c>
      <c r="B218" s="5144" t="s">
        <v>14</v>
      </c>
      <c r="C218" s="5144" t="s">
        <v>2955</v>
      </c>
      <c r="D218" s="5144" t="s">
        <v>2956</v>
      </c>
      <c r="E218" s="5144" t="s">
        <v>2957</v>
      </c>
      <c r="F218" s="5144" t="s">
        <v>2226</v>
      </c>
      <c r="G218" s="5144" t="s">
        <v>2958</v>
      </c>
      <c r="H218" s="5144" t="s">
        <v>24</v>
      </c>
      <c r="I218" s="5144" t="s">
        <v>710</v>
      </c>
    </row>
    <row customHeight="1" ht="11.25">
      <c r="A219" s="5144" t="s">
        <v>2177</v>
      </c>
      <c r="B219" s="5144" t="s">
        <v>14</v>
      </c>
      <c r="C219" s="5144" t="s">
        <v>2959</v>
      </c>
      <c r="D219" s="5144" t="s">
        <v>2960</v>
      </c>
      <c r="E219" s="5144" t="s">
        <v>2961</v>
      </c>
      <c r="F219" s="5144" t="s">
        <v>2505</v>
      </c>
      <c r="G219" s="5144" t="s">
        <v>2962</v>
      </c>
      <c r="H219" s="5144" t="s">
        <v>24</v>
      </c>
      <c r="I219" s="5144" t="s">
        <v>710</v>
      </c>
    </row>
    <row customHeight="1" ht="11.25">
      <c r="A220" s="5144" t="s">
        <v>2177</v>
      </c>
      <c r="B220" s="5144" t="s">
        <v>14</v>
      </c>
      <c r="C220" s="5144" t="s">
        <v>2963</v>
      </c>
      <c r="D220" s="5144" t="s">
        <v>2964</v>
      </c>
      <c r="E220" s="5144" t="s">
        <v>2965</v>
      </c>
      <c r="F220" s="5144" t="s">
        <v>2183</v>
      </c>
      <c r="G220" s="5144" t="s">
        <v>2966</v>
      </c>
      <c r="H220" s="5144" t="s">
        <v>24</v>
      </c>
      <c r="I220" s="5144" t="s">
        <v>710</v>
      </c>
    </row>
    <row customHeight="1" ht="11.25">
      <c r="A221" s="5144" t="s">
        <v>2177</v>
      </c>
      <c r="B221" s="5144" t="s">
        <v>14</v>
      </c>
      <c r="C221" s="5144" t="s">
        <v>2967</v>
      </c>
      <c r="D221" s="5144" t="s">
        <v>2968</v>
      </c>
      <c r="E221" s="5144" t="s">
        <v>2969</v>
      </c>
      <c r="F221" s="5144" t="s">
        <v>2970</v>
      </c>
      <c r="G221" s="5144" t="s">
        <v>24</v>
      </c>
      <c r="H221" s="5144" t="s">
        <v>2971</v>
      </c>
      <c r="I221" s="5144" t="s">
        <v>710</v>
      </c>
    </row>
    <row customHeight="1" ht="11.25">
      <c r="A222" s="5144" t="s">
        <v>2177</v>
      </c>
      <c r="B222" s="5144" t="s">
        <v>14</v>
      </c>
      <c r="C222" s="5144" t="s">
        <v>2972</v>
      </c>
      <c r="D222" s="5144" t="s">
        <v>2973</v>
      </c>
      <c r="E222" s="5144" t="s">
        <v>2974</v>
      </c>
      <c r="F222" s="5144" t="s">
        <v>51</v>
      </c>
      <c r="G222" s="5144" t="s">
        <v>2975</v>
      </c>
      <c r="H222" s="5144" t="s">
        <v>24</v>
      </c>
      <c r="I222" s="5144" t="s">
        <v>710</v>
      </c>
    </row>
    <row customHeight="1" ht="11.25">
      <c r="A223" s="5144" t="s">
        <v>2177</v>
      </c>
      <c r="B223" s="5144" t="s">
        <v>14</v>
      </c>
      <c r="C223" s="5144" t="s">
        <v>2976</v>
      </c>
      <c r="D223" s="5144" t="s">
        <v>2977</v>
      </c>
      <c r="E223" s="5144" t="s">
        <v>2978</v>
      </c>
      <c r="F223" s="5144" t="s">
        <v>2202</v>
      </c>
      <c r="G223" s="5144" t="s">
        <v>2979</v>
      </c>
      <c r="H223" s="5144" t="s">
        <v>24</v>
      </c>
      <c r="I223" s="5144" t="s">
        <v>710</v>
      </c>
    </row>
    <row customHeight="1" ht="11.25">
      <c r="A224" s="5144" t="s">
        <v>2177</v>
      </c>
      <c r="B224" s="5144" t="s">
        <v>14</v>
      </c>
      <c r="C224" s="5144" t="s">
        <v>2980</v>
      </c>
      <c r="D224" s="5144" t="s">
        <v>2981</v>
      </c>
      <c r="E224" s="5144" t="s">
        <v>2982</v>
      </c>
      <c r="F224" s="5144" t="s">
        <v>2673</v>
      </c>
      <c r="G224" s="5144" t="s">
        <v>2983</v>
      </c>
      <c r="H224" s="5144" t="s">
        <v>24</v>
      </c>
      <c r="I224" s="5144" t="s">
        <v>710</v>
      </c>
    </row>
    <row customHeight="1" ht="11.25">
      <c r="A225" s="5144" t="s">
        <v>2177</v>
      </c>
      <c r="B225" s="5144" t="s">
        <v>14</v>
      </c>
      <c r="C225" s="5144" t="s">
        <v>2984</v>
      </c>
      <c r="D225" s="5144" t="s">
        <v>2985</v>
      </c>
      <c r="E225" s="5144" t="s">
        <v>2986</v>
      </c>
      <c r="F225" s="5144" t="s">
        <v>2277</v>
      </c>
      <c r="G225" s="5144" t="s">
        <v>24</v>
      </c>
      <c r="H225" s="5144" t="s">
        <v>24</v>
      </c>
      <c r="I225" s="5144" t="s">
        <v>710</v>
      </c>
    </row>
    <row customHeight="1" ht="11.25">
      <c r="A226" s="5144" t="s">
        <v>2177</v>
      </c>
      <c r="B226" s="5144" t="s">
        <v>14</v>
      </c>
      <c r="C226" s="5144" t="s">
        <v>2987</v>
      </c>
      <c r="D226" s="5144" t="s">
        <v>2988</v>
      </c>
      <c r="E226" s="5144" t="s">
        <v>2989</v>
      </c>
      <c r="F226" s="5144" t="s">
        <v>2288</v>
      </c>
      <c r="G226" s="5144" t="s">
        <v>2990</v>
      </c>
      <c r="H226" s="5144" t="s">
        <v>24</v>
      </c>
      <c r="I226" s="5144" t="s">
        <v>710</v>
      </c>
    </row>
    <row customHeight="1" ht="11.25">
      <c r="A227" s="5144" t="s">
        <v>2177</v>
      </c>
      <c r="B227" s="5144" t="s">
        <v>14</v>
      </c>
      <c r="C227" s="5144" t="s">
        <v>2991</v>
      </c>
      <c r="D227" s="5144" t="s">
        <v>2992</v>
      </c>
      <c r="E227" s="5144" t="s">
        <v>2993</v>
      </c>
      <c r="F227" s="5144" t="s">
        <v>2277</v>
      </c>
      <c r="G227" s="5144" t="s">
        <v>2994</v>
      </c>
      <c r="H227" s="5144" t="s">
        <v>24</v>
      </c>
      <c r="I227" s="5144" t="s">
        <v>710</v>
      </c>
    </row>
    <row customHeight="1" ht="11.25">
      <c r="A228" s="5144" t="s">
        <v>2177</v>
      </c>
      <c r="B228" s="5144" t="s">
        <v>14</v>
      </c>
      <c r="C228" s="5144" t="s">
        <v>2995</v>
      </c>
      <c r="D228" s="5144" t="s">
        <v>2996</v>
      </c>
      <c r="E228" s="5144" t="s">
        <v>2997</v>
      </c>
      <c r="F228" s="5144" t="s">
        <v>2183</v>
      </c>
      <c r="G228" s="5144" t="s">
        <v>24</v>
      </c>
      <c r="H228" s="5144" t="s">
        <v>24</v>
      </c>
      <c r="I228" s="5144" t="s">
        <v>710</v>
      </c>
    </row>
    <row customHeight="1" ht="11.25">
      <c r="A229" s="5144" t="s">
        <v>2177</v>
      </c>
      <c r="B229" s="5144" t="s">
        <v>14</v>
      </c>
      <c r="C229" s="5144" t="s">
        <v>2998</v>
      </c>
      <c r="D229" s="5144" t="s">
        <v>2999</v>
      </c>
      <c r="E229" s="5144" t="s">
        <v>3000</v>
      </c>
      <c r="F229" s="5144" t="s">
        <v>2231</v>
      </c>
      <c r="G229" s="5144" t="s">
        <v>24</v>
      </c>
      <c r="H229" s="5144" t="s">
        <v>3001</v>
      </c>
      <c r="I229" s="5144" t="s">
        <v>710</v>
      </c>
    </row>
    <row customHeight="1" ht="11.25">
      <c r="A230" s="5144" t="s">
        <v>2177</v>
      </c>
      <c r="B230" s="5144" t="s">
        <v>14</v>
      </c>
      <c r="C230" s="5144" t="s">
        <v>3002</v>
      </c>
      <c r="D230" s="5144" t="s">
        <v>3003</v>
      </c>
      <c r="E230" s="5144" t="s">
        <v>3004</v>
      </c>
      <c r="F230" s="5144" t="s">
        <v>2186</v>
      </c>
      <c r="G230" s="5144" t="s">
        <v>3005</v>
      </c>
      <c r="H230" s="5144" t="s">
        <v>24</v>
      </c>
      <c r="I230" s="5144" t="s">
        <v>710</v>
      </c>
    </row>
    <row customHeight="1" ht="11.25">
      <c r="A231" s="5144" t="s">
        <v>2177</v>
      </c>
      <c r="B231" s="5144" t="s">
        <v>14</v>
      </c>
      <c r="C231" s="5144" t="s">
        <v>3006</v>
      </c>
      <c r="D231" s="5144" t="s">
        <v>3007</v>
      </c>
      <c r="E231" s="5144" t="s">
        <v>3008</v>
      </c>
      <c r="F231" s="5144" t="s">
        <v>2180</v>
      </c>
      <c r="G231" s="5144" t="s">
        <v>24</v>
      </c>
      <c r="H231" s="5144" t="s">
        <v>24</v>
      </c>
      <c r="I231" s="5144" t="s">
        <v>710</v>
      </c>
    </row>
    <row customHeight="1" ht="11.25">
      <c r="A232" s="5144" t="s">
        <v>2177</v>
      </c>
      <c r="B232" s="5144" t="s">
        <v>14</v>
      </c>
      <c r="C232" s="5144" t="s">
        <v>3009</v>
      </c>
      <c r="D232" s="5144" t="s">
        <v>3010</v>
      </c>
      <c r="E232" s="5144" t="s">
        <v>3011</v>
      </c>
      <c r="F232" s="5144" t="s">
        <v>51</v>
      </c>
      <c r="G232" s="5144" t="s">
        <v>3012</v>
      </c>
      <c r="H232" s="5144" t="s">
        <v>24</v>
      </c>
      <c r="I232" s="5144" t="s">
        <v>710</v>
      </c>
    </row>
    <row customHeight="1" ht="11.25">
      <c r="A233" s="5144" t="s">
        <v>2177</v>
      </c>
      <c r="B233" s="5144" t="s">
        <v>14</v>
      </c>
      <c r="C233" s="5144" t="s">
        <v>3013</v>
      </c>
      <c r="D233" s="5144" t="s">
        <v>3014</v>
      </c>
      <c r="E233" s="5144" t="s">
        <v>3015</v>
      </c>
      <c r="F233" s="5144" t="s">
        <v>2252</v>
      </c>
      <c r="G233" s="5144" t="s">
        <v>3016</v>
      </c>
      <c r="H233" s="5144" t="s">
        <v>24</v>
      </c>
      <c r="I233" s="5144" t="s">
        <v>710</v>
      </c>
    </row>
    <row customHeight="1" ht="11.25">
      <c r="A234" s="5144" t="s">
        <v>2177</v>
      </c>
      <c r="B234" s="5144" t="s">
        <v>14</v>
      </c>
      <c r="C234" s="5144" t="s">
        <v>3017</v>
      </c>
      <c r="D234" s="5144" t="s">
        <v>3018</v>
      </c>
      <c r="E234" s="5144" t="s">
        <v>3019</v>
      </c>
      <c r="F234" s="5144" t="s">
        <v>2467</v>
      </c>
      <c r="G234" s="5144" t="s">
        <v>3020</v>
      </c>
      <c r="H234" s="5144" t="s">
        <v>24</v>
      </c>
      <c r="I234" s="5144" t="s">
        <v>710</v>
      </c>
    </row>
    <row customHeight="1" ht="11.25">
      <c r="A235" s="5144" t="s">
        <v>2177</v>
      </c>
      <c r="B235" s="5144" t="s">
        <v>14</v>
      </c>
      <c r="C235" s="5144" t="s">
        <v>3021</v>
      </c>
      <c r="D235" s="5144" t="s">
        <v>3022</v>
      </c>
      <c r="E235" s="5144" t="s">
        <v>3023</v>
      </c>
      <c r="F235" s="5144" t="s">
        <v>2602</v>
      </c>
      <c r="G235" s="5144" t="s">
        <v>3024</v>
      </c>
      <c r="H235" s="5144" t="s">
        <v>24</v>
      </c>
      <c r="I235" s="5144" t="s">
        <v>710</v>
      </c>
    </row>
    <row customHeight="1" ht="11.25">
      <c r="A236" s="5144" t="s">
        <v>2177</v>
      </c>
      <c r="B236" s="5144" t="s">
        <v>14</v>
      </c>
      <c r="C236" s="5144" t="s">
        <v>3025</v>
      </c>
      <c r="D236" s="5144" t="s">
        <v>3026</v>
      </c>
      <c r="E236" s="5144" t="s">
        <v>3027</v>
      </c>
      <c r="F236" s="5144" t="s">
        <v>2912</v>
      </c>
      <c r="G236" s="5144" t="s">
        <v>3028</v>
      </c>
      <c r="H236" s="5144" t="s">
        <v>24</v>
      </c>
      <c r="I236" s="5144" t="s">
        <v>710</v>
      </c>
    </row>
    <row customHeight="1" ht="11.25">
      <c r="A237" s="5144" t="s">
        <v>2177</v>
      </c>
      <c r="B237" s="5144" t="s">
        <v>14</v>
      </c>
      <c r="C237" s="5144" t="s">
        <v>3029</v>
      </c>
      <c r="D237" s="5144" t="s">
        <v>3030</v>
      </c>
      <c r="E237" s="5144" t="s">
        <v>3031</v>
      </c>
      <c r="F237" s="5144" t="s">
        <v>2673</v>
      </c>
      <c r="G237" s="5144" t="s">
        <v>3032</v>
      </c>
      <c r="H237" s="5144" t="s">
        <v>24</v>
      </c>
      <c r="I237" s="5144" t="s">
        <v>710</v>
      </c>
    </row>
    <row customHeight="1" ht="11.25">
      <c r="A238" s="5144" t="s">
        <v>2177</v>
      </c>
      <c r="B238" s="5144" t="s">
        <v>14</v>
      </c>
      <c r="C238" s="5144" t="s">
        <v>3033</v>
      </c>
      <c r="D238" s="5144" t="s">
        <v>3034</v>
      </c>
      <c r="E238" s="5144" t="s">
        <v>3035</v>
      </c>
      <c r="F238" s="5144" t="s">
        <v>2252</v>
      </c>
      <c r="G238" s="5144" t="s">
        <v>3036</v>
      </c>
      <c r="H238" s="5144" t="s">
        <v>24</v>
      </c>
      <c r="I238" s="5144" t="s">
        <v>710</v>
      </c>
    </row>
    <row customHeight="1" ht="11.25">
      <c r="A239" s="5144" t="s">
        <v>2177</v>
      </c>
      <c r="B239" s="5144" t="s">
        <v>14</v>
      </c>
      <c r="C239" s="5144" t="s">
        <v>3037</v>
      </c>
      <c r="D239" s="5144" t="s">
        <v>3038</v>
      </c>
      <c r="E239" s="5144" t="s">
        <v>3039</v>
      </c>
      <c r="F239" s="5144" t="s">
        <v>2520</v>
      </c>
      <c r="G239" s="5144" t="s">
        <v>3040</v>
      </c>
      <c r="H239" s="5144" t="s">
        <v>24</v>
      </c>
      <c r="I239" s="5144" t="s">
        <v>710</v>
      </c>
    </row>
    <row customHeight="1" ht="11.25">
      <c r="A240" s="5144" t="s">
        <v>2177</v>
      </c>
      <c r="B240" s="5144" t="s">
        <v>14</v>
      </c>
      <c r="C240" s="5144" t="s">
        <v>3041</v>
      </c>
      <c r="D240" s="5144" t="s">
        <v>3042</v>
      </c>
      <c r="E240" s="5144" t="s">
        <v>3043</v>
      </c>
      <c r="F240" s="5144" t="s">
        <v>2505</v>
      </c>
      <c r="G240" s="5144" t="s">
        <v>3044</v>
      </c>
      <c r="H240" s="5144" t="s">
        <v>24</v>
      </c>
      <c r="I240" s="5144" t="s">
        <v>710</v>
      </c>
    </row>
    <row customHeight="1" ht="11.25">
      <c r="A241" s="5144" t="s">
        <v>2177</v>
      </c>
      <c r="B241" s="5144" t="s">
        <v>14</v>
      </c>
      <c r="C241" s="5144" t="s">
        <v>3045</v>
      </c>
      <c r="D241" s="5144" t="s">
        <v>3046</v>
      </c>
      <c r="E241" s="5144" t="s">
        <v>3047</v>
      </c>
      <c r="F241" s="5144" t="s">
        <v>2505</v>
      </c>
      <c r="G241" s="5144" t="s">
        <v>3048</v>
      </c>
      <c r="H241" s="5144" t="s">
        <v>24</v>
      </c>
      <c r="I241" s="5144" t="s">
        <v>710</v>
      </c>
    </row>
    <row customHeight="1" ht="11.25">
      <c r="A242" s="5144" t="s">
        <v>2177</v>
      </c>
      <c r="B242" s="5144" t="s">
        <v>14</v>
      </c>
      <c r="C242" s="5144" t="s">
        <v>3049</v>
      </c>
      <c r="D242" s="5144" t="s">
        <v>3050</v>
      </c>
      <c r="E242" s="5144" t="s">
        <v>3051</v>
      </c>
      <c r="F242" s="5144" t="s">
        <v>51</v>
      </c>
      <c r="G242" s="5144" t="s">
        <v>3052</v>
      </c>
      <c r="H242" s="5144" t="s">
        <v>24</v>
      </c>
      <c r="I242" s="5144" t="s">
        <v>710</v>
      </c>
    </row>
    <row customHeight="1" ht="11.25">
      <c r="A243" s="5144" t="s">
        <v>2177</v>
      </c>
      <c r="B243" s="5144" t="s">
        <v>14</v>
      </c>
      <c r="C243" s="5144" t="s">
        <v>3053</v>
      </c>
      <c r="D243" s="5144" t="s">
        <v>3054</v>
      </c>
      <c r="E243" s="5144" t="s">
        <v>3055</v>
      </c>
      <c r="F243" s="5144" t="s">
        <v>2207</v>
      </c>
      <c r="G243" s="5144" t="s">
        <v>3056</v>
      </c>
      <c r="H243" s="5144" t="s">
        <v>24</v>
      </c>
      <c r="I243" s="5144" t="s">
        <v>710</v>
      </c>
    </row>
    <row customHeight="1" ht="11.25">
      <c r="A244" s="5144" t="s">
        <v>2177</v>
      </c>
      <c r="B244" s="5144" t="s">
        <v>14</v>
      </c>
      <c r="C244" s="5144" t="s">
        <v>3057</v>
      </c>
      <c r="D244" s="5144" t="s">
        <v>3058</v>
      </c>
      <c r="E244" s="5144" t="s">
        <v>3059</v>
      </c>
      <c r="F244" s="5144" t="s">
        <v>2252</v>
      </c>
      <c r="G244" s="5144" t="s">
        <v>3060</v>
      </c>
      <c r="H244" s="5144" t="s">
        <v>24</v>
      </c>
      <c r="I244" s="5144" t="s">
        <v>710</v>
      </c>
    </row>
    <row customHeight="1" ht="11.25">
      <c r="A245" s="5144" t="s">
        <v>2177</v>
      </c>
      <c r="B245" s="5144" t="s">
        <v>14</v>
      </c>
      <c r="C245" s="5144" t="s">
        <v>3061</v>
      </c>
      <c r="D245" s="5144" t="s">
        <v>3062</v>
      </c>
      <c r="E245" s="5144" t="s">
        <v>3063</v>
      </c>
      <c r="F245" s="5144" t="s">
        <v>2277</v>
      </c>
      <c r="G245" s="5144" t="s">
        <v>3064</v>
      </c>
      <c r="H245" s="5144" t="s">
        <v>24</v>
      </c>
      <c r="I245" s="5144" t="s">
        <v>710</v>
      </c>
    </row>
    <row customHeight="1" ht="11.25">
      <c r="A246" s="5144" t="s">
        <v>2177</v>
      </c>
      <c r="B246" s="5144" t="s">
        <v>14</v>
      </c>
      <c r="C246" s="5144" t="s">
        <v>3065</v>
      </c>
      <c r="D246" s="5144" t="s">
        <v>3066</v>
      </c>
      <c r="E246" s="5144" t="s">
        <v>3067</v>
      </c>
      <c r="F246" s="5144" t="s">
        <v>2505</v>
      </c>
      <c r="G246" s="5144" t="s">
        <v>3068</v>
      </c>
      <c r="H246" s="5144" t="s">
        <v>24</v>
      </c>
      <c r="I246" s="5144" t="s">
        <v>710</v>
      </c>
    </row>
    <row customHeight="1" ht="11.25">
      <c r="A247" s="5144" t="s">
        <v>2177</v>
      </c>
      <c r="B247" s="5144" t="s">
        <v>14</v>
      </c>
      <c r="C247" s="5144" t="s">
        <v>3069</v>
      </c>
      <c r="D247" s="5144" t="s">
        <v>3070</v>
      </c>
      <c r="E247" s="5144" t="s">
        <v>3071</v>
      </c>
      <c r="F247" s="5144" t="s">
        <v>2207</v>
      </c>
      <c r="G247" s="5144" t="s">
        <v>3072</v>
      </c>
      <c r="H247" s="5144" t="s">
        <v>24</v>
      </c>
      <c r="I247" s="5144" t="s">
        <v>710</v>
      </c>
    </row>
    <row customHeight="1" ht="11.25">
      <c r="A248" s="5144" t="s">
        <v>2177</v>
      </c>
      <c r="B248" s="5144" t="s">
        <v>14</v>
      </c>
      <c r="C248" s="5144" t="s">
        <v>3073</v>
      </c>
      <c r="D248" s="5144" t="s">
        <v>3074</v>
      </c>
      <c r="E248" s="5144" t="s">
        <v>3075</v>
      </c>
      <c r="F248" s="5144" t="s">
        <v>2207</v>
      </c>
      <c r="G248" s="5144" t="s">
        <v>3076</v>
      </c>
      <c r="H248" s="5144" t="s">
        <v>3077</v>
      </c>
      <c r="I248" s="5144" t="s">
        <v>710</v>
      </c>
    </row>
    <row customHeight="1" ht="11.25">
      <c r="A249" s="5144" t="s">
        <v>2177</v>
      </c>
      <c r="B249" s="5144" t="s">
        <v>14</v>
      </c>
      <c r="C249" s="5144" t="s">
        <v>3078</v>
      </c>
      <c r="D249" s="5144" t="s">
        <v>3074</v>
      </c>
      <c r="E249" s="5144" t="s">
        <v>3079</v>
      </c>
      <c r="F249" s="5144" t="s">
        <v>2467</v>
      </c>
      <c r="G249" s="5144" t="s">
        <v>3080</v>
      </c>
      <c r="H249" s="5144" t="s">
        <v>24</v>
      </c>
      <c r="I249" s="5144" t="s">
        <v>710</v>
      </c>
    </row>
    <row customHeight="1" ht="11.25">
      <c r="A250" s="5144" t="s">
        <v>2177</v>
      </c>
      <c r="B250" s="5144" t="s">
        <v>14</v>
      </c>
      <c r="C250" s="5144" t="s">
        <v>3081</v>
      </c>
      <c r="D250" s="5144" t="s">
        <v>3074</v>
      </c>
      <c r="E250" s="5144" t="s">
        <v>3082</v>
      </c>
      <c r="F250" s="5144" t="s">
        <v>2192</v>
      </c>
      <c r="G250" s="5144" t="s">
        <v>3083</v>
      </c>
      <c r="H250" s="5144" t="s">
        <v>24</v>
      </c>
      <c r="I250" s="5144" t="s">
        <v>710</v>
      </c>
    </row>
    <row customHeight="1" ht="11.25">
      <c r="A251" s="5144" t="s">
        <v>2177</v>
      </c>
      <c r="B251" s="5144" t="s">
        <v>14</v>
      </c>
      <c r="C251" s="5144" t="s">
        <v>3084</v>
      </c>
      <c r="D251" s="5144" t="s">
        <v>3085</v>
      </c>
      <c r="E251" s="5144" t="s">
        <v>3086</v>
      </c>
      <c r="F251" s="5144" t="s">
        <v>2252</v>
      </c>
      <c r="G251" s="5144" t="s">
        <v>3087</v>
      </c>
      <c r="H251" s="5144" t="s">
        <v>24</v>
      </c>
      <c r="I251" s="5144" t="s">
        <v>710</v>
      </c>
    </row>
    <row customHeight="1" ht="11.25">
      <c r="A252" s="5144" t="s">
        <v>2177</v>
      </c>
      <c r="B252" s="5144" t="s">
        <v>14</v>
      </c>
      <c r="C252" s="5144" t="s">
        <v>3088</v>
      </c>
      <c r="D252" s="5144" t="s">
        <v>3089</v>
      </c>
      <c r="E252" s="5144" t="s">
        <v>3090</v>
      </c>
      <c r="F252" s="5144" t="s">
        <v>2520</v>
      </c>
      <c r="G252" s="5144" t="s">
        <v>3091</v>
      </c>
      <c r="H252" s="5144" t="s">
        <v>3092</v>
      </c>
      <c r="I252" s="5144" t="s">
        <v>710</v>
      </c>
    </row>
    <row customHeight="1" ht="11.25">
      <c r="A253" s="5144" t="s">
        <v>2177</v>
      </c>
      <c r="B253" s="5144" t="s">
        <v>14</v>
      </c>
      <c r="C253" s="5144" t="s">
        <v>3093</v>
      </c>
      <c r="D253" s="5144" t="s">
        <v>3094</v>
      </c>
      <c r="E253" s="5144" t="s">
        <v>3095</v>
      </c>
      <c r="F253" s="5144" t="s">
        <v>51</v>
      </c>
      <c r="G253" s="5144" t="s">
        <v>3096</v>
      </c>
      <c r="H253" s="5144" t="s">
        <v>24</v>
      </c>
      <c r="I253" s="5144" t="s">
        <v>710</v>
      </c>
    </row>
    <row customHeight="1" ht="11.25">
      <c r="A254" s="5144" t="s">
        <v>2177</v>
      </c>
      <c r="B254" s="5144" t="s">
        <v>14</v>
      </c>
      <c r="C254" s="5144" t="s">
        <v>3097</v>
      </c>
      <c r="D254" s="5144" t="s">
        <v>3098</v>
      </c>
      <c r="E254" s="5144" t="s">
        <v>3099</v>
      </c>
      <c r="F254" s="5144" t="s">
        <v>51</v>
      </c>
      <c r="G254" s="5144" t="s">
        <v>3100</v>
      </c>
      <c r="H254" s="5144" t="s">
        <v>24</v>
      </c>
      <c r="I254" s="5144" t="s">
        <v>710</v>
      </c>
    </row>
    <row customHeight="1" ht="11.25">
      <c r="A255" s="5144" t="s">
        <v>2177</v>
      </c>
      <c r="B255" s="5144" t="s">
        <v>14</v>
      </c>
      <c r="C255" s="5144" t="s">
        <v>3101</v>
      </c>
      <c r="D255" s="5144" t="s">
        <v>3102</v>
      </c>
      <c r="E255" s="5144" t="s">
        <v>3103</v>
      </c>
      <c r="F255" s="5144" t="s">
        <v>2221</v>
      </c>
      <c r="G255" s="5144" t="s">
        <v>3104</v>
      </c>
      <c r="H255" s="5144" t="s">
        <v>2971</v>
      </c>
      <c r="I255" s="5144" t="s">
        <v>710</v>
      </c>
    </row>
    <row customHeight="1" ht="11.25">
      <c r="A256" s="5144" t="s">
        <v>2177</v>
      </c>
      <c r="B256" s="5144" t="s">
        <v>14</v>
      </c>
      <c r="C256" s="5144" t="s">
        <v>3105</v>
      </c>
      <c r="D256" s="5144" t="s">
        <v>3106</v>
      </c>
      <c r="E256" s="5144" t="s">
        <v>3107</v>
      </c>
      <c r="F256" s="5144" t="s">
        <v>2467</v>
      </c>
      <c r="G256" s="5144" t="s">
        <v>3108</v>
      </c>
      <c r="H256" s="5144" t="s">
        <v>24</v>
      </c>
      <c r="I256" s="5144" t="s">
        <v>710</v>
      </c>
    </row>
    <row customHeight="1" ht="11.25">
      <c r="A257" s="5144" t="s">
        <v>2177</v>
      </c>
      <c r="B257" s="5144" t="s">
        <v>14</v>
      </c>
      <c r="C257" s="5144" t="s">
        <v>3109</v>
      </c>
      <c r="D257" s="5144" t="s">
        <v>3110</v>
      </c>
      <c r="E257" s="5144" t="s">
        <v>3111</v>
      </c>
      <c r="F257" s="5144" t="s">
        <v>51</v>
      </c>
      <c r="G257" s="5144" t="s">
        <v>3112</v>
      </c>
      <c r="H257" s="5144" t="s">
        <v>24</v>
      </c>
      <c r="I257" s="5144" t="s">
        <v>710</v>
      </c>
    </row>
    <row customHeight="1" ht="11.25">
      <c r="A258" s="5144" t="s">
        <v>2177</v>
      </c>
      <c r="B258" s="5144" t="s">
        <v>14</v>
      </c>
      <c r="C258" s="5144" t="s">
        <v>3113</v>
      </c>
      <c r="D258" s="5144" t="s">
        <v>3114</v>
      </c>
      <c r="E258" s="5144" t="s">
        <v>3115</v>
      </c>
      <c r="F258" s="5144" t="s">
        <v>2226</v>
      </c>
      <c r="G258" s="5144" t="s">
        <v>3116</v>
      </c>
      <c r="H258" s="5144" t="s">
        <v>24</v>
      </c>
      <c r="I258" s="5144" t="s">
        <v>710</v>
      </c>
    </row>
    <row customHeight="1" ht="11.25">
      <c r="A259" s="5144" t="s">
        <v>2177</v>
      </c>
      <c r="B259" s="5144" t="s">
        <v>14</v>
      </c>
      <c r="C259" s="5144" t="s">
        <v>3117</v>
      </c>
      <c r="D259" s="5144" t="s">
        <v>3118</v>
      </c>
      <c r="E259" s="5144" t="s">
        <v>3119</v>
      </c>
      <c r="F259" s="5144" t="s">
        <v>51</v>
      </c>
      <c r="G259" s="5144" t="s">
        <v>3120</v>
      </c>
      <c r="H259" s="5144" t="s">
        <v>24</v>
      </c>
      <c r="I259" s="5144" t="s">
        <v>710</v>
      </c>
    </row>
    <row customHeight="1" ht="11.25">
      <c r="A260" s="5144" t="s">
        <v>2177</v>
      </c>
      <c r="B260" s="5144" t="s">
        <v>14</v>
      </c>
      <c r="C260" s="5144" t="s">
        <v>3121</v>
      </c>
      <c r="D260" s="5144" t="s">
        <v>3122</v>
      </c>
      <c r="E260" s="5144" t="s">
        <v>3123</v>
      </c>
      <c r="F260" s="5144" t="s">
        <v>2183</v>
      </c>
      <c r="G260" s="5144" t="s">
        <v>3124</v>
      </c>
      <c r="H260" s="5144" t="s">
        <v>24</v>
      </c>
      <c r="I260" s="5144" t="s">
        <v>710</v>
      </c>
    </row>
    <row customHeight="1" ht="11.25">
      <c r="A261" s="5144" t="s">
        <v>2177</v>
      </c>
      <c r="B261" s="5144" t="s">
        <v>14</v>
      </c>
      <c r="C261" s="5144" t="s">
        <v>3125</v>
      </c>
      <c r="D261" s="5144" t="s">
        <v>3126</v>
      </c>
      <c r="E261" s="5144" t="s">
        <v>3127</v>
      </c>
      <c r="F261" s="5144" t="s">
        <v>2226</v>
      </c>
      <c r="G261" s="5144" t="s">
        <v>3128</v>
      </c>
      <c r="H261" s="5144" t="s">
        <v>24</v>
      </c>
      <c r="I261" s="5144" t="s">
        <v>710</v>
      </c>
    </row>
    <row customHeight="1" ht="11.25">
      <c r="A262" s="5144" t="s">
        <v>2177</v>
      </c>
      <c r="B262" s="5144" t="s">
        <v>14</v>
      </c>
      <c r="C262" s="5144" t="s">
        <v>3129</v>
      </c>
      <c r="D262" s="5144" t="s">
        <v>3130</v>
      </c>
      <c r="E262" s="5144" t="s">
        <v>3131</v>
      </c>
      <c r="F262" s="5144" t="s">
        <v>2673</v>
      </c>
      <c r="G262" s="5144" t="s">
        <v>3132</v>
      </c>
      <c r="H262" s="5144" t="s">
        <v>24</v>
      </c>
      <c r="I262" s="5144" t="s">
        <v>710</v>
      </c>
    </row>
    <row customHeight="1" ht="11.25">
      <c r="A263" s="5144" t="s">
        <v>2177</v>
      </c>
      <c r="B263" s="5144" t="s">
        <v>14</v>
      </c>
      <c r="C263" s="5144" t="s">
        <v>3133</v>
      </c>
      <c r="D263" s="5144" t="s">
        <v>3134</v>
      </c>
      <c r="E263" s="5144" t="s">
        <v>3135</v>
      </c>
      <c r="F263" s="5144" t="s">
        <v>2226</v>
      </c>
      <c r="G263" s="5144" t="s">
        <v>3136</v>
      </c>
      <c r="H263" s="5144" t="s">
        <v>24</v>
      </c>
      <c r="I263" s="5144" t="s">
        <v>710</v>
      </c>
    </row>
    <row customHeight="1" ht="11.25">
      <c r="A264" s="5144" t="s">
        <v>2177</v>
      </c>
      <c r="B264" s="5144" t="s">
        <v>14</v>
      </c>
      <c r="C264" s="5144" t="s">
        <v>3137</v>
      </c>
      <c r="D264" s="5144" t="s">
        <v>3138</v>
      </c>
      <c r="E264" s="5144" t="s">
        <v>3139</v>
      </c>
      <c r="F264" s="5144" t="s">
        <v>2912</v>
      </c>
      <c r="G264" s="5144" t="s">
        <v>3140</v>
      </c>
      <c r="H264" s="5144" t="s">
        <v>24</v>
      </c>
      <c r="I264" s="5144" t="s">
        <v>710</v>
      </c>
    </row>
    <row customHeight="1" ht="11.25">
      <c r="A265" s="5144" t="s">
        <v>2177</v>
      </c>
      <c r="B265" s="5144" t="s">
        <v>14</v>
      </c>
      <c r="C265" s="5144" t="s">
        <v>3141</v>
      </c>
      <c r="D265" s="5144" t="s">
        <v>3142</v>
      </c>
      <c r="E265" s="5144" t="s">
        <v>3143</v>
      </c>
      <c r="F265" s="5144" t="s">
        <v>2192</v>
      </c>
      <c r="G265" s="5144" t="s">
        <v>3144</v>
      </c>
      <c r="H265" s="5144" t="s">
        <v>24</v>
      </c>
      <c r="I265" s="5144" t="s">
        <v>710</v>
      </c>
    </row>
    <row customHeight="1" ht="11.25">
      <c r="A266" s="5144" t="s">
        <v>2177</v>
      </c>
      <c r="B266" s="5144" t="s">
        <v>14</v>
      </c>
      <c r="C266" s="5144" t="s">
        <v>3145</v>
      </c>
      <c r="D266" s="5144" t="s">
        <v>3146</v>
      </c>
      <c r="E266" s="5144" t="s">
        <v>3147</v>
      </c>
      <c r="F266" s="5144" t="s">
        <v>2199</v>
      </c>
      <c r="G266" s="5144" t="s">
        <v>3148</v>
      </c>
      <c r="H266" s="5144" t="s">
        <v>24</v>
      </c>
      <c r="I266" s="5144" t="s">
        <v>710</v>
      </c>
    </row>
    <row customHeight="1" ht="11.25">
      <c r="A267" s="5144" t="s">
        <v>2177</v>
      </c>
      <c r="B267" s="5144" t="s">
        <v>14</v>
      </c>
      <c r="C267" s="5144" t="s">
        <v>3149</v>
      </c>
      <c r="D267" s="5144" t="s">
        <v>3150</v>
      </c>
      <c r="E267" s="5144" t="s">
        <v>3151</v>
      </c>
      <c r="F267" s="5144" t="s">
        <v>2231</v>
      </c>
      <c r="G267" s="5144" t="s">
        <v>3152</v>
      </c>
      <c r="H267" s="5144" t="s">
        <v>24</v>
      </c>
      <c r="I267" s="5144" t="s">
        <v>710</v>
      </c>
    </row>
    <row customHeight="1" ht="11.25">
      <c r="A268" s="5144" t="s">
        <v>2177</v>
      </c>
      <c r="B268" s="5144" t="s">
        <v>14</v>
      </c>
      <c r="C268" s="5144" t="s">
        <v>3153</v>
      </c>
      <c r="D268" s="5144" t="s">
        <v>3154</v>
      </c>
      <c r="E268" s="5144" t="s">
        <v>3155</v>
      </c>
      <c r="F268" s="5144" t="s">
        <v>3156</v>
      </c>
      <c r="G268" s="5144" t="s">
        <v>3157</v>
      </c>
      <c r="H268" s="5144" t="s">
        <v>24</v>
      </c>
      <c r="I268" s="5144" t="s">
        <v>710</v>
      </c>
    </row>
    <row customHeight="1" ht="11.25">
      <c r="A269" s="5144" t="s">
        <v>2177</v>
      </c>
      <c r="B269" s="5144" t="s">
        <v>14</v>
      </c>
      <c r="C269" s="5144" t="s">
        <v>3158</v>
      </c>
      <c r="D269" s="5144" t="s">
        <v>3159</v>
      </c>
      <c r="E269" s="5144" t="s">
        <v>3160</v>
      </c>
      <c r="F269" s="5144" t="s">
        <v>2207</v>
      </c>
      <c r="G269" s="5144" t="s">
        <v>3161</v>
      </c>
      <c r="H269" s="5144" t="s">
        <v>24</v>
      </c>
      <c r="I269" s="5144" t="s">
        <v>710</v>
      </c>
    </row>
    <row customHeight="1" ht="11.25">
      <c r="A270" s="5144" t="s">
        <v>2177</v>
      </c>
      <c r="B270" s="5144" t="s">
        <v>14</v>
      </c>
      <c r="C270" s="5144" t="s">
        <v>3162</v>
      </c>
      <c r="D270" s="5144" t="s">
        <v>3163</v>
      </c>
      <c r="E270" s="5144" t="s">
        <v>3164</v>
      </c>
      <c r="F270" s="5144" t="s">
        <v>2207</v>
      </c>
      <c r="G270" s="5144" t="s">
        <v>24</v>
      </c>
      <c r="H270" s="5144" t="s">
        <v>24</v>
      </c>
      <c r="I270" s="5144" t="s">
        <v>710</v>
      </c>
    </row>
    <row customHeight="1" ht="11.25">
      <c r="A271" s="5144" t="s">
        <v>2177</v>
      </c>
      <c r="B271" s="5144" t="s">
        <v>14</v>
      </c>
      <c r="C271" s="5144" t="s">
        <v>3165</v>
      </c>
      <c r="D271" s="5144" t="s">
        <v>3166</v>
      </c>
      <c r="E271" s="5144" t="s">
        <v>3167</v>
      </c>
      <c r="F271" s="5144" t="s">
        <v>2186</v>
      </c>
      <c r="G271" s="5144" t="s">
        <v>3168</v>
      </c>
      <c r="H271" s="5144" t="s">
        <v>24</v>
      </c>
      <c r="I271" s="5144" t="s">
        <v>710</v>
      </c>
    </row>
    <row customHeight="1" ht="11.25">
      <c r="A272" s="5144" t="s">
        <v>2177</v>
      </c>
      <c r="B272" s="5144" t="s">
        <v>14</v>
      </c>
      <c r="C272" s="5144" t="s">
        <v>3169</v>
      </c>
      <c r="D272" s="5144" t="s">
        <v>3170</v>
      </c>
      <c r="E272" s="5144" t="s">
        <v>3171</v>
      </c>
      <c r="F272" s="5144" t="s">
        <v>51</v>
      </c>
      <c r="G272" s="5144" t="s">
        <v>3148</v>
      </c>
      <c r="H272" s="5144" t="s">
        <v>24</v>
      </c>
      <c r="I272" s="5144" t="s">
        <v>710</v>
      </c>
    </row>
    <row customHeight="1" ht="11.25">
      <c r="A273" s="5144" t="s">
        <v>2177</v>
      </c>
      <c r="B273" s="5144" t="s">
        <v>14</v>
      </c>
      <c r="C273" s="5144" t="s">
        <v>3172</v>
      </c>
      <c r="D273" s="5144" t="s">
        <v>3173</v>
      </c>
      <c r="E273" s="5144" t="s">
        <v>3174</v>
      </c>
      <c r="F273" s="5144" t="s">
        <v>2467</v>
      </c>
      <c r="G273" s="5144" t="s">
        <v>3175</v>
      </c>
      <c r="H273" s="5144" t="s">
        <v>24</v>
      </c>
      <c r="I273" s="5144" t="s">
        <v>710</v>
      </c>
    </row>
    <row customHeight="1" ht="11.25">
      <c r="A274" s="5144" t="s">
        <v>2177</v>
      </c>
      <c r="B274" s="5144" t="s">
        <v>14</v>
      </c>
      <c r="C274" s="5144" t="s">
        <v>3176</v>
      </c>
      <c r="D274" s="5144" t="s">
        <v>3177</v>
      </c>
      <c r="E274" s="5144" t="s">
        <v>3178</v>
      </c>
      <c r="F274" s="5144" t="s">
        <v>2602</v>
      </c>
      <c r="G274" s="5144" t="s">
        <v>24</v>
      </c>
      <c r="H274" s="5144" t="s">
        <v>24</v>
      </c>
      <c r="I274" s="5144" t="s">
        <v>710</v>
      </c>
    </row>
    <row customHeight="1" ht="11.25">
      <c r="A275" s="5144" t="s">
        <v>2177</v>
      </c>
      <c r="B275" s="5144" t="s">
        <v>14</v>
      </c>
      <c r="C275" s="5144" t="s">
        <v>3179</v>
      </c>
      <c r="D275" s="5144" t="s">
        <v>3180</v>
      </c>
      <c r="E275" s="5144" t="s">
        <v>3181</v>
      </c>
      <c r="F275" s="5144" t="s">
        <v>2288</v>
      </c>
      <c r="G275" s="5144" t="s">
        <v>3182</v>
      </c>
      <c r="H275" s="5144" t="s">
        <v>24</v>
      </c>
      <c r="I275" s="5144" t="s">
        <v>710</v>
      </c>
    </row>
    <row customHeight="1" ht="11.25">
      <c r="A276" s="5144" t="s">
        <v>2177</v>
      </c>
      <c r="B276" s="5144" t="s">
        <v>14</v>
      </c>
      <c r="C276" s="5144" t="s">
        <v>3183</v>
      </c>
      <c r="D276" s="5144" t="s">
        <v>3184</v>
      </c>
      <c r="E276" s="5144" t="s">
        <v>3185</v>
      </c>
      <c r="F276" s="5144" t="s">
        <v>2189</v>
      </c>
      <c r="G276" s="5144" t="s">
        <v>3186</v>
      </c>
      <c r="H276" s="5144" t="s">
        <v>24</v>
      </c>
      <c r="I276" s="5144" t="s">
        <v>710</v>
      </c>
    </row>
    <row customHeight="1" ht="11.25">
      <c r="A277" s="5144" t="s">
        <v>2177</v>
      </c>
      <c r="B277" s="5144" t="s">
        <v>14</v>
      </c>
      <c r="C277" s="5144" t="s">
        <v>3187</v>
      </c>
      <c r="D277" s="5144" t="s">
        <v>3184</v>
      </c>
      <c r="E277" s="5144" t="s">
        <v>3188</v>
      </c>
      <c r="F277" s="5144" t="s">
        <v>2183</v>
      </c>
      <c r="G277" s="5144" t="s">
        <v>24</v>
      </c>
      <c r="H277" s="5144" t="s">
        <v>24</v>
      </c>
      <c r="I277" s="5144" t="s">
        <v>710</v>
      </c>
    </row>
    <row customHeight="1" ht="11.25">
      <c r="A278" s="5144" t="s">
        <v>2177</v>
      </c>
      <c r="B278" s="5144" t="s">
        <v>14</v>
      </c>
      <c r="C278" s="5144" t="s">
        <v>3189</v>
      </c>
      <c r="D278" s="5144" t="s">
        <v>3190</v>
      </c>
      <c r="E278" s="5144" t="s">
        <v>3191</v>
      </c>
      <c r="F278" s="5144" t="s">
        <v>2202</v>
      </c>
      <c r="G278" s="5144" t="s">
        <v>3192</v>
      </c>
      <c r="H278" s="5144" t="s">
        <v>24</v>
      </c>
      <c r="I278" s="5144" t="s">
        <v>710</v>
      </c>
    </row>
    <row customHeight="1" ht="11.25">
      <c r="A279" s="5144" t="s">
        <v>2177</v>
      </c>
      <c r="B279" s="5144" t="s">
        <v>14</v>
      </c>
      <c r="C279" s="5144" t="s">
        <v>3193</v>
      </c>
      <c r="D279" s="5144" t="s">
        <v>3194</v>
      </c>
      <c r="E279" s="5144" t="s">
        <v>3195</v>
      </c>
      <c r="F279" s="5144" t="s">
        <v>3196</v>
      </c>
      <c r="G279" s="5144" t="s">
        <v>3197</v>
      </c>
      <c r="H279" s="5144" t="s">
        <v>24</v>
      </c>
      <c r="I279" s="5144" t="s">
        <v>710</v>
      </c>
    </row>
    <row customHeight="1" ht="11.25">
      <c r="A280" s="5144" t="s">
        <v>2177</v>
      </c>
      <c r="B280" s="5144" t="s">
        <v>14</v>
      </c>
      <c r="C280" s="5144" t="s">
        <v>3198</v>
      </c>
      <c r="D280" s="5144" t="s">
        <v>3194</v>
      </c>
      <c r="E280" s="5144" t="s">
        <v>3199</v>
      </c>
      <c r="F280" s="5144" t="s">
        <v>2231</v>
      </c>
      <c r="G280" s="5144" t="s">
        <v>3200</v>
      </c>
      <c r="H280" s="5144" t="s">
        <v>24</v>
      </c>
      <c r="I280" s="5144" t="s">
        <v>710</v>
      </c>
    </row>
    <row customHeight="1" ht="11.25">
      <c r="A281" s="5144" t="s">
        <v>2177</v>
      </c>
      <c r="B281" s="5144" t="s">
        <v>14</v>
      </c>
      <c r="C281" s="5144" t="s">
        <v>3201</v>
      </c>
      <c r="D281" s="5144" t="s">
        <v>3202</v>
      </c>
      <c r="E281" s="5144" t="s">
        <v>3203</v>
      </c>
      <c r="F281" s="5144" t="s">
        <v>2505</v>
      </c>
      <c r="G281" s="5144" t="s">
        <v>24</v>
      </c>
      <c r="H281" s="5144" t="s">
        <v>24</v>
      </c>
      <c r="I281" s="5144" t="s">
        <v>710</v>
      </c>
    </row>
    <row customHeight="1" ht="11.25">
      <c r="A282" s="5144" t="s">
        <v>2177</v>
      </c>
      <c r="B282" s="5144" t="s">
        <v>14</v>
      </c>
      <c r="C282" s="5144" t="s">
        <v>3204</v>
      </c>
      <c r="D282" s="5144" t="s">
        <v>3205</v>
      </c>
      <c r="E282" s="5144" t="s">
        <v>3206</v>
      </c>
      <c r="F282" s="5144" t="s">
        <v>2505</v>
      </c>
      <c r="G282" s="5144" t="s">
        <v>3207</v>
      </c>
      <c r="H282" s="5144" t="s">
        <v>24</v>
      </c>
      <c r="I282" s="5144" t="s">
        <v>710</v>
      </c>
    </row>
    <row customHeight="1" ht="11.25">
      <c r="A283" s="5144" t="s">
        <v>2177</v>
      </c>
      <c r="B283" s="5144" t="s">
        <v>14</v>
      </c>
      <c r="C283" s="5144" t="s">
        <v>3208</v>
      </c>
      <c r="D283" s="5144" t="s">
        <v>3209</v>
      </c>
      <c r="E283" s="5144" t="s">
        <v>3210</v>
      </c>
      <c r="F283" s="5144" t="s">
        <v>2467</v>
      </c>
      <c r="G283" s="5144" t="s">
        <v>3211</v>
      </c>
      <c r="H283" s="5144" t="s">
        <v>24</v>
      </c>
      <c r="I283" s="5144" t="s">
        <v>710</v>
      </c>
    </row>
    <row customHeight="1" ht="11.25">
      <c r="A284" s="5144" t="s">
        <v>2177</v>
      </c>
      <c r="B284" s="5144" t="s">
        <v>14</v>
      </c>
      <c r="C284" s="5144" t="s">
        <v>3212</v>
      </c>
      <c r="D284" s="5144" t="s">
        <v>3213</v>
      </c>
      <c r="E284" s="5144" t="s">
        <v>3214</v>
      </c>
      <c r="F284" s="5144" t="s">
        <v>2183</v>
      </c>
      <c r="G284" s="5144" t="s">
        <v>3215</v>
      </c>
      <c r="H284" s="5144" t="s">
        <v>24</v>
      </c>
      <c r="I284" s="5144" t="s">
        <v>710</v>
      </c>
    </row>
    <row customHeight="1" ht="11.25">
      <c r="A285" s="5144" t="s">
        <v>2177</v>
      </c>
      <c r="B285" s="5144" t="s">
        <v>14</v>
      </c>
      <c r="C285" s="5144" t="s">
        <v>3216</v>
      </c>
      <c r="D285" s="5144" t="s">
        <v>3213</v>
      </c>
      <c r="E285" s="5144" t="s">
        <v>3217</v>
      </c>
      <c r="F285" s="5144" t="s">
        <v>2467</v>
      </c>
      <c r="G285" s="5144" t="s">
        <v>3218</v>
      </c>
      <c r="H285" s="5144" t="s">
        <v>24</v>
      </c>
      <c r="I285" s="5144" t="s">
        <v>710</v>
      </c>
    </row>
    <row customHeight="1" ht="11.25">
      <c r="A286" s="5144" t="s">
        <v>2177</v>
      </c>
      <c r="B286" s="5144" t="s">
        <v>14</v>
      </c>
      <c r="C286" s="5144" t="s">
        <v>3219</v>
      </c>
      <c r="D286" s="5144" t="s">
        <v>3213</v>
      </c>
      <c r="E286" s="5144" t="s">
        <v>3220</v>
      </c>
      <c r="F286" s="5144" t="s">
        <v>2467</v>
      </c>
      <c r="G286" s="5144" t="s">
        <v>3221</v>
      </c>
      <c r="H286" s="5144" t="s">
        <v>24</v>
      </c>
      <c r="I286" s="5144" t="s">
        <v>710</v>
      </c>
    </row>
    <row customHeight="1" ht="11.25">
      <c r="A287" s="5144" t="s">
        <v>2177</v>
      </c>
      <c r="B287" s="5144" t="s">
        <v>14</v>
      </c>
      <c r="C287" s="5144" t="s">
        <v>3222</v>
      </c>
      <c r="D287" s="5144" t="s">
        <v>3213</v>
      </c>
      <c r="E287" s="5144" t="s">
        <v>3223</v>
      </c>
      <c r="F287" s="5144" t="s">
        <v>2202</v>
      </c>
      <c r="G287" s="5144" t="s">
        <v>24</v>
      </c>
      <c r="H287" s="5144" t="s">
        <v>24</v>
      </c>
      <c r="I287" s="5144" t="s">
        <v>710</v>
      </c>
    </row>
    <row customHeight="1" ht="11.25">
      <c r="A288" s="5144" t="s">
        <v>2177</v>
      </c>
      <c r="B288" s="5144" t="s">
        <v>14</v>
      </c>
      <c r="C288" s="5144" t="s">
        <v>3224</v>
      </c>
      <c r="D288" s="5144" t="s">
        <v>3225</v>
      </c>
      <c r="E288" s="5144" t="s">
        <v>3226</v>
      </c>
      <c r="F288" s="5144" t="s">
        <v>2226</v>
      </c>
      <c r="G288" s="5144" t="s">
        <v>2612</v>
      </c>
      <c r="H288" s="5144" t="s">
        <v>24</v>
      </c>
      <c r="I288" s="5144" t="s">
        <v>710</v>
      </c>
    </row>
    <row customHeight="1" ht="11.25">
      <c r="A289" s="5144" t="s">
        <v>2177</v>
      </c>
      <c r="B289" s="5144" t="s">
        <v>14</v>
      </c>
      <c r="C289" s="5144" t="s">
        <v>3227</v>
      </c>
      <c r="D289" s="5144" t="s">
        <v>3225</v>
      </c>
      <c r="E289" s="5144" t="s">
        <v>3228</v>
      </c>
      <c r="F289" s="5144" t="s">
        <v>2226</v>
      </c>
      <c r="G289" s="5144" t="s">
        <v>3229</v>
      </c>
      <c r="H289" s="5144" t="s">
        <v>24</v>
      </c>
      <c r="I289" s="5144" t="s">
        <v>710</v>
      </c>
    </row>
    <row customHeight="1" ht="11.25">
      <c r="A290" s="5144" t="s">
        <v>2177</v>
      </c>
      <c r="B290" s="5144" t="s">
        <v>14</v>
      </c>
      <c r="C290" s="5144" t="s">
        <v>3230</v>
      </c>
      <c r="D290" s="5144" t="s">
        <v>3225</v>
      </c>
      <c r="E290" s="5144" t="s">
        <v>3231</v>
      </c>
      <c r="F290" s="5144" t="s">
        <v>2277</v>
      </c>
      <c r="G290" s="5144" t="s">
        <v>3232</v>
      </c>
      <c r="H290" s="5144" t="s">
        <v>24</v>
      </c>
      <c r="I290" s="5144" t="s">
        <v>710</v>
      </c>
    </row>
    <row customHeight="1" ht="11.25">
      <c r="A291" s="5144" t="s">
        <v>2177</v>
      </c>
      <c r="B291" s="5144" t="s">
        <v>14</v>
      </c>
      <c r="C291" s="5144" t="s">
        <v>3233</v>
      </c>
      <c r="D291" s="5144" t="s">
        <v>3225</v>
      </c>
      <c r="E291" s="5144" t="s">
        <v>3234</v>
      </c>
      <c r="F291" s="5144" t="s">
        <v>2202</v>
      </c>
      <c r="G291" s="5144" t="s">
        <v>3235</v>
      </c>
      <c r="H291" s="5144" t="s">
        <v>24</v>
      </c>
      <c r="I291" s="5144" t="s">
        <v>710</v>
      </c>
    </row>
    <row customHeight="1" ht="11.25">
      <c r="A292" s="5144" t="s">
        <v>2177</v>
      </c>
      <c r="B292" s="5144" t="s">
        <v>14</v>
      </c>
      <c r="C292" s="5144" t="s">
        <v>3236</v>
      </c>
      <c r="D292" s="5144" t="s">
        <v>3237</v>
      </c>
      <c r="E292" s="5144" t="s">
        <v>3238</v>
      </c>
      <c r="F292" s="5144" t="s">
        <v>2231</v>
      </c>
      <c r="G292" s="5144" t="s">
        <v>24</v>
      </c>
      <c r="H292" s="5144" t="s">
        <v>24</v>
      </c>
      <c r="I292" s="5144" t="s">
        <v>710</v>
      </c>
    </row>
    <row customHeight="1" ht="11.25">
      <c r="A293" s="5144" t="s">
        <v>2177</v>
      </c>
      <c r="B293" s="5144" t="s">
        <v>14</v>
      </c>
      <c r="C293" s="5144" t="s">
        <v>3239</v>
      </c>
      <c r="D293" s="5144" t="s">
        <v>3240</v>
      </c>
      <c r="E293" s="5144" t="s">
        <v>3241</v>
      </c>
      <c r="F293" s="5144" t="s">
        <v>2467</v>
      </c>
      <c r="G293" s="5144" t="s">
        <v>3242</v>
      </c>
      <c r="H293" s="5144" t="s">
        <v>24</v>
      </c>
      <c r="I293" s="5144" t="s">
        <v>710</v>
      </c>
    </row>
    <row customHeight="1" ht="11.25">
      <c r="A294" s="5144" t="s">
        <v>2177</v>
      </c>
      <c r="B294" s="5144" t="s">
        <v>14</v>
      </c>
      <c r="C294" s="5144" t="s">
        <v>3243</v>
      </c>
      <c r="D294" s="5144" t="s">
        <v>3244</v>
      </c>
      <c r="E294" s="5144" t="s">
        <v>3245</v>
      </c>
      <c r="F294" s="5144" t="s">
        <v>2505</v>
      </c>
      <c r="G294" s="5144" t="s">
        <v>24</v>
      </c>
      <c r="H294" s="5144" t="s">
        <v>24</v>
      </c>
      <c r="I294" s="5144" t="s">
        <v>710</v>
      </c>
    </row>
    <row customHeight="1" ht="11.25">
      <c r="A295" s="5144" t="s">
        <v>2177</v>
      </c>
      <c r="B295" s="5144" t="s">
        <v>14</v>
      </c>
      <c r="C295" s="5144" t="s">
        <v>3246</v>
      </c>
      <c r="D295" s="5144" t="s">
        <v>3247</v>
      </c>
      <c r="E295" s="5144" t="s">
        <v>3248</v>
      </c>
      <c r="F295" s="5144" t="s">
        <v>2207</v>
      </c>
      <c r="G295" s="5144" t="s">
        <v>3249</v>
      </c>
      <c r="H295" s="5144" t="s">
        <v>3250</v>
      </c>
      <c r="I295" s="5144" t="s">
        <v>710</v>
      </c>
    </row>
    <row customHeight="1" ht="11.25">
      <c r="A296" s="5144" t="s">
        <v>2177</v>
      </c>
      <c r="B296" s="5144" t="s">
        <v>14</v>
      </c>
      <c r="C296" s="5144" t="s">
        <v>3251</v>
      </c>
      <c r="D296" s="5144" t="s">
        <v>3252</v>
      </c>
      <c r="E296" s="5144" t="s">
        <v>3253</v>
      </c>
      <c r="F296" s="5144" t="s">
        <v>2183</v>
      </c>
      <c r="G296" s="5144" t="s">
        <v>3254</v>
      </c>
      <c r="H296" s="5144" t="s">
        <v>24</v>
      </c>
      <c r="I296" s="5144" t="s">
        <v>710</v>
      </c>
    </row>
    <row customHeight="1" ht="11.25">
      <c r="A297" s="5144" t="s">
        <v>2177</v>
      </c>
      <c r="B297" s="5144" t="s">
        <v>14</v>
      </c>
      <c r="C297" s="5144" t="s">
        <v>3255</v>
      </c>
      <c r="D297" s="5144" t="s">
        <v>3256</v>
      </c>
      <c r="E297" s="5144" t="s">
        <v>3257</v>
      </c>
      <c r="F297" s="5144" t="s">
        <v>2810</v>
      </c>
      <c r="G297" s="5144" t="s">
        <v>3258</v>
      </c>
      <c r="H297" s="5144" t="s">
        <v>24</v>
      </c>
      <c r="I297" s="5144" t="s">
        <v>710</v>
      </c>
    </row>
    <row customHeight="1" ht="11.25">
      <c r="A298" s="5144" t="s">
        <v>2177</v>
      </c>
      <c r="B298" s="5144" t="s">
        <v>14</v>
      </c>
      <c r="C298" s="5144" t="s">
        <v>3259</v>
      </c>
      <c r="D298" s="5144" t="s">
        <v>3260</v>
      </c>
      <c r="E298" s="5144" t="s">
        <v>3261</v>
      </c>
      <c r="F298" s="5144" t="s">
        <v>2810</v>
      </c>
      <c r="G298" s="5144" t="s">
        <v>2398</v>
      </c>
      <c r="H298" s="5144" t="s">
        <v>3262</v>
      </c>
      <c r="I298" s="5144" t="s">
        <v>710</v>
      </c>
    </row>
    <row customHeight="1" ht="11.25">
      <c r="A299" s="5144" t="s">
        <v>2177</v>
      </c>
      <c r="B299" s="5144" t="s">
        <v>14</v>
      </c>
      <c r="C299" s="5144" t="s">
        <v>3263</v>
      </c>
      <c r="D299" s="5144" t="s">
        <v>3264</v>
      </c>
      <c r="E299" s="5144" t="s">
        <v>3265</v>
      </c>
      <c r="F299" s="5144" t="s">
        <v>2288</v>
      </c>
      <c r="G299" s="5144" t="s">
        <v>3266</v>
      </c>
      <c r="H299" s="5144" t="s">
        <v>24</v>
      </c>
      <c r="I299" s="5144" t="s">
        <v>710</v>
      </c>
    </row>
    <row customHeight="1" ht="11.25">
      <c r="A300" s="5144" t="s">
        <v>2177</v>
      </c>
      <c r="B300" s="5144" t="s">
        <v>14</v>
      </c>
      <c r="C300" s="5144" t="s">
        <v>3267</v>
      </c>
      <c r="D300" s="5144" t="s">
        <v>3268</v>
      </c>
      <c r="E300" s="5144" t="s">
        <v>3269</v>
      </c>
      <c r="F300" s="5144" t="s">
        <v>2192</v>
      </c>
      <c r="G300" s="5144" t="s">
        <v>24</v>
      </c>
      <c r="H300" s="5144" t="s">
        <v>24</v>
      </c>
      <c r="I300" s="5144" t="s">
        <v>710</v>
      </c>
    </row>
    <row customHeight="1" ht="11.25">
      <c r="A301" s="5144" t="s">
        <v>2177</v>
      </c>
      <c r="B301" s="5144" t="s">
        <v>14</v>
      </c>
      <c r="C301" s="5144" t="s">
        <v>3270</v>
      </c>
      <c r="D301" s="5144" t="s">
        <v>3271</v>
      </c>
      <c r="E301" s="5144" t="s">
        <v>3272</v>
      </c>
      <c r="F301" s="5144" t="s">
        <v>2226</v>
      </c>
      <c r="G301" s="5144" t="s">
        <v>3273</v>
      </c>
      <c r="H301" s="5144" t="s">
        <v>24</v>
      </c>
      <c r="I301" s="5144" t="s">
        <v>710</v>
      </c>
    </row>
    <row customHeight="1" ht="11.25">
      <c r="A302" s="5144" t="s">
        <v>2177</v>
      </c>
      <c r="B302" s="5144" t="s">
        <v>14</v>
      </c>
      <c r="C302" s="5144" t="s">
        <v>3274</v>
      </c>
      <c r="D302" s="5144" t="s">
        <v>3275</v>
      </c>
      <c r="E302" s="5144" t="s">
        <v>3276</v>
      </c>
      <c r="F302" s="5144" t="s">
        <v>2505</v>
      </c>
      <c r="G302" s="5144" t="s">
        <v>3277</v>
      </c>
      <c r="H302" s="5144" t="s">
        <v>24</v>
      </c>
      <c r="I302" s="5144" t="s">
        <v>710</v>
      </c>
    </row>
    <row customHeight="1" ht="11.25">
      <c r="A303" s="5144" t="s">
        <v>2177</v>
      </c>
      <c r="B303" s="5144" t="s">
        <v>14</v>
      </c>
      <c r="C303" s="5144" t="s">
        <v>3278</v>
      </c>
      <c r="D303" s="5144" t="s">
        <v>3279</v>
      </c>
      <c r="E303" s="5144" t="s">
        <v>3280</v>
      </c>
      <c r="F303" s="5144" t="s">
        <v>2226</v>
      </c>
      <c r="G303" s="5144" t="s">
        <v>3281</v>
      </c>
      <c r="H303" s="5144" t="s">
        <v>24</v>
      </c>
      <c r="I303" s="5144" t="s">
        <v>710</v>
      </c>
    </row>
    <row customHeight="1" ht="11.25">
      <c r="A304" s="5144" t="s">
        <v>2177</v>
      </c>
      <c r="B304" s="5144" t="s">
        <v>14</v>
      </c>
      <c r="C304" s="5144" t="s">
        <v>3282</v>
      </c>
      <c r="D304" s="5144" t="s">
        <v>3283</v>
      </c>
      <c r="E304" s="5144" t="s">
        <v>3284</v>
      </c>
      <c r="F304" s="5144" t="s">
        <v>2231</v>
      </c>
      <c r="G304" s="5144" t="s">
        <v>3285</v>
      </c>
      <c r="H304" s="5144" t="s">
        <v>24</v>
      </c>
      <c r="I304" s="5144" t="s">
        <v>710</v>
      </c>
    </row>
    <row customHeight="1" ht="11.25">
      <c r="A305" s="5144" t="s">
        <v>2177</v>
      </c>
      <c r="B305" s="5144" t="s">
        <v>14</v>
      </c>
      <c r="C305" s="5144" t="s">
        <v>3286</v>
      </c>
      <c r="D305" s="5144" t="s">
        <v>3287</v>
      </c>
      <c r="E305" s="5144" t="s">
        <v>3288</v>
      </c>
      <c r="F305" s="5144" t="s">
        <v>2202</v>
      </c>
      <c r="G305" s="5144" t="s">
        <v>3289</v>
      </c>
      <c r="H305" s="5144" t="s">
        <v>24</v>
      </c>
      <c r="I305" s="5144" t="s">
        <v>710</v>
      </c>
    </row>
    <row customHeight="1" ht="11.25">
      <c r="A306" s="5144" t="s">
        <v>2177</v>
      </c>
      <c r="B306" s="5144" t="s">
        <v>14</v>
      </c>
      <c r="C306" s="5144" t="s">
        <v>3290</v>
      </c>
      <c r="D306" s="5144" t="s">
        <v>3291</v>
      </c>
      <c r="E306" s="5144" t="s">
        <v>3292</v>
      </c>
      <c r="F306" s="5144" t="s">
        <v>3293</v>
      </c>
      <c r="G306" s="5144" t="s">
        <v>3294</v>
      </c>
      <c r="H306" s="5144" t="s">
        <v>24</v>
      </c>
      <c r="I306" s="5144" t="s">
        <v>710</v>
      </c>
    </row>
    <row customHeight="1" ht="11.25">
      <c r="A307" s="5144" t="s">
        <v>2177</v>
      </c>
      <c r="B307" s="5144" t="s">
        <v>14</v>
      </c>
      <c r="C307" s="5144" t="s">
        <v>3295</v>
      </c>
      <c r="D307" s="5144" t="s">
        <v>3296</v>
      </c>
      <c r="E307" s="5144" t="s">
        <v>3297</v>
      </c>
      <c r="F307" s="5144" t="s">
        <v>2505</v>
      </c>
      <c r="G307" s="5144" t="s">
        <v>3298</v>
      </c>
      <c r="H307" s="5144" t="s">
        <v>24</v>
      </c>
      <c r="I307" s="5144" t="s">
        <v>710</v>
      </c>
    </row>
    <row customHeight="1" ht="11.25">
      <c r="A308" s="5144" t="s">
        <v>2177</v>
      </c>
      <c r="B308" s="5144" t="s">
        <v>14</v>
      </c>
      <c r="C308" s="5144" t="s">
        <v>3299</v>
      </c>
      <c r="D308" s="5144" t="s">
        <v>3300</v>
      </c>
      <c r="E308" s="5144" t="s">
        <v>3301</v>
      </c>
      <c r="F308" s="5144" t="s">
        <v>2231</v>
      </c>
      <c r="G308" s="5144" t="s">
        <v>3302</v>
      </c>
      <c r="H308" s="5144" t="s">
        <v>24</v>
      </c>
      <c r="I308" s="5144" t="s">
        <v>710</v>
      </c>
    </row>
    <row customHeight="1" ht="11.25">
      <c r="A309" s="5144" t="s">
        <v>2177</v>
      </c>
      <c r="B309" s="5144" t="s">
        <v>14</v>
      </c>
      <c r="C309" s="5144" t="s">
        <v>3303</v>
      </c>
      <c r="D309" s="5144" t="s">
        <v>3304</v>
      </c>
      <c r="E309" s="5144" t="s">
        <v>3305</v>
      </c>
      <c r="F309" s="5144" t="s">
        <v>2231</v>
      </c>
      <c r="G309" s="5144" t="s">
        <v>3306</v>
      </c>
      <c r="H309" s="5144" t="s">
        <v>24</v>
      </c>
      <c r="I309" s="5144" t="s">
        <v>710</v>
      </c>
    </row>
    <row customHeight="1" ht="11.25">
      <c r="A310" s="5144" t="s">
        <v>2177</v>
      </c>
      <c r="B310" s="5144" t="s">
        <v>14</v>
      </c>
      <c r="C310" s="5144" t="s">
        <v>3307</v>
      </c>
      <c r="D310" s="5144" t="s">
        <v>3308</v>
      </c>
      <c r="E310" s="5144" t="s">
        <v>3309</v>
      </c>
      <c r="F310" s="5144" t="s">
        <v>2252</v>
      </c>
      <c r="G310" s="5144" t="s">
        <v>3310</v>
      </c>
      <c r="H310" s="5144" t="s">
        <v>24</v>
      </c>
      <c r="I310" s="5144" t="s">
        <v>710</v>
      </c>
    </row>
    <row customHeight="1" ht="11.25">
      <c r="A311" s="5144" t="s">
        <v>2177</v>
      </c>
      <c r="B311" s="5144" t="s">
        <v>14</v>
      </c>
      <c r="C311" s="5144" t="s">
        <v>3311</v>
      </c>
      <c r="D311" s="5144" t="s">
        <v>3312</v>
      </c>
      <c r="E311" s="5144" t="s">
        <v>3313</v>
      </c>
      <c r="F311" s="5144" t="s">
        <v>2207</v>
      </c>
      <c r="G311" s="5144" t="s">
        <v>3314</v>
      </c>
      <c r="H311" s="5144" t="s">
        <v>24</v>
      </c>
      <c r="I311" s="5144" t="s">
        <v>710</v>
      </c>
    </row>
    <row customHeight="1" ht="11.25">
      <c r="A312" s="5144" t="s">
        <v>2177</v>
      </c>
      <c r="B312" s="5144" t="s">
        <v>14</v>
      </c>
      <c r="C312" s="5144" t="s">
        <v>3315</v>
      </c>
      <c r="D312" s="5144" t="s">
        <v>3316</v>
      </c>
      <c r="E312" s="5144" t="s">
        <v>3317</v>
      </c>
      <c r="F312" s="5144" t="s">
        <v>2912</v>
      </c>
      <c r="G312" s="5144" t="s">
        <v>3318</v>
      </c>
      <c r="H312" s="5144" t="s">
        <v>24</v>
      </c>
      <c r="I312" s="5144" t="s">
        <v>710</v>
      </c>
    </row>
    <row customHeight="1" ht="11.25">
      <c r="A313" s="5144" t="s">
        <v>2177</v>
      </c>
      <c r="B313" s="5144" t="s">
        <v>14</v>
      </c>
      <c r="C313" s="5144" t="s">
        <v>3319</v>
      </c>
      <c r="D313" s="5144" t="s">
        <v>3320</v>
      </c>
      <c r="E313" s="5144" t="s">
        <v>3321</v>
      </c>
      <c r="F313" s="5144" t="s">
        <v>2467</v>
      </c>
      <c r="G313" s="5144" t="s">
        <v>3322</v>
      </c>
      <c r="H313" s="5144" t="s">
        <v>24</v>
      </c>
      <c r="I313" s="5144" t="s">
        <v>710</v>
      </c>
    </row>
    <row customHeight="1" ht="11.25">
      <c r="A314" s="5144" t="s">
        <v>2177</v>
      </c>
      <c r="B314" s="5144" t="s">
        <v>14</v>
      </c>
      <c r="C314" s="5144" t="s">
        <v>3323</v>
      </c>
      <c r="D314" s="5144" t="s">
        <v>3320</v>
      </c>
      <c r="E314" s="5144" t="s">
        <v>3324</v>
      </c>
      <c r="F314" s="5144" t="s">
        <v>2231</v>
      </c>
      <c r="G314" s="5144" t="s">
        <v>3325</v>
      </c>
      <c r="H314" s="5144" t="s">
        <v>24</v>
      </c>
      <c r="I314" s="5144" t="s">
        <v>710</v>
      </c>
    </row>
    <row customHeight="1" ht="11.25">
      <c r="A315" s="5144" t="s">
        <v>2177</v>
      </c>
      <c r="B315" s="5144" t="s">
        <v>14</v>
      </c>
      <c r="C315" s="5144" t="s">
        <v>3326</v>
      </c>
      <c r="D315" s="5144" t="s">
        <v>3327</v>
      </c>
      <c r="E315" s="5144" t="s">
        <v>3328</v>
      </c>
      <c r="F315" s="5144" t="s">
        <v>2288</v>
      </c>
      <c r="G315" s="5144" t="s">
        <v>3329</v>
      </c>
      <c r="H315" s="5144" t="s">
        <v>24</v>
      </c>
      <c r="I315" s="5144" t="s">
        <v>710</v>
      </c>
    </row>
    <row customHeight="1" ht="11.25">
      <c r="A316" s="5144" t="s">
        <v>2177</v>
      </c>
      <c r="B316" s="5144" t="s">
        <v>14</v>
      </c>
      <c r="C316" s="5144" t="s">
        <v>3330</v>
      </c>
      <c r="D316" s="5144" t="s">
        <v>3331</v>
      </c>
      <c r="E316" s="5144" t="s">
        <v>3332</v>
      </c>
      <c r="F316" s="5144" t="s">
        <v>2467</v>
      </c>
      <c r="G316" s="5144" t="s">
        <v>3333</v>
      </c>
      <c r="H316" s="5144" t="s">
        <v>24</v>
      </c>
      <c r="I316" s="5144" t="s">
        <v>710</v>
      </c>
    </row>
    <row customHeight="1" ht="11.25">
      <c r="A317" s="5144" t="s">
        <v>2177</v>
      </c>
      <c r="B317" s="5144" t="s">
        <v>14</v>
      </c>
      <c r="C317" s="5144" t="s">
        <v>3334</v>
      </c>
      <c r="D317" s="5144" t="s">
        <v>3335</v>
      </c>
      <c r="E317" s="5144" t="s">
        <v>3336</v>
      </c>
      <c r="F317" s="5144" t="s">
        <v>2192</v>
      </c>
      <c r="G317" s="5144" t="s">
        <v>3337</v>
      </c>
      <c r="H317" s="5144" t="s">
        <v>24</v>
      </c>
      <c r="I317" s="5144" t="s">
        <v>710</v>
      </c>
    </row>
    <row customHeight="1" ht="11.25">
      <c r="A318" s="5144" t="s">
        <v>2177</v>
      </c>
      <c r="B318" s="5144" t="s">
        <v>14</v>
      </c>
      <c r="C318" s="5144" t="s">
        <v>3338</v>
      </c>
      <c r="D318" s="5144" t="s">
        <v>3339</v>
      </c>
      <c r="E318" s="5144" t="s">
        <v>3340</v>
      </c>
      <c r="F318" s="5144" t="s">
        <v>2180</v>
      </c>
      <c r="G318" s="5144" t="s">
        <v>24</v>
      </c>
      <c r="H318" s="5144" t="s">
        <v>24</v>
      </c>
      <c r="I318" s="5144" t="s">
        <v>710</v>
      </c>
    </row>
    <row customHeight="1" ht="11.25">
      <c r="A319" s="5144" t="s">
        <v>2177</v>
      </c>
      <c r="B319" s="5144" t="s">
        <v>14</v>
      </c>
      <c r="C319" s="5144" t="s">
        <v>3341</v>
      </c>
      <c r="D319" s="5144" t="s">
        <v>3342</v>
      </c>
      <c r="E319" s="5144" t="s">
        <v>3343</v>
      </c>
      <c r="F319" s="5144" t="s">
        <v>2520</v>
      </c>
      <c r="G319" s="5144" t="s">
        <v>3344</v>
      </c>
      <c r="H319" s="5144" t="s">
        <v>24</v>
      </c>
      <c r="I319" s="5144" t="s">
        <v>710</v>
      </c>
    </row>
    <row customHeight="1" ht="11.25">
      <c r="A320" s="5144" t="s">
        <v>2177</v>
      </c>
      <c r="B320" s="5144" t="s">
        <v>14</v>
      </c>
      <c r="C320" s="5144" t="s">
        <v>3345</v>
      </c>
      <c r="D320" s="5144" t="s">
        <v>3346</v>
      </c>
      <c r="E320" s="5144" t="s">
        <v>3347</v>
      </c>
      <c r="F320" s="5144" t="s">
        <v>2202</v>
      </c>
      <c r="G320" s="5144" t="s">
        <v>3348</v>
      </c>
      <c r="H320" s="5144" t="s">
        <v>24</v>
      </c>
      <c r="I320" s="5144" t="s">
        <v>710</v>
      </c>
    </row>
    <row customHeight="1" ht="11.25">
      <c r="A321" s="5144" t="s">
        <v>2177</v>
      </c>
      <c r="B321" s="5144" t="s">
        <v>14</v>
      </c>
      <c r="C321" s="5144" t="s">
        <v>3349</v>
      </c>
      <c r="D321" s="5144" t="s">
        <v>3350</v>
      </c>
      <c r="E321" s="5144" t="s">
        <v>3351</v>
      </c>
      <c r="F321" s="5144" t="s">
        <v>2183</v>
      </c>
      <c r="G321" s="5144" t="s">
        <v>3352</v>
      </c>
      <c r="H321" s="5144" t="s">
        <v>24</v>
      </c>
      <c r="I321" s="5144" t="s">
        <v>710</v>
      </c>
    </row>
    <row customHeight="1" ht="11.25">
      <c r="A322" s="5144" t="s">
        <v>2177</v>
      </c>
      <c r="B322" s="5144" t="s">
        <v>14</v>
      </c>
      <c r="C322" s="5144" t="s">
        <v>3353</v>
      </c>
      <c r="D322" s="5144" t="s">
        <v>3354</v>
      </c>
      <c r="E322" s="5144" t="s">
        <v>3355</v>
      </c>
      <c r="F322" s="5144" t="s">
        <v>2277</v>
      </c>
      <c r="G322" s="5144" t="s">
        <v>3356</v>
      </c>
      <c r="H322" s="5144" t="s">
        <v>24</v>
      </c>
      <c r="I322" s="5144" t="s">
        <v>710</v>
      </c>
    </row>
    <row customHeight="1" ht="11.25">
      <c r="A323" s="5144" t="s">
        <v>2177</v>
      </c>
      <c r="B323" s="5144" t="s">
        <v>14</v>
      </c>
      <c r="C323" s="5144" t="s">
        <v>3357</v>
      </c>
      <c r="D323" s="5144" t="s">
        <v>3358</v>
      </c>
      <c r="E323" s="5144" t="s">
        <v>3359</v>
      </c>
      <c r="F323" s="5144" t="s">
        <v>2202</v>
      </c>
      <c r="G323" s="5144" t="s">
        <v>3360</v>
      </c>
      <c r="H323" s="5144" t="s">
        <v>24</v>
      </c>
      <c r="I323" s="5144" t="s">
        <v>710</v>
      </c>
    </row>
    <row customHeight="1" ht="11.25">
      <c r="A324" s="5144" t="s">
        <v>2177</v>
      </c>
      <c r="B324" s="5144" t="s">
        <v>14</v>
      </c>
      <c r="C324" s="5144" t="s">
        <v>3361</v>
      </c>
      <c r="D324" s="5144" t="s">
        <v>3362</v>
      </c>
      <c r="E324" s="5144" t="s">
        <v>3363</v>
      </c>
      <c r="F324" s="5144" t="s">
        <v>3364</v>
      </c>
      <c r="G324" s="5144" t="s">
        <v>24</v>
      </c>
      <c r="H324" s="5144" t="s">
        <v>24</v>
      </c>
      <c r="I324" s="5144" t="s">
        <v>710</v>
      </c>
    </row>
    <row customHeight="1" ht="11.25">
      <c r="A325" s="5144" t="s">
        <v>2177</v>
      </c>
      <c r="B325" s="5144" t="s">
        <v>14</v>
      </c>
      <c r="C325" s="5144" t="s">
        <v>3365</v>
      </c>
      <c r="D325" s="5144" t="s">
        <v>3366</v>
      </c>
      <c r="E325" s="5144" t="s">
        <v>3367</v>
      </c>
      <c r="F325" s="5144" t="s">
        <v>2189</v>
      </c>
      <c r="G325" s="5144" t="s">
        <v>3368</v>
      </c>
      <c r="H325" s="5144" t="s">
        <v>24</v>
      </c>
      <c r="I325" s="5144" t="s">
        <v>710</v>
      </c>
    </row>
    <row customHeight="1" ht="11.25">
      <c r="A326" s="5144" t="s">
        <v>2177</v>
      </c>
      <c r="B326" s="5144" t="s">
        <v>14</v>
      </c>
      <c r="C326" s="5144" t="s">
        <v>3369</v>
      </c>
      <c r="D326" s="5144" t="s">
        <v>3370</v>
      </c>
      <c r="E326" s="5144" t="s">
        <v>3371</v>
      </c>
      <c r="F326" s="5144" t="s">
        <v>51</v>
      </c>
      <c r="G326" s="5144" t="s">
        <v>3372</v>
      </c>
      <c r="H326" s="5144" t="s">
        <v>24</v>
      </c>
      <c r="I326" s="5144" t="s">
        <v>710</v>
      </c>
    </row>
    <row customHeight="1" ht="11.25">
      <c r="A327" s="5144" t="s">
        <v>2177</v>
      </c>
      <c r="B327" s="5144" t="s">
        <v>14</v>
      </c>
      <c r="C327" s="5144" t="s">
        <v>3373</v>
      </c>
      <c r="D327" s="5144" t="s">
        <v>3374</v>
      </c>
      <c r="E327" s="5144" t="s">
        <v>3375</v>
      </c>
      <c r="F327" s="5144" t="s">
        <v>2231</v>
      </c>
      <c r="G327" s="5144" t="s">
        <v>3376</v>
      </c>
      <c r="H327" s="5144" t="s">
        <v>3377</v>
      </c>
      <c r="I327" s="5144" t="s">
        <v>710</v>
      </c>
    </row>
    <row customHeight="1" ht="11.25">
      <c r="A328" s="5144" t="s">
        <v>2177</v>
      </c>
      <c r="B328" s="5144" t="s">
        <v>14</v>
      </c>
      <c r="C328" s="5144" t="s">
        <v>3378</v>
      </c>
      <c r="D328" s="5144" t="s">
        <v>3379</v>
      </c>
      <c r="E328" s="5144" t="s">
        <v>3380</v>
      </c>
      <c r="F328" s="5144" t="s">
        <v>2505</v>
      </c>
      <c r="G328" s="5144" t="s">
        <v>3381</v>
      </c>
      <c r="H328" s="5144" t="s">
        <v>3382</v>
      </c>
      <c r="I328" s="5144" t="s">
        <v>710</v>
      </c>
    </row>
    <row customHeight="1" ht="11.25">
      <c r="A329" s="5144" t="s">
        <v>2177</v>
      </c>
      <c r="B329" s="5144" t="s">
        <v>14</v>
      </c>
      <c r="C329" s="5144" t="s">
        <v>3383</v>
      </c>
      <c r="D329" s="5144" t="s">
        <v>3384</v>
      </c>
      <c r="E329" s="5144" t="s">
        <v>3385</v>
      </c>
      <c r="F329" s="5144" t="s">
        <v>2192</v>
      </c>
      <c r="G329" s="5144" t="s">
        <v>3386</v>
      </c>
      <c r="H329" s="5144" t="s">
        <v>24</v>
      </c>
      <c r="I329" s="5144" t="s">
        <v>710</v>
      </c>
    </row>
    <row customHeight="1" ht="11.25">
      <c r="A330" s="5144" t="s">
        <v>2177</v>
      </c>
      <c r="B330" s="5144" t="s">
        <v>14</v>
      </c>
      <c r="C330" s="5144" t="s">
        <v>3387</v>
      </c>
      <c r="D330" s="5144" t="s">
        <v>3388</v>
      </c>
      <c r="E330" s="5144" t="s">
        <v>3389</v>
      </c>
      <c r="F330" s="5144" t="s">
        <v>2189</v>
      </c>
      <c r="G330" s="5144" t="s">
        <v>3390</v>
      </c>
      <c r="H330" s="5144" t="s">
        <v>24</v>
      </c>
      <c r="I330" s="5144" t="s">
        <v>710</v>
      </c>
    </row>
    <row customHeight="1" ht="11.25">
      <c r="A331" s="5144" t="s">
        <v>2177</v>
      </c>
      <c r="B331" s="5144" t="s">
        <v>14</v>
      </c>
      <c r="C331" s="5144" t="s">
        <v>3391</v>
      </c>
      <c r="D331" s="5144" t="s">
        <v>3392</v>
      </c>
      <c r="E331" s="5144" t="s">
        <v>3393</v>
      </c>
      <c r="F331" s="5144" t="s">
        <v>2912</v>
      </c>
      <c r="G331" s="5144" t="s">
        <v>3394</v>
      </c>
      <c r="H331" s="5144" t="s">
        <v>24</v>
      </c>
      <c r="I331" s="5144" t="s">
        <v>710</v>
      </c>
    </row>
    <row customHeight="1" ht="11.25">
      <c r="A332" s="5144" t="s">
        <v>2177</v>
      </c>
      <c r="B332" s="5144" t="s">
        <v>14</v>
      </c>
      <c r="C332" s="5144" t="s">
        <v>3395</v>
      </c>
      <c r="D332" s="5144" t="s">
        <v>3396</v>
      </c>
      <c r="E332" s="5144" t="s">
        <v>3397</v>
      </c>
      <c r="F332" s="5144" t="s">
        <v>2673</v>
      </c>
      <c r="G332" s="5144" t="s">
        <v>3398</v>
      </c>
      <c r="H332" s="5144" t="s">
        <v>24</v>
      </c>
      <c r="I332" s="5144" t="s">
        <v>710</v>
      </c>
    </row>
    <row customHeight="1" ht="11.25">
      <c r="A333" s="5144" t="s">
        <v>2177</v>
      </c>
      <c r="B333" s="5144" t="s">
        <v>14</v>
      </c>
      <c r="C333" s="5144" t="s">
        <v>3399</v>
      </c>
      <c r="D333" s="5144" t="s">
        <v>3400</v>
      </c>
      <c r="E333" s="5144" t="s">
        <v>3401</v>
      </c>
      <c r="F333" s="5144" t="s">
        <v>2231</v>
      </c>
      <c r="G333" s="5144" t="s">
        <v>3402</v>
      </c>
      <c r="H333" s="5144" t="s">
        <v>24</v>
      </c>
      <c r="I333" s="5144" t="s">
        <v>710</v>
      </c>
    </row>
    <row customHeight="1" ht="11.25">
      <c r="A334" s="5144" t="s">
        <v>2177</v>
      </c>
      <c r="B334" s="5144" t="s">
        <v>14</v>
      </c>
      <c r="C334" s="5144" t="s">
        <v>3403</v>
      </c>
      <c r="D334" s="5144" t="s">
        <v>3404</v>
      </c>
      <c r="E334" s="5144" t="s">
        <v>3405</v>
      </c>
      <c r="F334" s="5144" t="s">
        <v>2202</v>
      </c>
      <c r="G334" s="5144" t="s">
        <v>3406</v>
      </c>
      <c r="H334" s="5144" t="s">
        <v>24</v>
      </c>
      <c r="I334" s="5144" t="s">
        <v>710</v>
      </c>
    </row>
    <row customHeight="1" ht="11.25">
      <c r="A335" s="5144" t="s">
        <v>2177</v>
      </c>
      <c r="B335" s="5144" t="s">
        <v>14</v>
      </c>
      <c r="C335" s="5144" t="s">
        <v>3407</v>
      </c>
      <c r="D335" s="5144" t="s">
        <v>3408</v>
      </c>
      <c r="E335" s="5144" t="s">
        <v>3409</v>
      </c>
      <c r="F335" s="5144" t="s">
        <v>51</v>
      </c>
      <c r="G335" s="5144" t="s">
        <v>2776</v>
      </c>
      <c r="H335" s="5144" t="s">
        <v>24</v>
      </c>
      <c r="I335" s="5144" t="s">
        <v>710</v>
      </c>
    </row>
    <row customHeight="1" ht="11.25">
      <c r="A336" s="5144" t="s">
        <v>2177</v>
      </c>
      <c r="B336" s="5144" t="s">
        <v>14</v>
      </c>
      <c r="C336" s="5144" t="s">
        <v>3410</v>
      </c>
      <c r="D336" s="5144" t="s">
        <v>3411</v>
      </c>
      <c r="E336" s="5144" t="s">
        <v>3412</v>
      </c>
      <c r="F336" s="5144" t="s">
        <v>2202</v>
      </c>
      <c r="G336" s="5144" t="s">
        <v>24</v>
      </c>
      <c r="H336" s="5144" t="s">
        <v>24</v>
      </c>
      <c r="I336" s="5144" t="s">
        <v>710</v>
      </c>
    </row>
    <row customHeight="1" ht="11.25">
      <c r="A337" s="5144" t="s">
        <v>2177</v>
      </c>
      <c r="B337" s="5144" t="s">
        <v>14</v>
      </c>
      <c r="C337" s="5144" t="s">
        <v>3413</v>
      </c>
      <c r="D337" s="5144" t="s">
        <v>3414</v>
      </c>
      <c r="E337" s="5144" t="s">
        <v>3000</v>
      </c>
      <c r="F337" s="5144" t="s">
        <v>2673</v>
      </c>
      <c r="G337" s="5144" t="s">
        <v>24</v>
      </c>
      <c r="H337" s="5144" t="s">
        <v>3001</v>
      </c>
      <c r="I337" s="5144" t="s">
        <v>710</v>
      </c>
    </row>
    <row customHeight="1" ht="11.25">
      <c r="A338" s="5144" t="s">
        <v>2177</v>
      </c>
      <c r="B338" s="5144" t="s">
        <v>14</v>
      </c>
      <c r="C338" s="5144" t="s">
        <v>3415</v>
      </c>
      <c r="D338" s="5144" t="s">
        <v>3416</v>
      </c>
      <c r="E338" s="5144" t="s">
        <v>3417</v>
      </c>
      <c r="F338" s="5144" t="s">
        <v>2912</v>
      </c>
      <c r="G338" s="5144" t="s">
        <v>24</v>
      </c>
      <c r="H338" s="5144" t="s">
        <v>24</v>
      </c>
      <c r="I338" s="5144" t="s">
        <v>710</v>
      </c>
    </row>
    <row customHeight="1" ht="11.25">
      <c r="A339" s="5144" t="s">
        <v>2177</v>
      </c>
      <c r="B339" s="5144" t="s">
        <v>14</v>
      </c>
      <c r="C339" s="5144" t="s">
        <v>3418</v>
      </c>
      <c r="D339" s="5144" t="s">
        <v>3419</v>
      </c>
      <c r="E339" s="5144" t="s">
        <v>3420</v>
      </c>
      <c r="F339" s="5144" t="s">
        <v>2520</v>
      </c>
      <c r="G339" s="5144" t="s">
        <v>3421</v>
      </c>
      <c r="H339" s="5144" t="s">
        <v>24</v>
      </c>
      <c r="I339" s="5144" t="s">
        <v>710</v>
      </c>
    </row>
    <row customHeight="1" ht="11.25">
      <c r="A340" s="5144" t="s">
        <v>2177</v>
      </c>
      <c r="B340" s="5144" t="s">
        <v>14</v>
      </c>
      <c r="C340" s="5144" t="s">
        <v>3422</v>
      </c>
      <c r="D340" s="5144" t="s">
        <v>3423</v>
      </c>
      <c r="E340" s="5144" t="s">
        <v>3424</v>
      </c>
      <c r="F340" s="5144" t="s">
        <v>3425</v>
      </c>
      <c r="G340" s="5144" t="s">
        <v>24</v>
      </c>
      <c r="H340" s="5144" t="s">
        <v>24</v>
      </c>
      <c r="I340" s="5144" t="s">
        <v>710</v>
      </c>
    </row>
    <row customHeight="1" ht="11.25">
      <c r="A341" s="5144" t="s">
        <v>2177</v>
      </c>
      <c r="B341" s="5144" t="s">
        <v>14</v>
      </c>
      <c r="C341" s="5144" t="s">
        <v>3426</v>
      </c>
      <c r="D341" s="5144" t="s">
        <v>3427</v>
      </c>
      <c r="E341" s="5144" t="s">
        <v>3428</v>
      </c>
      <c r="F341" s="5144" t="s">
        <v>3429</v>
      </c>
      <c r="G341" s="5144" t="s">
        <v>24</v>
      </c>
      <c r="H341" s="5144" t="s">
        <v>24</v>
      </c>
      <c r="I341" s="5144" t="s">
        <v>710</v>
      </c>
    </row>
    <row customHeight="1" ht="11.25">
      <c r="A342" s="5144" t="s">
        <v>2177</v>
      </c>
      <c r="B342" s="5144" t="s">
        <v>14</v>
      </c>
      <c r="C342" s="5144" t="s">
        <v>24</v>
      </c>
      <c r="D342" s="5144" t="s">
        <v>3430</v>
      </c>
      <c r="E342" s="5144" t="s">
        <v>3431</v>
      </c>
      <c r="F342" s="5144" t="s">
        <v>51</v>
      </c>
      <c r="G342" s="5144" t="s">
        <v>24</v>
      </c>
      <c r="H342" s="5144" t="s">
        <v>24</v>
      </c>
      <c r="I342" s="5144" t="s">
        <v>710</v>
      </c>
    </row>
    <row customHeight="1" ht="11.25">
      <c r="A343" s="5144" t="s">
        <v>2177</v>
      </c>
      <c r="B343" s="5144" t="s">
        <v>14</v>
      </c>
      <c r="C343" s="5144" t="s">
        <v>3432</v>
      </c>
      <c r="D343" s="5144" t="s">
        <v>3433</v>
      </c>
      <c r="E343" s="5144" t="s">
        <v>3434</v>
      </c>
      <c r="F343" s="5144" t="s">
        <v>3435</v>
      </c>
      <c r="G343" s="5144" t="s">
        <v>3436</v>
      </c>
      <c r="H343" s="5144" t="s">
        <v>24</v>
      </c>
      <c r="I343" s="5144" t="s">
        <v>710</v>
      </c>
    </row>
    <row customHeight="1" ht="11.25">
      <c r="A344" s="5144" t="s">
        <v>2177</v>
      </c>
      <c r="B344" s="5144" t="s">
        <v>14</v>
      </c>
      <c r="C344" s="5144" t="s">
        <v>3437</v>
      </c>
      <c r="D344" s="5144" t="s">
        <v>3438</v>
      </c>
      <c r="E344" s="5144" t="s">
        <v>3439</v>
      </c>
      <c r="F344" s="5144" t="s">
        <v>2183</v>
      </c>
      <c r="G344" s="5144" t="s">
        <v>24</v>
      </c>
      <c r="H344" s="5144" t="s">
        <v>24</v>
      </c>
      <c r="I344" s="5144" t="s">
        <v>710</v>
      </c>
    </row>
    <row customHeight="1" ht="11.25">
      <c r="A345" s="5144" t="s">
        <v>2177</v>
      </c>
      <c r="B345" s="5144" t="s">
        <v>14</v>
      </c>
      <c r="C345" s="5144" t="s">
        <v>3440</v>
      </c>
      <c r="D345" s="5144" t="s">
        <v>3441</v>
      </c>
      <c r="E345" s="5144" t="s">
        <v>3442</v>
      </c>
      <c r="F345" s="5144" t="s">
        <v>3443</v>
      </c>
      <c r="G345" s="5144" t="s">
        <v>3444</v>
      </c>
      <c r="H345" s="5144" t="s">
        <v>24</v>
      </c>
      <c r="I345" s="5144" t="s">
        <v>710</v>
      </c>
    </row>
    <row customHeight="1" ht="11.25">
      <c r="A346" s="5144" t="s">
        <v>2177</v>
      </c>
      <c r="B346" s="5144" t="s">
        <v>14</v>
      </c>
      <c r="C346" s="5144" t="s">
        <v>3445</v>
      </c>
      <c r="D346" s="5144" t="s">
        <v>3446</v>
      </c>
      <c r="E346" s="5144" t="s">
        <v>3447</v>
      </c>
      <c r="F346" s="5144" t="s">
        <v>2802</v>
      </c>
      <c r="G346" s="5144" t="s">
        <v>3448</v>
      </c>
      <c r="H346" s="5144" t="s">
        <v>24</v>
      </c>
      <c r="I346" s="5144" t="s">
        <v>710</v>
      </c>
    </row>
    <row customHeight="1" ht="11.25">
      <c r="A347" s="5144" t="s">
        <v>2177</v>
      </c>
      <c r="B347" s="5144" t="s">
        <v>14</v>
      </c>
      <c r="C347" s="5144" t="s">
        <v>3449</v>
      </c>
      <c r="D347" s="5144" t="s">
        <v>3450</v>
      </c>
      <c r="E347" s="5144" t="s">
        <v>3451</v>
      </c>
      <c r="F347" s="5144" t="s">
        <v>51</v>
      </c>
      <c r="G347" s="5144" t="s">
        <v>3452</v>
      </c>
      <c r="H347" s="5144" t="s">
        <v>24</v>
      </c>
      <c r="I347" s="5144" t="s">
        <v>710</v>
      </c>
    </row>
    <row customHeight="1" ht="11.25">
      <c r="A348" s="5144" t="s">
        <v>2177</v>
      </c>
      <c r="B348" s="5144" t="s">
        <v>14</v>
      </c>
      <c r="C348" s="5144" t="s">
        <v>3453</v>
      </c>
      <c r="D348" s="5144" t="s">
        <v>3454</v>
      </c>
      <c r="E348" s="5144" t="s">
        <v>3455</v>
      </c>
      <c r="F348" s="5144" t="s">
        <v>2288</v>
      </c>
      <c r="G348" s="5144" t="s">
        <v>3456</v>
      </c>
      <c r="H348" s="5144" t="s">
        <v>3457</v>
      </c>
      <c r="I348" s="5144" t="s">
        <v>710</v>
      </c>
    </row>
    <row customHeight="1" ht="11.25">
      <c r="A349" s="5144" t="s">
        <v>2177</v>
      </c>
      <c r="B349" s="5144" t="s">
        <v>14</v>
      </c>
      <c r="C349" s="5144" t="s">
        <v>3458</v>
      </c>
      <c r="D349" s="5144" t="s">
        <v>3459</v>
      </c>
      <c r="E349" s="5144" t="s">
        <v>3460</v>
      </c>
      <c r="F349" s="5144" t="s">
        <v>2288</v>
      </c>
      <c r="G349" s="5144" t="s">
        <v>3461</v>
      </c>
      <c r="H349" s="5144" t="s">
        <v>24</v>
      </c>
      <c r="I349" s="5144" t="s">
        <v>710</v>
      </c>
    </row>
    <row customHeight="1" ht="11.25">
      <c r="A350" s="5144" t="s">
        <v>2177</v>
      </c>
      <c r="B350" s="5144" t="s">
        <v>14</v>
      </c>
      <c r="C350" s="5144" t="s">
        <v>3462</v>
      </c>
      <c r="D350" s="5144" t="s">
        <v>3463</v>
      </c>
      <c r="E350" s="5144" t="s">
        <v>3464</v>
      </c>
      <c r="F350" s="5144" t="s">
        <v>3465</v>
      </c>
      <c r="G350" s="5144" t="s">
        <v>3466</v>
      </c>
      <c r="H350" s="5144" t="s">
        <v>24</v>
      </c>
      <c r="I350" s="5144" t="s">
        <v>710</v>
      </c>
    </row>
    <row customHeight="1" ht="11.25">
      <c r="A351" s="5144" t="s">
        <v>2177</v>
      </c>
      <c r="B351" s="5144" t="s">
        <v>14</v>
      </c>
      <c r="C351" s="5144" t="s">
        <v>3467</v>
      </c>
      <c r="D351" s="5144" t="s">
        <v>3468</v>
      </c>
      <c r="E351" s="5144" t="s">
        <v>3469</v>
      </c>
      <c r="F351" s="5144" t="s">
        <v>3470</v>
      </c>
      <c r="G351" s="5144" t="s">
        <v>3471</v>
      </c>
      <c r="H351" s="5144" t="s">
        <v>24</v>
      </c>
      <c r="I351" s="5144" t="s">
        <v>710</v>
      </c>
    </row>
    <row customHeight="1" ht="11.25">
      <c r="A352" s="5144" t="s">
        <v>2177</v>
      </c>
      <c r="B352" s="5144" t="s">
        <v>14</v>
      </c>
      <c r="C352" s="5144" t="s">
        <v>3472</v>
      </c>
      <c r="D352" s="5144" t="s">
        <v>3473</v>
      </c>
      <c r="E352" s="5144" t="s">
        <v>3474</v>
      </c>
      <c r="F352" s="5144" t="s">
        <v>3475</v>
      </c>
      <c r="G352" s="5144" t="s">
        <v>3476</v>
      </c>
      <c r="H352" s="5144" t="s">
        <v>24</v>
      </c>
      <c r="I352" s="5144" t="s">
        <v>710</v>
      </c>
    </row>
    <row customHeight="1" ht="11.25">
      <c r="A353" s="5144" t="s">
        <v>2177</v>
      </c>
      <c r="B353" s="5144" t="s">
        <v>14</v>
      </c>
      <c r="C353" s="5144" t="s">
        <v>3477</v>
      </c>
      <c r="D353" s="5144" t="s">
        <v>3478</v>
      </c>
      <c r="E353" s="5144" t="s">
        <v>3479</v>
      </c>
      <c r="F353" s="5144" t="s">
        <v>2520</v>
      </c>
      <c r="G353" s="5144" t="s">
        <v>3480</v>
      </c>
      <c r="H353" s="5144" t="s">
        <v>24</v>
      </c>
      <c r="I353" s="5144" t="s">
        <v>710</v>
      </c>
    </row>
    <row customHeight="1" ht="11.25">
      <c r="A354" s="5144" t="s">
        <v>2177</v>
      </c>
      <c r="B354" s="5144" t="s">
        <v>14</v>
      </c>
      <c r="C354" s="5144" t="s">
        <v>3481</v>
      </c>
      <c r="D354" s="5144" t="s">
        <v>3482</v>
      </c>
      <c r="E354" s="5144" t="s">
        <v>3483</v>
      </c>
      <c r="F354" s="5144" t="s">
        <v>2288</v>
      </c>
      <c r="G354" s="5144" t="s">
        <v>3484</v>
      </c>
      <c r="H354" s="5144" t="s">
        <v>24</v>
      </c>
      <c r="I354" s="5144" t="s">
        <v>710</v>
      </c>
    </row>
    <row customHeight="1" ht="11.25">
      <c r="A355" s="5144" t="s">
        <v>2177</v>
      </c>
      <c r="B355" s="5144" t="s">
        <v>14</v>
      </c>
      <c r="C355" s="5144" t="s">
        <v>3485</v>
      </c>
      <c r="D355" s="5144" t="s">
        <v>3486</v>
      </c>
      <c r="E355" s="5144" t="s">
        <v>3487</v>
      </c>
      <c r="F355" s="5144" t="s">
        <v>2202</v>
      </c>
      <c r="G355" s="5144" t="s">
        <v>24</v>
      </c>
      <c r="H355" s="5144" t="s">
        <v>24</v>
      </c>
      <c r="I355" s="5144" t="s">
        <v>710</v>
      </c>
    </row>
    <row customHeight="1" ht="11.25">
      <c r="A356" s="5144" t="s">
        <v>2177</v>
      </c>
      <c r="B356" s="5144" t="s">
        <v>14</v>
      </c>
      <c r="C356" s="5144" t="s">
        <v>3488</v>
      </c>
      <c r="D356" s="5144" t="s">
        <v>3489</v>
      </c>
      <c r="E356" s="5144" t="s">
        <v>3245</v>
      </c>
      <c r="F356" s="5144" t="s">
        <v>3490</v>
      </c>
      <c r="G356" s="5144" t="s">
        <v>24</v>
      </c>
      <c r="H356" s="5144" t="s">
        <v>24</v>
      </c>
      <c r="I356" s="5144" t="s">
        <v>710</v>
      </c>
    </row>
    <row customHeight="1" ht="11.25">
      <c r="A357" s="5144" t="s">
        <v>2177</v>
      </c>
      <c r="B357" s="5144" t="s">
        <v>14</v>
      </c>
      <c r="C357" s="5144" t="s">
        <v>3491</v>
      </c>
      <c r="D357" s="5144" t="s">
        <v>3492</v>
      </c>
      <c r="E357" s="5144" t="s">
        <v>3493</v>
      </c>
      <c r="F357" s="5144" t="s">
        <v>3494</v>
      </c>
      <c r="G357" s="5144" t="s">
        <v>3495</v>
      </c>
      <c r="H357" s="5144" t="s">
        <v>24</v>
      </c>
      <c r="I357" s="5144" t="s">
        <v>710</v>
      </c>
    </row>
    <row customHeight="1" ht="11.25">
      <c r="A358" s="5144" t="s">
        <v>2177</v>
      </c>
      <c r="B358" s="5144" t="s">
        <v>14</v>
      </c>
      <c r="C358" s="5144" t="s">
        <v>3496</v>
      </c>
      <c r="D358" s="5144" t="s">
        <v>3497</v>
      </c>
      <c r="E358" s="5144" t="s">
        <v>3498</v>
      </c>
      <c r="F358" s="5144" t="s">
        <v>3499</v>
      </c>
      <c r="G358" s="5144" t="s">
        <v>3500</v>
      </c>
      <c r="H358" s="5144" t="s">
        <v>24</v>
      </c>
      <c r="I358" s="5144" t="s">
        <v>710</v>
      </c>
    </row>
    <row customHeight="1" ht="11.25">
      <c r="A359" s="5144" t="s">
        <v>2177</v>
      </c>
      <c r="B359" s="5144" t="s">
        <v>14</v>
      </c>
      <c r="C359" s="5144" t="s">
        <v>3501</v>
      </c>
      <c r="D359" s="5144" t="s">
        <v>3502</v>
      </c>
      <c r="E359" s="5144" t="s">
        <v>3464</v>
      </c>
      <c r="F359" s="5144" t="s">
        <v>3503</v>
      </c>
      <c r="G359" s="5144" t="s">
        <v>24</v>
      </c>
      <c r="H359" s="5144" t="s">
        <v>24</v>
      </c>
      <c r="I359" s="5144" t="s">
        <v>710</v>
      </c>
    </row>
    <row customHeight="1" ht="11.25">
      <c r="A360" s="5144" t="s">
        <v>2177</v>
      </c>
      <c r="B360" s="5144" t="s">
        <v>14</v>
      </c>
      <c r="C360" s="5144" t="s">
        <v>3504</v>
      </c>
      <c r="D360" s="5144" t="s">
        <v>3505</v>
      </c>
      <c r="E360" s="5144" t="s">
        <v>3506</v>
      </c>
      <c r="F360" s="5144" t="s">
        <v>3475</v>
      </c>
      <c r="G360" s="5144" t="s">
        <v>3507</v>
      </c>
      <c r="H360" s="5144" t="s">
        <v>24</v>
      </c>
      <c r="I360" s="5144" t="s">
        <v>710</v>
      </c>
    </row>
    <row customHeight="1" ht="11.25">
      <c r="A361" s="5144" t="s">
        <v>2177</v>
      </c>
      <c r="B361" s="5144" t="s">
        <v>14</v>
      </c>
      <c r="C361" s="5144" t="s">
        <v>24</v>
      </c>
      <c r="D361" s="5144" t="s">
        <v>2178</v>
      </c>
      <c r="E361" s="5144" t="s">
        <v>2179</v>
      </c>
      <c r="F361" s="5144" t="s">
        <v>2180</v>
      </c>
      <c r="G361" s="5144" t="s">
        <v>24</v>
      </c>
      <c r="H361" s="5144" t="s">
        <v>24</v>
      </c>
      <c r="I361" s="5144" t="s">
        <v>794</v>
      </c>
    </row>
    <row customHeight="1" ht="11.25">
      <c r="A362" s="5144" t="s">
        <v>2177</v>
      </c>
      <c r="B362" s="5144" t="s">
        <v>14</v>
      </c>
      <c r="C362" s="5144" t="s">
        <v>24</v>
      </c>
      <c r="D362" s="5144" t="s">
        <v>2181</v>
      </c>
      <c r="E362" s="5144" t="s">
        <v>2182</v>
      </c>
      <c r="F362" s="5144" t="s">
        <v>2183</v>
      </c>
      <c r="G362" s="5144" t="s">
        <v>24</v>
      </c>
      <c r="H362" s="5144" t="s">
        <v>24</v>
      </c>
      <c r="I362" s="5144" t="s">
        <v>794</v>
      </c>
    </row>
    <row customHeight="1" ht="11.25">
      <c r="A363" s="5144" t="s">
        <v>2177</v>
      </c>
      <c r="B363" s="5144" t="s">
        <v>14</v>
      </c>
      <c r="C363" s="5144" t="s">
        <v>24</v>
      </c>
      <c r="D363" s="5144" t="s">
        <v>2184</v>
      </c>
      <c r="E363" s="5144" t="s">
        <v>2185</v>
      </c>
      <c r="F363" s="5144" t="s">
        <v>2186</v>
      </c>
      <c r="G363" s="5144" t="s">
        <v>24</v>
      </c>
      <c r="H363" s="5144" t="s">
        <v>24</v>
      </c>
      <c r="I363" s="5144" t="s">
        <v>794</v>
      </c>
    </row>
    <row customHeight="1" ht="11.25">
      <c r="A364" s="5144" t="s">
        <v>2177</v>
      </c>
      <c r="B364" s="5144" t="s">
        <v>14</v>
      </c>
      <c r="C364" s="5144" t="s">
        <v>24</v>
      </c>
      <c r="D364" s="5144" t="s">
        <v>2187</v>
      </c>
      <c r="E364" s="5144" t="s">
        <v>2188</v>
      </c>
      <c r="F364" s="5144" t="s">
        <v>2189</v>
      </c>
      <c r="G364" s="5144" t="s">
        <v>24</v>
      </c>
      <c r="H364" s="5144" t="s">
        <v>24</v>
      </c>
      <c r="I364" s="5144" t="s">
        <v>794</v>
      </c>
    </row>
    <row customHeight="1" ht="11.25">
      <c r="A365" s="5144" t="s">
        <v>2177</v>
      </c>
      <c r="B365" s="5144" t="s">
        <v>14</v>
      </c>
      <c r="C365" s="5144" t="s">
        <v>24</v>
      </c>
      <c r="D365" s="5144" t="s">
        <v>2190</v>
      </c>
      <c r="E365" s="5144" t="s">
        <v>2191</v>
      </c>
      <c r="F365" s="5144" t="s">
        <v>2192</v>
      </c>
      <c r="G365" s="5144" t="s">
        <v>24</v>
      </c>
      <c r="H365" s="5144" t="s">
        <v>24</v>
      </c>
      <c r="I365" s="5144" t="s">
        <v>794</v>
      </c>
    </row>
    <row customHeight="1" ht="11.25">
      <c r="A366" s="5144" t="s">
        <v>2177</v>
      </c>
      <c r="B366" s="5144" t="s">
        <v>14</v>
      </c>
      <c r="C366" s="5144" t="s">
        <v>24</v>
      </c>
      <c r="D366" s="5144" t="s">
        <v>2193</v>
      </c>
      <c r="E366" s="5144" t="s">
        <v>2194</v>
      </c>
      <c r="F366" s="5144" t="s">
        <v>2189</v>
      </c>
      <c r="G366" s="5144" t="s">
        <v>24</v>
      </c>
      <c r="H366" s="5144" t="s">
        <v>24</v>
      </c>
      <c r="I366" s="5144" t="s">
        <v>794</v>
      </c>
    </row>
    <row customHeight="1" ht="11.25">
      <c r="A367" s="5144" t="s">
        <v>2177</v>
      </c>
      <c r="B367" s="5144" t="s">
        <v>14</v>
      </c>
      <c r="C367" s="5144" t="s">
        <v>24</v>
      </c>
      <c r="D367" s="5144" t="s">
        <v>2195</v>
      </c>
      <c r="E367" s="5144" t="s">
        <v>2196</v>
      </c>
      <c r="F367" s="5144" t="s">
        <v>2186</v>
      </c>
      <c r="G367" s="5144" t="s">
        <v>24</v>
      </c>
      <c r="H367" s="5144" t="s">
        <v>24</v>
      </c>
      <c r="I367" s="5144" t="s">
        <v>794</v>
      </c>
    </row>
    <row customHeight="1" ht="11.25">
      <c r="A368" s="5144" t="s">
        <v>2177</v>
      </c>
      <c r="B368" s="5144" t="s">
        <v>14</v>
      </c>
      <c r="C368" s="5144" t="s">
        <v>24</v>
      </c>
      <c r="D368" s="5144" t="s">
        <v>2197</v>
      </c>
      <c r="E368" s="5144" t="s">
        <v>2198</v>
      </c>
      <c r="F368" s="5144" t="s">
        <v>2199</v>
      </c>
      <c r="G368" s="5144" t="s">
        <v>24</v>
      </c>
      <c r="H368" s="5144" t="s">
        <v>24</v>
      </c>
      <c r="I368" s="5144" t="s">
        <v>794</v>
      </c>
    </row>
    <row customHeight="1" ht="11.25">
      <c r="A369" s="5144" t="s">
        <v>2177</v>
      </c>
      <c r="B369" s="5144" t="s">
        <v>14</v>
      </c>
      <c r="C369" s="5144" t="s">
        <v>24</v>
      </c>
      <c r="D369" s="5144" t="s">
        <v>2200</v>
      </c>
      <c r="E369" s="5144" t="s">
        <v>2201</v>
      </c>
      <c r="F369" s="5144" t="s">
        <v>2202</v>
      </c>
      <c r="G369" s="5144" t="s">
        <v>24</v>
      </c>
      <c r="H369" s="5144" t="s">
        <v>24</v>
      </c>
      <c r="I369" s="5144" t="s">
        <v>794</v>
      </c>
    </row>
    <row customHeight="1" ht="11.25">
      <c r="A370" s="5144" t="s">
        <v>2177</v>
      </c>
      <c r="B370" s="5144" t="s">
        <v>14</v>
      </c>
      <c r="C370" s="5144" t="s">
        <v>24</v>
      </c>
      <c r="D370" s="5144" t="s">
        <v>2203</v>
      </c>
      <c r="E370" s="5144" t="s">
        <v>2204</v>
      </c>
      <c r="F370" s="5144" t="s">
        <v>51</v>
      </c>
      <c r="G370" s="5144" t="s">
        <v>24</v>
      </c>
      <c r="H370" s="5144" t="s">
        <v>24</v>
      </c>
      <c r="I370" s="5144" t="s">
        <v>794</v>
      </c>
    </row>
    <row customHeight="1" ht="11.25">
      <c r="A371" s="5144" t="s">
        <v>2177</v>
      </c>
      <c r="B371" s="5144" t="s">
        <v>14</v>
      </c>
      <c r="C371" s="5144" t="s">
        <v>24</v>
      </c>
      <c r="D371" s="5144" t="s">
        <v>2205</v>
      </c>
      <c r="E371" s="5144" t="s">
        <v>2206</v>
      </c>
      <c r="F371" s="5144" t="s">
        <v>2207</v>
      </c>
      <c r="G371" s="5144" t="s">
        <v>24</v>
      </c>
      <c r="H371" s="5144" t="s">
        <v>24</v>
      </c>
      <c r="I371" s="5144" t="s">
        <v>794</v>
      </c>
    </row>
    <row customHeight="1" ht="11.25">
      <c r="A372" s="5144" t="s">
        <v>2177</v>
      </c>
      <c r="B372" s="5144" t="s">
        <v>14</v>
      </c>
      <c r="C372" s="5144" t="s">
        <v>24</v>
      </c>
      <c r="D372" s="5144" t="s">
        <v>2208</v>
      </c>
      <c r="E372" s="5144" t="s">
        <v>2209</v>
      </c>
      <c r="F372" s="5144" t="s">
        <v>2210</v>
      </c>
      <c r="G372" s="5144" t="s">
        <v>24</v>
      </c>
      <c r="H372" s="5144" t="s">
        <v>24</v>
      </c>
      <c r="I372" s="5144" t="s">
        <v>794</v>
      </c>
    </row>
    <row customHeight="1" ht="11.25">
      <c r="A373" s="5144" t="s">
        <v>2177</v>
      </c>
      <c r="B373" s="5144" t="s">
        <v>14</v>
      </c>
      <c r="C373" s="5144" t="s">
        <v>24</v>
      </c>
      <c r="D373" s="5144" t="s">
        <v>2211</v>
      </c>
      <c r="E373" s="5144" t="s">
        <v>2212</v>
      </c>
      <c r="F373" s="5144" t="s">
        <v>2186</v>
      </c>
      <c r="G373" s="5144" t="s">
        <v>24</v>
      </c>
      <c r="H373" s="5144" t="s">
        <v>24</v>
      </c>
      <c r="I373" s="5144" t="s">
        <v>794</v>
      </c>
    </row>
    <row customHeight="1" ht="11.25">
      <c r="A374" s="5144" t="s">
        <v>2177</v>
      </c>
      <c r="B374" s="5144" t="s">
        <v>14</v>
      </c>
      <c r="C374" s="5144" t="s">
        <v>24</v>
      </c>
      <c r="D374" s="5144" t="s">
        <v>2213</v>
      </c>
      <c r="E374" s="5144" t="s">
        <v>2214</v>
      </c>
      <c r="F374" s="5144" t="s">
        <v>2189</v>
      </c>
      <c r="G374" s="5144" t="s">
        <v>24</v>
      </c>
      <c r="H374" s="5144" t="s">
        <v>24</v>
      </c>
      <c r="I374" s="5144" t="s">
        <v>794</v>
      </c>
    </row>
    <row customHeight="1" ht="11.25">
      <c r="A375" s="5144" t="s">
        <v>2177</v>
      </c>
      <c r="B375" s="5144" t="s">
        <v>14</v>
      </c>
      <c r="C375" s="5144" t="s">
        <v>24</v>
      </c>
      <c r="D375" s="5144" t="s">
        <v>2215</v>
      </c>
      <c r="E375" s="5144" t="s">
        <v>2216</v>
      </c>
      <c r="F375" s="5144" t="s">
        <v>2202</v>
      </c>
      <c r="G375" s="5144" t="s">
        <v>24</v>
      </c>
      <c r="H375" s="5144" t="s">
        <v>24</v>
      </c>
      <c r="I375" s="5144" t="s">
        <v>794</v>
      </c>
    </row>
    <row customHeight="1" ht="11.25">
      <c r="A376" s="5144" t="s">
        <v>2177</v>
      </c>
      <c r="B376" s="5144" t="s">
        <v>14</v>
      </c>
      <c r="C376" s="5144" t="s">
        <v>24</v>
      </c>
      <c r="D376" s="5144" t="s">
        <v>2217</v>
      </c>
      <c r="E376" s="5144" t="s">
        <v>2218</v>
      </c>
      <c r="F376" s="5144" t="s">
        <v>2189</v>
      </c>
      <c r="G376" s="5144" t="s">
        <v>24</v>
      </c>
      <c r="H376" s="5144" t="s">
        <v>24</v>
      </c>
      <c r="I376" s="5144" t="s">
        <v>794</v>
      </c>
    </row>
    <row customHeight="1" ht="11.25">
      <c r="A377" s="5144" t="s">
        <v>2177</v>
      </c>
      <c r="B377" s="5144" t="s">
        <v>14</v>
      </c>
      <c r="C377" s="5144" t="s">
        <v>24</v>
      </c>
      <c r="D377" s="5144" t="s">
        <v>2219</v>
      </c>
      <c r="E377" s="5144" t="s">
        <v>2220</v>
      </c>
      <c r="F377" s="5144" t="s">
        <v>2221</v>
      </c>
      <c r="G377" s="5144" t="s">
        <v>24</v>
      </c>
      <c r="H377" s="5144" t="s">
        <v>24</v>
      </c>
      <c r="I377" s="5144" t="s">
        <v>794</v>
      </c>
    </row>
    <row customHeight="1" ht="11.25">
      <c r="A378" s="5144" t="s">
        <v>2177</v>
      </c>
      <c r="B378" s="5144" t="s">
        <v>14</v>
      </c>
      <c r="C378" s="5144" t="s">
        <v>24</v>
      </c>
      <c r="D378" s="5144" t="s">
        <v>2222</v>
      </c>
      <c r="E378" s="5144" t="s">
        <v>2223</v>
      </c>
      <c r="F378" s="5144" t="s">
        <v>2186</v>
      </c>
      <c r="G378" s="5144" t="s">
        <v>24</v>
      </c>
      <c r="H378" s="5144" t="s">
        <v>24</v>
      </c>
      <c r="I378" s="5144" t="s">
        <v>794</v>
      </c>
    </row>
    <row customHeight="1" ht="11.25">
      <c r="A379" s="5144" t="s">
        <v>2177</v>
      </c>
      <c r="B379" s="5144" t="s">
        <v>14</v>
      </c>
      <c r="C379" s="5144" t="s">
        <v>24</v>
      </c>
      <c r="D379" s="5144" t="s">
        <v>2224</v>
      </c>
      <c r="E379" s="5144" t="s">
        <v>2225</v>
      </c>
      <c r="F379" s="5144" t="s">
        <v>2226</v>
      </c>
      <c r="G379" s="5144" t="s">
        <v>24</v>
      </c>
      <c r="H379" s="5144" t="s">
        <v>24</v>
      </c>
      <c r="I379" s="5144" t="s">
        <v>794</v>
      </c>
    </row>
    <row customHeight="1" ht="11.25">
      <c r="A380" s="5144" t="s">
        <v>2177</v>
      </c>
      <c r="B380" s="5144" t="s">
        <v>14</v>
      </c>
      <c r="C380" s="5144" t="s">
        <v>24</v>
      </c>
      <c r="D380" s="5144" t="s">
        <v>2227</v>
      </c>
      <c r="E380" s="5144" t="s">
        <v>2228</v>
      </c>
      <c r="F380" s="5144" t="s">
        <v>2186</v>
      </c>
      <c r="G380" s="5144" t="s">
        <v>24</v>
      </c>
      <c r="H380" s="5144" t="s">
        <v>24</v>
      </c>
      <c r="I380" s="5144" t="s">
        <v>794</v>
      </c>
    </row>
    <row customHeight="1" ht="11.25">
      <c r="A381" s="5144" t="s">
        <v>2177</v>
      </c>
      <c r="B381" s="5144" t="s">
        <v>14</v>
      </c>
      <c r="C381" s="5144" t="s">
        <v>24</v>
      </c>
      <c r="D381" s="5144" t="s">
        <v>2229</v>
      </c>
      <c r="E381" s="5144" t="s">
        <v>2230</v>
      </c>
      <c r="F381" s="5144" t="s">
        <v>2231</v>
      </c>
      <c r="G381" s="5144" t="s">
        <v>24</v>
      </c>
      <c r="H381" s="5144" t="s">
        <v>24</v>
      </c>
      <c r="I381" s="5144" t="s">
        <v>794</v>
      </c>
    </row>
    <row customHeight="1" ht="11.25">
      <c r="A382" s="5144" t="s">
        <v>2177</v>
      </c>
      <c r="B382" s="5144" t="s">
        <v>14</v>
      </c>
      <c r="C382" s="5144" t="s">
        <v>24</v>
      </c>
      <c r="D382" s="5144" t="s">
        <v>2232</v>
      </c>
      <c r="E382" s="5144" t="s">
        <v>2233</v>
      </c>
      <c r="F382" s="5144" t="s">
        <v>2234</v>
      </c>
      <c r="G382" s="5144" t="s">
        <v>24</v>
      </c>
      <c r="H382" s="5144" t="s">
        <v>24</v>
      </c>
      <c r="I382" s="5144" t="s">
        <v>794</v>
      </c>
    </row>
    <row customHeight="1" ht="11.25">
      <c r="A383" s="5144" t="s">
        <v>2177</v>
      </c>
      <c r="B383" s="5144" t="s">
        <v>14</v>
      </c>
      <c r="C383" s="5144" t="s">
        <v>24</v>
      </c>
      <c r="D383" s="5144" t="s">
        <v>2235</v>
      </c>
      <c r="E383" s="5144" t="s">
        <v>2236</v>
      </c>
      <c r="F383" s="5144" t="s">
        <v>2231</v>
      </c>
      <c r="G383" s="5144" t="s">
        <v>24</v>
      </c>
      <c r="H383" s="5144" t="s">
        <v>24</v>
      </c>
      <c r="I383" s="5144" t="s">
        <v>794</v>
      </c>
    </row>
    <row customHeight="1" ht="11.25">
      <c r="A384" s="5144" t="s">
        <v>2177</v>
      </c>
      <c r="B384" s="5144" t="s">
        <v>14</v>
      </c>
      <c r="C384" s="5144" t="s">
        <v>24</v>
      </c>
      <c r="D384" s="5144" t="s">
        <v>2237</v>
      </c>
      <c r="E384" s="5144" t="s">
        <v>2238</v>
      </c>
      <c r="F384" s="5144" t="s">
        <v>2239</v>
      </c>
      <c r="G384" s="5144" t="s">
        <v>24</v>
      </c>
      <c r="H384" s="5144" t="s">
        <v>24</v>
      </c>
      <c r="I384" s="5144" t="s">
        <v>794</v>
      </c>
    </row>
    <row customHeight="1" ht="11.25">
      <c r="A385" s="5144" t="s">
        <v>2177</v>
      </c>
      <c r="B385" s="5144" t="s">
        <v>14</v>
      </c>
      <c r="C385" s="5144" t="s">
        <v>24</v>
      </c>
      <c r="D385" s="5144" t="s">
        <v>2240</v>
      </c>
      <c r="E385" s="5144" t="s">
        <v>2241</v>
      </c>
      <c r="F385" s="5144" t="s">
        <v>2231</v>
      </c>
      <c r="G385" s="5144" t="s">
        <v>24</v>
      </c>
      <c r="H385" s="5144" t="s">
        <v>24</v>
      </c>
      <c r="I385" s="5144" t="s">
        <v>794</v>
      </c>
    </row>
    <row customHeight="1" ht="11.25">
      <c r="A386" s="5144" t="s">
        <v>2177</v>
      </c>
      <c r="B386" s="5144" t="s">
        <v>14</v>
      </c>
      <c r="C386" s="5144" t="s">
        <v>24</v>
      </c>
      <c r="D386" s="5144" t="s">
        <v>2242</v>
      </c>
      <c r="E386" s="5144" t="s">
        <v>2243</v>
      </c>
      <c r="F386" s="5144" t="s">
        <v>2234</v>
      </c>
      <c r="G386" s="5144" t="s">
        <v>24</v>
      </c>
      <c r="H386" s="5144" t="s">
        <v>24</v>
      </c>
      <c r="I386" s="5144" t="s">
        <v>794</v>
      </c>
    </row>
    <row customHeight="1" ht="11.25">
      <c r="A387" s="5144" t="s">
        <v>2177</v>
      </c>
      <c r="B387" s="5144" t="s">
        <v>14</v>
      </c>
      <c r="C387" s="5144" t="s">
        <v>24</v>
      </c>
      <c r="D387" s="5144" t="s">
        <v>2244</v>
      </c>
      <c r="E387" s="5144" t="s">
        <v>2245</v>
      </c>
      <c r="F387" s="5144" t="s">
        <v>2231</v>
      </c>
      <c r="G387" s="5144" t="s">
        <v>24</v>
      </c>
      <c r="H387" s="5144" t="s">
        <v>24</v>
      </c>
      <c r="I387" s="5144" t="s">
        <v>794</v>
      </c>
    </row>
    <row customHeight="1" ht="11.25">
      <c r="A388" s="5144" t="s">
        <v>2177</v>
      </c>
      <c r="B388" s="5144" t="s">
        <v>14</v>
      </c>
      <c r="C388" s="5144" t="s">
        <v>24</v>
      </c>
      <c r="D388" s="5144" t="s">
        <v>2246</v>
      </c>
      <c r="E388" s="5144" t="s">
        <v>2247</v>
      </c>
      <c r="F388" s="5144" t="s">
        <v>2234</v>
      </c>
      <c r="G388" s="5144" t="s">
        <v>24</v>
      </c>
      <c r="H388" s="5144" t="s">
        <v>24</v>
      </c>
      <c r="I388" s="5144" t="s">
        <v>794</v>
      </c>
    </row>
    <row customHeight="1" ht="11.25">
      <c r="A389" s="5144" t="s">
        <v>2177</v>
      </c>
      <c r="B389" s="5144" t="s">
        <v>14</v>
      </c>
      <c r="C389" s="5144" t="s">
        <v>24</v>
      </c>
      <c r="D389" s="5144" t="s">
        <v>2248</v>
      </c>
      <c r="E389" s="5144" t="s">
        <v>2249</v>
      </c>
      <c r="F389" s="5144" t="s">
        <v>2234</v>
      </c>
      <c r="G389" s="5144" t="s">
        <v>24</v>
      </c>
      <c r="H389" s="5144" t="s">
        <v>24</v>
      </c>
      <c r="I389" s="5144" t="s">
        <v>794</v>
      </c>
    </row>
    <row customHeight="1" ht="11.25">
      <c r="A390" s="5144" t="s">
        <v>2177</v>
      </c>
      <c r="B390" s="5144" t="s">
        <v>14</v>
      </c>
      <c r="C390" s="5144" t="s">
        <v>24</v>
      </c>
      <c r="D390" s="5144" t="s">
        <v>2250</v>
      </c>
      <c r="E390" s="5144" t="s">
        <v>2251</v>
      </c>
      <c r="F390" s="5144" t="s">
        <v>2252</v>
      </c>
      <c r="G390" s="5144" t="s">
        <v>24</v>
      </c>
      <c r="H390" s="5144" t="s">
        <v>24</v>
      </c>
      <c r="I390" s="5144" t="s">
        <v>794</v>
      </c>
    </row>
    <row customHeight="1" ht="11.25">
      <c r="A391" s="5144" t="s">
        <v>2177</v>
      </c>
      <c r="B391" s="5144" t="s">
        <v>14</v>
      </c>
      <c r="C391" s="5144" t="s">
        <v>24</v>
      </c>
      <c r="D391" s="5144" t="s">
        <v>2253</v>
      </c>
      <c r="E391" s="5144" t="s">
        <v>2254</v>
      </c>
      <c r="F391" s="5144" t="s">
        <v>2192</v>
      </c>
      <c r="G391" s="5144" t="s">
        <v>24</v>
      </c>
      <c r="H391" s="5144" t="s">
        <v>24</v>
      </c>
      <c r="I391" s="5144" t="s">
        <v>794</v>
      </c>
    </row>
    <row customHeight="1" ht="11.25">
      <c r="A392" s="5144" t="s">
        <v>2177</v>
      </c>
      <c r="B392" s="5144" t="s">
        <v>14</v>
      </c>
      <c r="C392" s="5144" t="s">
        <v>24</v>
      </c>
      <c r="D392" s="5144" t="s">
        <v>2255</v>
      </c>
      <c r="E392" s="5144" t="s">
        <v>2256</v>
      </c>
      <c r="F392" s="5144" t="s">
        <v>2234</v>
      </c>
      <c r="G392" s="5144" t="s">
        <v>24</v>
      </c>
      <c r="H392" s="5144" t="s">
        <v>24</v>
      </c>
      <c r="I392" s="5144" t="s">
        <v>794</v>
      </c>
    </row>
    <row customHeight="1" ht="11.25">
      <c r="A393" s="5144" t="s">
        <v>2177</v>
      </c>
      <c r="B393" s="5144" t="s">
        <v>14</v>
      </c>
      <c r="C393" s="5144" t="s">
        <v>24</v>
      </c>
      <c r="D393" s="5144" t="s">
        <v>2257</v>
      </c>
      <c r="E393" s="5144" t="s">
        <v>2258</v>
      </c>
      <c r="F393" s="5144" t="s">
        <v>2239</v>
      </c>
      <c r="G393" s="5144" t="s">
        <v>24</v>
      </c>
      <c r="H393" s="5144" t="s">
        <v>24</v>
      </c>
      <c r="I393" s="5144" t="s">
        <v>794</v>
      </c>
    </row>
    <row customHeight="1" ht="11.25">
      <c r="A394" s="5144" t="s">
        <v>2177</v>
      </c>
      <c r="B394" s="5144" t="s">
        <v>14</v>
      </c>
      <c r="C394" s="5144" t="s">
        <v>24</v>
      </c>
      <c r="D394" s="5144" t="s">
        <v>2259</v>
      </c>
      <c r="E394" s="5144" t="s">
        <v>2260</v>
      </c>
      <c r="F394" s="5144" t="s">
        <v>2234</v>
      </c>
      <c r="G394" s="5144" t="s">
        <v>24</v>
      </c>
      <c r="H394" s="5144" t="s">
        <v>24</v>
      </c>
      <c r="I394" s="5144" t="s">
        <v>794</v>
      </c>
    </row>
    <row customHeight="1" ht="11.25">
      <c r="A395" s="5144" t="s">
        <v>2177</v>
      </c>
      <c r="B395" s="5144" t="s">
        <v>14</v>
      </c>
      <c r="C395" s="5144" t="s">
        <v>24</v>
      </c>
      <c r="D395" s="5144" t="s">
        <v>2261</v>
      </c>
      <c r="E395" s="5144" t="s">
        <v>2262</v>
      </c>
      <c r="F395" s="5144" t="s">
        <v>2202</v>
      </c>
      <c r="G395" s="5144" t="s">
        <v>24</v>
      </c>
      <c r="H395" s="5144" t="s">
        <v>24</v>
      </c>
      <c r="I395" s="5144" t="s">
        <v>794</v>
      </c>
    </row>
    <row customHeight="1" ht="11.25">
      <c r="A396" s="5144" t="s">
        <v>2177</v>
      </c>
      <c r="B396" s="5144" t="s">
        <v>14</v>
      </c>
      <c r="C396" s="5144" t="s">
        <v>24</v>
      </c>
      <c r="D396" s="5144" t="s">
        <v>2263</v>
      </c>
      <c r="E396" s="5144" t="s">
        <v>2264</v>
      </c>
      <c r="F396" s="5144" t="s">
        <v>2192</v>
      </c>
      <c r="G396" s="5144" t="s">
        <v>24</v>
      </c>
      <c r="H396" s="5144" t="s">
        <v>24</v>
      </c>
      <c r="I396" s="5144" t="s">
        <v>794</v>
      </c>
    </row>
    <row customHeight="1" ht="11.25">
      <c r="A397" s="5144" t="s">
        <v>2177</v>
      </c>
      <c r="B397" s="5144" t="s">
        <v>14</v>
      </c>
      <c r="C397" s="5144" t="s">
        <v>24</v>
      </c>
      <c r="D397" s="5144" t="s">
        <v>2265</v>
      </c>
      <c r="E397" s="5144" t="s">
        <v>2266</v>
      </c>
      <c r="F397" s="5144" t="s">
        <v>2202</v>
      </c>
      <c r="G397" s="5144" t="s">
        <v>24</v>
      </c>
      <c r="H397" s="5144" t="s">
        <v>24</v>
      </c>
      <c r="I397" s="5144" t="s">
        <v>794</v>
      </c>
    </row>
    <row customHeight="1" ht="11.25">
      <c r="A398" s="5144" t="s">
        <v>2177</v>
      </c>
      <c r="B398" s="5144" t="s">
        <v>14</v>
      </c>
      <c r="C398" s="5144" t="s">
        <v>24</v>
      </c>
      <c r="D398" s="5144" t="s">
        <v>2267</v>
      </c>
      <c r="E398" s="5144" t="s">
        <v>2268</v>
      </c>
      <c r="F398" s="5144" t="s">
        <v>2221</v>
      </c>
      <c r="G398" s="5144" t="s">
        <v>24</v>
      </c>
      <c r="H398" s="5144" t="s">
        <v>24</v>
      </c>
      <c r="I398" s="5144" t="s">
        <v>794</v>
      </c>
    </row>
    <row customHeight="1" ht="11.25">
      <c r="A399" s="5144" t="s">
        <v>2177</v>
      </c>
      <c r="B399" s="5144" t="s">
        <v>14</v>
      </c>
      <c r="C399" s="5144" t="s">
        <v>24</v>
      </c>
      <c r="D399" s="5144" t="s">
        <v>2269</v>
      </c>
      <c r="E399" s="5144" t="s">
        <v>2270</v>
      </c>
      <c r="F399" s="5144" t="s">
        <v>2231</v>
      </c>
      <c r="G399" s="5144" t="s">
        <v>24</v>
      </c>
      <c r="H399" s="5144" t="s">
        <v>24</v>
      </c>
      <c r="I399" s="5144" t="s">
        <v>794</v>
      </c>
    </row>
    <row customHeight="1" ht="11.25">
      <c r="A400" s="5144" t="s">
        <v>2177</v>
      </c>
      <c r="B400" s="5144" t="s">
        <v>14</v>
      </c>
      <c r="C400" s="5144" t="s">
        <v>24</v>
      </c>
      <c r="D400" s="5144" t="s">
        <v>2271</v>
      </c>
      <c r="E400" s="5144" t="s">
        <v>2272</v>
      </c>
      <c r="F400" s="5144" t="s">
        <v>2202</v>
      </c>
      <c r="G400" s="5144" t="s">
        <v>24</v>
      </c>
      <c r="H400" s="5144" t="s">
        <v>24</v>
      </c>
      <c r="I400" s="5144" t="s">
        <v>794</v>
      </c>
    </row>
    <row customHeight="1" ht="11.25">
      <c r="A401" s="5144" t="s">
        <v>2177</v>
      </c>
      <c r="B401" s="5144" t="s">
        <v>14</v>
      </c>
      <c r="C401" s="5144" t="s">
        <v>24</v>
      </c>
      <c r="D401" s="5144" t="s">
        <v>2273</v>
      </c>
      <c r="E401" s="5144" t="s">
        <v>2274</v>
      </c>
      <c r="F401" s="5144" t="s">
        <v>2231</v>
      </c>
      <c r="G401" s="5144" t="s">
        <v>24</v>
      </c>
      <c r="H401" s="5144" t="s">
        <v>24</v>
      </c>
      <c r="I401" s="5144" t="s">
        <v>794</v>
      </c>
    </row>
    <row customHeight="1" ht="11.25">
      <c r="A402" s="5144" t="s">
        <v>2177</v>
      </c>
      <c r="B402" s="5144" t="s">
        <v>14</v>
      </c>
      <c r="C402" s="5144" t="s">
        <v>24</v>
      </c>
      <c r="D402" s="5144" t="s">
        <v>2275</v>
      </c>
      <c r="E402" s="5144" t="s">
        <v>2276</v>
      </c>
      <c r="F402" s="5144" t="s">
        <v>2277</v>
      </c>
      <c r="G402" s="5144" t="s">
        <v>24</v>
      </c>
      <c r="H402" s="5144" t="s">
        <v>24</v>
      </c>
      <c r="I402" s="5144" t="s">
        <v>794</v>
      </c>
    </row>
    <row customHeight="1" ht="11.25">
      <c r="A403" s="5144" t="s">
        <v>2177</v>
      </c>
      <c r="B403" s="5144" t="s">
        <v>14</v>
      </c>
      <c r="C403" s="5144" t="s">
        <v>24</v>
      </c>
      <c r="D403" s="5144" t="s">
        <v>2278</v>
      </c>
      <c r="E403" s="5144" t="s">
        <v>2279</v>
      </c>
      <c r="F403" s="5144" t="s">
        <v>2202</v>
      </c>
      <c r="G403" s="5144" t="s">
        <v>24</v>
      </c>
      <c r="H403" s="5144" t="s">
        <v>24</v>
      </c>
      <c r="I403" s="5144" t="s">
        <v>794</v>
      </c>
    </row>
    <row customHeight="1" ht="11.25">
      <c r="A404" s="5144" t="s">
        <v>2177</v>
      </c>
      <c r="B404" s="5144" t="s">
        <v>14</v>
      </c>
      <c r="C404" s="5144" t="s">
        <v>24</v>
      </c>
      <c r="D404" s="5144" t="s">
        <v>2280</v>
      </c>
      <c r="E404" s="5144" t="s">
        <v>2281</v>
      </c>
      <c r="F404" s="5144" t="s">
        <v>2202</v>
      </c>
      <c r="G404" s="5144" t="s">
        <v>24</v>
      </c>
      <c r="H404" s="5144" t="s">
        <v>24</v>
      </c>
      <c r="I404" s="5144" t="s">
        <v>794</v>
      </c>
    </row>
    <row customHeight="1" ht="11.25">
      <c r="A405" s="5144" t="s">
        <v>2177</v>
      </c>
      <c r="B405" s="5144" t="s">
        <v>14</v>
      </c>
      <c r="C405" s="5144" t="s">
        <v>24</v>
      </c>
      <c r="D405" s="5144" t="s">
        <v>2282</v>
      </c>
      <c r="E405" s="5144" t="s">
        <v>2283</v>
      </c>
      <c r="F405" s="5144" t="s">
        <v>2202</v>
      </c>
      <c r="G405" s="5144" t="s">
        <v>24</v>
      </c>
      <c r="H405" s="5144" t="s">
        <v>24</v>
      </c>
      <c r="I405" s="5144" t="s">
        <v>794</v>
      </c>
    </row>
    <row customHeight="1" ht="11.25">
      <c r="A406" s="5144" t="s">
        <v>2177</v>
      </c>
      <c r="B406" s="5144" t="s">
        <v>14</v>
      </c>
      <c r="C406" s="5144" t="s">
        <v>24</v>
      </c>
      <c r="D406" s="5144" t="s">
        <v>2284</v>
      </c>
      <c r="E406" s="5144" t="s">
        <v>2285</v>
      </c>
      <c r="F406" s="5144" t="s">
        <v>2221</v>
      </c>
      <c r="G406" s="5144" t="s">
        <v>24</v>
      </c>
      <c r="H406" s="5144" t="s">
        <v>24</v>
      </c>
      <c r="I406" s="5144" t="s">
        <v>794</v>
      </c>
    </row>
    <row customHeight="1" ht="11.25">
      <c r="A407" s="5144" t="s">
        <v>2177</v>
      </c>
      <c r="B407" s="5144" t="s">
        <v>14</v>
      </c>
      <c r="C407" s="5144" t="s">
        <v>24</v>
      </c>
      <c r="D407" s="5144" t="s">
        <v>2286</v>
      </c>
      <c r="E407" s="5144" t="s">
        <v>2287</v>
      </c>
      <c r="F407" s="5144" t="s">
        <v>2288</v>
      </c>
      <c r="G407" s="5144" t="s">
        <v>24</v>
      </c>
      <c r="H407" s="5144" t="s">
        <v>24</v>
      </c>
      <c r="I407" s="5144" t="s">
        <v>794</v>
      </c>
    </row>
    <row customHeight="1" ht="11.25">
      <c r="A408" s="5144" t="s">
        <v>2177</v>
      </c>
      <c r="B408" s="5144" t="s">
        <v>14</v>
      </c>
      <c r="C408" s="5144" t="s">
        <v>24</v>
      </c>
      <c r="D408" s="5144" t="s">
        <v>2289</v>
      </c>
      <c r="E408" s="5144" t="s">
        <v>2290</v>
      </c>
      <c r="F408" s="5144" t="s">
        <v>2199</v>
      </c>
      <c r="G408" s="5144" t="s">
        <v>24</v>
      </c>
      <c r="H408" s="5144" t="s">
        <v>24</v>
      </c>
      <c r="I408" s="5144" t="s">
        <v>794</v>
      </c>
    </row>
    <row customHeight="1" ht="11.25">
      <c r="A409" s="5144" t="s">
        <v>2177</v>
      </c>
      <c r="B409" s="5144" t="s">
        <v>14</v>
      </c>
      <c r="C409" s="5144" t="s">
        <v>24</v>
      </c>
      <c r="D409" s="5144" t="s">
        <v>2291</v>
      </c>
      <c r="E409" s="5144" t="s">
        <v>2292</v>
      </c>
      <c r="F409" s="5144" t="s">
        <v>2192</v>
      </c>
      <c r="G409" s="5144" t="s">
        <v>24</v>
      </c>
      <c r="H409" s="5144" t="s">
        <v>24</v>
      </c>
      <c r="I409" s="5144" t="s">
        <v>794</v>
      </c>
    </row>
    <row customHeight="1" ht="11.25">
      <c r="A410" s="5144" t="s">
        <v>2177</v>
      </c>
      <c r="B410" s="5144" t="s">
        <v>14</v>
      </c>
      <c r="C410" s="5144" t="s">
        <v>24</v>
      </c>
      <c r="D410" s="5144" t="s">
        <v>2293</v>
      </c>
      <c r="E410" s="5144" t="s">
        <v>2294</v>
      </c>
      <c r="F410" s="5144" t="s">
        <v>2202</v>
      </c>
      <c r="G410" s="5144" t="s">
        <v>24</v>
      </c>
      <c r="H410" s="5144" t="s">
        <v>24</v>
      </c>
      <c r="I410" s="5144" t="s">
        <v>794</v>
      </c>
    </row>
    <row customHeight="1" ht="11.25">
      <c r="A411" s="5144" t="s">
        <v>2177</v>
      </c>
      <c r="B411" s="5144" t="s">
        <v>14</v>
      </c>
      <c r="C411" s="5144" t="s">
        <v>2308</v>
      </c>
      <c r="D411" s="5144" t="s">
        <v>2309</v>
      </c>
      <c r="E411" s="5144" t="s">
        <v>2310</v>
      </c>
      <c r="F411" s="5144" t="s">
        <v>2311</v>
      </c>
      <c r="G411" s="5144" t="s">
        <v>2312</v>
      </c>
      <c r="H411" s="5144" t="s">
        <v>24</v>
      </c>
      <c r="I411" s="5144" t="s">
        <v>794</v>
      </c>
    </row>
    <row customHeight="1" ht="11.25">
      <c r="A412" s="5144" t="s">
        <v>2177</v>
      </c>
      <c r="B412" s="5144" t="s">
        <v>14</v>
      </c>
      <c r="C412" s="5144" t="s">
        <v>2328</v>
      </c>
      <c r="D412" s="5144" t="s">
        <v>2329</v>
      </c>
      <c r="E412" s="5144" t="s">
        <v>2322</v>
      </c>
      <c r="F412" s="5144" t="s">
        <v>2330</v>
      </c>
      <c r="G412" s="5144" t="s">
        <v>2324</v>
      </c>
      <c r="H412" s="5144" t="s">
        <v>24</v>
      </c>
      <c r="I412" s="5144" t="s">
        <v>794</v>
      </c>
    </row>
    <row customHeight="1" ht="11.25">
      <c r="A413" s="5144" t="s">
        <v>2177</v>
      </c>
      <c r="B413" s="5144" t="s">
        <v>14</v>
      </c>
      <c r="C413" s="5144" t="s">
        <v>2344</v>
      </c>
      <c r="D413" s="5144" t="s">
        <v>2345</v>
      </c>
      <c r="E413" s="5144" t="s">
        <v>2346</v>
      </c>
      <c r="F413" s="5144" t="s">
        <v>51</v>
      </c>
      <c r="G413" s="5144" t="s">
        <v>2347</v>
      </c>
      <c r="H413" s="5144" t="s">
        <v>24</v>
      </c>
      <c r="I413" s="5144" t="s">
        <v>794</v>
      </c>
    </row>
    <row customHeight="1" ht="11.25">
      <c r="A414" s="5144" t="s">
        <v>2177</v>
      </c>
      <c r="B414" s="5144" t="s">
        <v>14</v>
      </c>
      <c r="C414" s="5144" t="s">
        <v>2352</v>
      </c>
      <c r="D414" s="5144" t="s">
        <v>2353</v>
      </c>
      <c r="E414" s="5144" t="s">
        <v>2354</v>
      </c>
      <c r="F414" s="5144" t="s">
        <v>2207</v>
      </c>
      <c r="G414" s="5144" t="s">
        <v>2355</v>
      </c>
      <c r="H414" s="5144" t="s">
        <v>24</v>
      </c>
      <c r="I414" s="5144" t="s">
        <v>794</v>
      </c>
    </row>
    <row customHeight="1" ht="11.25">
      <c r="A415" s="5144" t="s">
        <v>2177</v>
      </c>
      <c r="B415" s="5144" t="s">
        <v>14</v>
      </c>
      <c r="C415" s="5144" t="s">
        <v>2361</v>
      </c>
      <c r="D415" s="5144" t="s">
        <v>2362</v>
      </c>
      <c r="E415" s="5144" t="s">
        <v>2363</v>
      </c>
      <c r="F415" s="5144" t="s">
        <v>2364</v>
      </c>
      <c r="G415" s="5144" t="s">
        <v>2365</v>
      </c>
      <c r="H415" s="5144" t="s">
        <v>24</v>
      </c>
      <c r="I415" s="5144" t="s">
        <v>794</v>
      </c>
    </row>
    <row customHeight="1" ht="11.25">
      <c r="A416" s="5144" t="s">
        <v>2177</v>
      </c>
      <c r="B416" s="5144" t="s">
        <v>14</v>
      </c>
      <c r="C416" s="5144" t="s">
        <v>2375</v>
      </c>
      <c r="D416" s="5144" t="s">
        <v>46</v>
      </c>
      <c r="E416" s="5144" t="s">
        <v>49</v>
      </c>
      <c r="F416" s="5144" t="s">
        <v>51</v>
      </c>
      <c r="G416" s="5144" t="s">
        <v>2376</v>
      </c>
      <c r="H416" s="5144" t="s">
        <v>24</v>
      </c>
      <c r="I416" s="5144" t="s">
        <v>794</v>
      </c>
    </row>
    <row customHeight="1" ht="11.25">
      <c r="A417" s="5144" t="s">
        <v>2177</v>
      </c>
      <c r="B417" s="5144" t="s">
        <v>14</v>
      </c>
      <c r="C417" s="5144" t="s">
        <v>2377</v>
      </c>
      <c r="D417" s="5144" t="s">
        <v>2378</v>
      </c>
      <c r="E417" s="5144" t="s">
        <v>2379</v>
      </c>
      <c r="F417" s="5144" t="s">
        <v>2202</v>
      </c>
      <c r="G417" s="5144" t="s">
        <v>24</v>
      </c>
      <c r="H417" s="5144" t="s">
        <v>24</v>
      </c>
      <c r="I417" s="5144" t="s">
        <v>794</v>
      </c>
    </row>
    <row customHeight="1" ht="11.25">
      <c r="A418" s="5144" t="s">
        <v>2177</v>
      </c>
      <c r="B418" s="5144" t="s">
        <v>14</v>
      </c>
      <c r="C418" s="5144" t="s">
        <v>24</v>
      </c>
      <c r="D418" s="5144" t="s">
        <v>2447</v>
      </c>
      <c r="E418" s="5144" t="s">
        <v>2448</v>
      </c>
      <c r="F418" s="5144" t="s">
        <v>2183</v>
      </c>
      <c r="G418" s="5144" t="s">
        <v>24</v>
      </c>
      <c r="H418" s="5144" t="s">
        <v>24</v>
      </c>
      <c r="I418" s="5144" t="s">
        <v>794</v>
      </c>
    </row>
    <row customHeight="1" ht="11.25">
      <c r="A419" s="5144" t="s">
        <v>2177</v>
      </c>
      <c r="B419" s="5144" t="s">
        <v>14</v>
      </c>
      <c r="C419" s="5144" t="s">
        <v>2449</v>
      </c>
      <c r="D419" s="5144" t="s">
        <v>2450</v>
      </c>
      <c r="E419" s="5144" t="s">
        <v>2451</v>
      </c>
      <c r="F419" s="5144" t="s">
        <v>2202</v>
      </c>
      <c r="G419" s="5144" t="s">
        <v>2452</v>
      </c>
      <c r="H419" s="5144" t="s">
        <v>24</v>
      </c>
      <c r="I419" s="5144" t="s">
        <v>794</v>
      </c>
    </row>
    <row customHeight="1" ht="11.25">
      <c r="A420" s="5144" t="s">
        <v>2177</v>
      </c>
      <c r="B420" s="5144" t="s">
        <v>14</v>
      </c>
      <c r="C420" s="5144" t="s">
        <v>24</v>
      </c>
      <c r="D420" s="5144" t="s">
        <v>2453</v>
      </c>
      <c r="E420" s="5144" t="s">
        <v>2454</v>
      </c>
      <c r="F420" s="5144" t="s">
        <v>2231</v>
      </c>
      <c r="G420" s="5144" t="s">
        <v>24</v>
      </c>
      <c r="H420" s="5144" t="s">
        <v>24</v>
      </c>
      <c r="I420" s="5144" t="s">
        <v>794</v>
      </c>
    </row>
    <row customHeight="1" ht="11.25">
      <c r="A421" s="5144" t="s">
        <v>2177</v>
      </c>
      <c r="B421" s="5144" t="s">
        <v>14</v>
      </c>
      <c r="C421" s="5144" t="s">
        <v>2473</v>
      </c>
      <c r="D421" s="5144" t="s">
        <v>2474</v>
      </c>
      <c r="E421" s="5144" t="s">
        <v>2475</v>
      </c>
      <c r="F421" s="5144" t="s">
        <v>2180</v>
      </c>
      <c r="G421" s="5144" t="s">
        <v>2476</v>
      </c>
      <c r="H421" s="5144" t="s">
        <v>24</v>
      </c>
      <c r="I421" s="5144" t="s">
        <v>794</v>
      </c>
    </row>
    <row customHeight="1" ht="11.25">
      <c r="A422" s="5144" t="s">
        <v>2177</v>
      </c>
      <c r="B422" s="5144" t="s">
        <v>14</v>
      </c>
      <c r="C422" s="5144" t="s">
        <v>2477</v>
      </c>
      <c r="D422" s="5144" t="s">
        <v>2478</v>
      </c>
      <c r="E422" s="5144" t="s">
        <v>2479</v>
      </c>
      <c r="F422" s="5144" t="s">
        <v>2252</v>
      </c>
      <c r="G422" s="5144" t="s">
        <v>2480</v>
      </c>
      <c r="H422" s="5144" t="s">
        <v>24</v>
      </c>
      <c r="I422" s="5144" t="s">
        <v>794</v>
      </c>
    </row>
    <row customHeight="1" ht="11.25">
      <c r="A423" s="5144" t="s">
        <v>2177</v>
      </c>
      <c r="B423" s="5144" t="s">
        <v>14</v>
      </c>
      <c r="C423" s="5144" t="s">
        <v>24</v>
      </c>
      <c r="D423" s="5144" t="s">
        <v>2481</v>
      </c>
      <c r="E423" s="5144" t="s">
        <v>2482</v>
      </c>
      <c r="F423" s="5144" t="s">
        <v>2183</v>
      </c>
      <c r="G423" s="5144" t="s">
        <v>24</v>
      </c>
      <c r="H423" s="5144" t="s">
        <v>24</v>
      </c>
      <c r="I423" s="5144" t="s">
        <v>794</v>
      </c>
    </row>
    <row customHeight="1" ht="11.25">
      <c r="A424" s="5144" t="s">
        <v>2177</v>
      </c>
      <c r="B424" s="5144" t="s">
        <v>14</v>
      </c>
      <c r="C424" s="5144" t="s">
        <v>24</v>
      </c>
      <c r="D424" s="5144" t="s">
        <v>2483</v>
      </c>
      <c r="E424" s="5144" t="s">
        <v>2484</v>
      </c>
      <c r="F424" s="5144" t="s">
        <v>2277</v>
      </c>
      <c r="G424" s="5144" t="s">
        <v>24</v>
      </c>
      <c r="H424" s="5144" t="s">
        <v>24</v>
      </c>
      <c r="I424" s="5144" t="s">
        <v>794</v>
      </c>
    </row>
    <row customHeight="1" ht="11.25">
      <c r="A425" s="5144" t="s">
        <v>2177</v>
      </c>
      <c r="B425" s="5144" t="s">
        <v>14</v>
      </c>
      <c r="C425" s="5144" t="s">
        <v>24</v>
      </c>
      <c r="D425" s="5144" t="s">
        <v>2485</v>
      </c>
      <c r="E425" s="5144" t="s">
        <v>2486</v>
      </c>
      <c r="F425" s="5144" t="s">
        <v>2183</v>
      </c>
      <c r="G425" s="5144" t="s">
        <v>24</v>
      </c>
      <c r="H425" s="5144" t="s">
        <v>24</v>
      </c>
      <c r="I425" s="5144" t="s">
        <v>794</v>
      </c>
    </row>
    <row customHeight="1" ht="11.25">
      <c r="A426" s="5144" t="s">
        <v>2177</v>
      </c>
      <c r="B426" s="5144" t="s">
        <v>14</v>
      </c>
      <c r="C426" s="5144" t="s">
        <v>24</v>
      </c>
      <c r="D426" s="5144" t="s">
        <v>2487</v>
      </c>
      <c r="E426" s="5144" t="s">
        <v>2488</v>
      </c>
      <c r="F426" s="5144" t="s">
        <v>2277</v>
      </c>
      <c r="G426" s="5144" t="s">
        <v>24</v>
      </c>
      <c r="H426" s="5144" t="s">
        <v>24</v>
      </c>
      <c r="I426" s="5144" t="s">
        <v>794</v>
      </c>
    </row>
    <row customHeight="1" ht="11.25">
      <c r="A427" s="5144" t="s">
        <v>2177</v>
      </c>
      <c r="B427" s="5144" t="s">
        <v>14</v>
      </c>
      <c r="C427" s="5144" t="s">
        <v>2494</v>
      </c>
      <c r="D427" s="5144" t="s">
        <v>2495</v>
      </c>
      <c r="E427" s="5144" t="s">
        <v>2496</v>
      </c>
      <c r="F427" s="5144" t="s">
        <v>2252</v>
      </c>
      <c r="G427" s="5144" t="s">
        <v>2497</v>
      </c>
      <c r="H427" s="5144" t="s">
        <v>24</v>
      </c>
      <c r="I427" s="5144" t="s">
        <v>794</v>
      </c>
    </row>
    <row customHeight="1" ht="11.25">
      <c r="A428" s="5144" t="s">
        <v>2177</v>
      </c>
      <c r="B428" s="5144" t="s">
        <v>14</v>
      </c>
      <c r="C428" s="5144" t="s">
        <v>2502</v>
      </c>
      <c r="D428" s="5144" t="s">
        <v>2503</v>
      </c>
      <c r="E428" s="5144" t="s">
        <v>2504</v>
      </c>
      <c r="F428" s="5144" t="s">
        <v>2505</v>
      </c>
      <c r="G428" s="5144" t="s">
        <v>2506</v>
      </c>
      <c r="H428" s="5144" t="s">
        <v>24</v>
      </c>
      <c r="I428" s="5144" t="s">
        <v>794</v>
      </c>
    </row>
    <row customHeight="1" ht="11.25">
      <c r="A429" s="5144" t="s">
        <v>2177</v>
      </c>
      <c r="B429" s="5144" t="s">
        <v>14</v>
      </c>
      <c r="C429" s="5144" t="s">
        <v>2522</v>
      </c>
      <c r="D429" s="5144" t="s">
        <v>2523</v>
      </c>
      <c r="E429" s="5144" t="s">
        <v>2524</v>
      </c>
      <c r="F429" s="5144" t="s">
        <v>2202</v>
      </c>
      <c r="G429" s="5144" t="s">
        <v>2525</v>
      </c>
      <c r="H429" s="5144" t="s">
        <v>24</v>
      </c>
      <c r="I429" s="5144" t="s">
        <v>794</v>
      </c>
    </row>
    <row customHeight="1" ht="11.25">
      <c r="A430" s="5144" t="s">
        <v>2177</v>
      </c>
      <c r="B430" s="5144" t="s">
        <v>14</v>
      </c>
      <c r="C430" s="5144" t="s">
        <v>2542</v>
      </c>
      <c r="D430" s="5144" t="s">
        <v>2543</v>
      </c>
      <c r="E430" s="5144" t="s">
        <v>2544</v>
      </c>
      <c r="F430" s="5144" t="s">
        <v>2505</v>
      </c>
      <c r="G430" s="5144" t="s">
        <v>2545</v>
      </c>
      <c r="H430" s="5144" t="s">
        <v>24</v>
      </c>
      <c r="I430" s="5144" t="s">
        <v>794</v>
      </c>
    </row>
    <row customHeight="1" ht="11.25">
      <c r="A431" s="5144" t="s">
        <v>2177</v>
      </c>
      <c r="B431" s="5144" t="s">
        <v>14</v>
      </c>
      <c r="C431" s="5144" t="s">
        <v>2550</v>
      </c>
      <c r="D431" s="5144" t="s">
        <v>2551</v>
      </c>
      <c r="E431" s="5144" t="s">
        <v>2552</v>
      </c>
      <c r="F431" s="5144" t="s">
        <v>2186</v>
      </c>
      <c r="G431" s="5144" t="s">
        <v>2553</v>
      </c>
      <c r="H431" s="5144" t="s">
        <v>24</v>
      </c>
      <c r="I431" s="5144" t="s">
        <v>794</v>
      </c>
    </row>
    <row customHeight="1" ht="11.25">
      <c r="A432" s="5144" t="s">
        <v>2177</v>
      </c>
      <c r="B432" s="5144" t="s">
        <v>14</v>
      </c>
      <c r="C432" s="5144" t="s">
        <v>2583</v>
      </c>
      <c r="D432" s="5144" t="s">
        <v>2584</v>
      </c>
      <c r="E432" s="5144" t="s">
        <v>2585</v>
      </c>
      <c r="F432" s="5144" t="s">
        <v>2231</v>
      </c>
      <c r="G432" s="5144" t="s">
        <v>2586</v>
      </c>
      <c r="H432" s="5144" t="s">
        <v>24</v>
      </c>
      <c r="I432" s="5144" t="s">
        <v>794</v>
      </c>
    </row>
    <row customHeight="1" ht="11.25">
      <c r="A433" s="5144" t="s">
        <v>2177</v>
      </c>
      <c r="B433" s="5144" t="s">
        <v>14</v>
      </c>
      <c r="C433" s="5144" t="s">
        <v>2587</v>
      </c>
      <c r="D433" s="5144" t="s">
        <v>2588</v>
      </c>
      <c r="E433" s="5144" t="s">
        <v>2589</v>
      </c>
      <c r="F433" s="5144" t="s">
        <v>2505</v>
      </c>
      <c r="G433" s="5144" t="s">
        <v>2590</v>
      </c>
      <c r="H433" s="5144" t="s">
        <v>24</v>
      </c>
      <c r="I433" s="5144" t="s">
        <v>794</v>
      </c>
    </row>
    <row customHeight="1" ht="11.25">
      <c r="A434" s="5144" t="s">
        <v>2177</v>
      </c>
      <c r="B434" s="5144" t="s">
        <v>14</v>
      </c>
      <c r="C434" s="5144" t="s">
        <v>2591</v>
      </c>
      <c r="D434" s="5144" t="s">
        <v>2592</v>
      </c>
      <c r="E434" s="5144" t="s">
        <v>2593</v>
      </c>
      <c r="F434" s="5144" t="s">
        <v>2192</v>
      </c>
      <c r="G434" s="5144" t="s">
        <v>2594</v>
      </c>
      <c r="H434" s="5144" t="s">
        <v>24</v>
      </c>
      <c r="I434" s="5144" t="s">
        <v>794</v>
      </c>
    </row>
    <row customHeight="1" ht="11.25">
      <c r="A435" s="5144" t="s">
        <v>2177</v>
      </c>
      <c r="B435" s="5144" t="s">
        <v>14</v>
      </c>
      <c r="C435" s="5144" t="s">
        <v>2605</v>
      </c>
      <c r="D435" s="5144" t="s">
        <v>2606</v>
      </c>
      <c r="E435" s="5144" t="s">
        <v>2607</v>
      </c>
      <c r="F435" s="5144" t="s">
        <v>2252</v>
      </c>
      <c r="G435" s="5144" t="s">
        <v>2608</v>
      </c>
      <c r="H435" s="5144" t="s">
        <v>24</v>
      </c>
      <c r="I435" s="5144" t="s">
        <v>794</v>
      </c>
    </row>
    <row customHeight="1" ht="11.25">
      <c r="A436" s="5144" t="s">
        <v>2177</v>
      </c>
      <c r="B436" s="5144" t="s">
        <v>14</v>
      </c>
      <c r="C436" s="5144" t="s">
        <v>2609</v>
      </c>
      <c r="D436" s="5144" t="s">
        <v>2610</v>
      </c>
      <c r="E436" s="5144" t="s">
        <v>2611</v>
      </c>
      <c r="F436" s="5144" t="s">
        <v>2505</v>
      </c>
      <c r="G436" s="5144" t="s">
        <v>2612</v>
      </c>
      <c r="H436" s="5144" t="s">
        <v>2613</v>
      </c>
      <c r="I436" s="5144" t="s">
        <v>794</v>
      </c>
    </row>
    <row customHeight="1" ht="11.25">
      <c r="A437" s="5144" t="s">
        <v>2177</v>
      </c>
      <c r="B437" s="5144" t="s">
        <v>14</v>
      </c>
      <c r="C437" s="5144" t="s">
        <v>2614</v>
      </c>
      <c r="D437" s="5144" t="s">
        <v>2615</v>
      </c>
      <c r="E437" s="5144" t="s">
        <v>2616</v>
      </c>
      <c r="F437" s="5144" t="s">
        <v>2505</v>
      </c>
      <c r="G437" s="5144" t="s">
        <v>2617</v>
      </c>
      <c r="H437" s="5144" t="s">
        <v>24</v>
      </c>
      <c r="I437" s="5144" t="s">
        <v>794</v>
      </c>
    </row>
    <row customHeight="1" ht="11.25">
      <c r="A438" s="5144" t="s">
        <v>2177</v>
      </c>
      <c r="B438" s="5144" t="s">
        <v>14</v>
      </c>
      <c r="C438" s="5144" t="s">
        <v>2618</v>
      </c>
      <c r="D438" s="5144" t="s">
        <v>2619</v>
      </c>
      <c r="E438" s="5144" t="s">
        <v>2620</v>
      </c>
      <c r="F438" s="5144" t="s">
        <v>2505</v>
      </c>
      <c r="G438" s="5144" t="s">
        <v>2621</v>
      </c>
      <c r="H438" s="5144" t="s">
        <v>24</v>
      </c>
      <c r="I438" s="5144" t="s">
        <v>794</v>
      </c>
    </row>
    <row customHeight="1" ht="11.25">
      <c r="A439" s="5144" t="s">
        <v>2177</v>
      </c>
      <c r="B439" s="5144" t="s">
        <v>14</v>
      </c>
      <c r="C439" s="5144" t="s">
        <v>2633</v>
      </c>
      <c r="D439" s="5144" t="s">
        <v>2634</v>
      </c>
      <c r="E439" s="5144" t="s">
        <v>2635</v>
      </c>
      <c r="F439" s="5144" t="s">
        <v>2231</v>
      </c>
      <c r="G439" s="5144" t="s">
        <v>24</v>
      </c>
      <c r="H439" s="5144" t="s">
        <v>24</v>
      </c>
      <c r="I439" s="5144" t="s">
        <v>794</v>
      </c>
    </row>
    <row customHeight="1" ht="11.25">
      <c r="A440" s="5144" t="s">
        <v>2177</v>
      </c>
      <c r="B440" s="5144" t="s">
        <v>14</v>
      </c>
      <c r="C440" s="5144" t="s">
        <v>2647</v>
      </c>
      <c r="D440" s="5144" t="s">
        <v>2648</v>
      </c>
      <c r="E440" s="5144" t="s">
        <v>2649</v>
      </c>
      <c r="F440" s="5144" t="s">
        <v>2186</v>
      </c>
      <c r="G440" s="5144" t="s">
        <v>2650</v>
      </c>
      <c r="H440" s="5144" t="s">
        <v>24</v>
      </c>
      <c r="I440" s="5144" t="s">
        <v>794</v>
      </c>
    </row>
    <row customHeight="1" ht="11.25">
      <c r="A441" s="5144" t="s">
        <v>2177</v>
      </c>
      <c r="B441" s="5144" t="s">
        <v>14</v>
      </c>
      <c r="C441" s="5144" t="s">
        <v>2651</v>
      </c>
      <c r="D441" s="5144" t="s">
        <v>2652</v>
      </c>
      <c r="E441" s="5144" t="s">
        <v>2653</v>
      </c>
      <c r="F441" s="5144" t="s">
        <v>2186</v>
      </c>
      <c r="G441" s="5144" t="s">
        <v>2654</v>
      </c>
      <c r="H441" s="5144" t="s">
        <v>24</v>
      </c>
      <c r="I441" s="5144" t="s">
        <v>794</v>
      </c>
    </row>
    <row customHeight="1" ht="11.25">
      <c r="A442" s="5144" t="s">
        <v>2177</v>
      </c>
      <c r="B442" s="5144" t="s">
        <v>14</v>
      </c>
      <c r="C442" s="5144" t="s">
        <v>2655</v>
      </c>
      <c r="D442" s="5144" t="s">
        <v>2656</v>
      </c>
      <c r="E442" s="5144" t="s">
        <v>2657</v>
      </c>
      <c r="F442" s="5144" t="s">
        <v>2231</v>
      </c>
      <c r="G442" s="5144" t="s">
        <v>2658</v>
      </c>
      <c r="H442" s="5144" t="s">
        <v>24</v>
      </c>
      <c r="I442" s="5144" t="s">
        <v>794</v>
      </c>
    </row>
    <row customHeight="1" ht="11.25">
      <c r="A443" s="5144" t="s">
        <v>2177</v>
      </c>
      <c r="B443" s="5144" t="s">
        <v>14</v>
      </c>
      <c r="C443" s="5144" t="s">
        <v>2659</v>
      </c>
      <c r="D443" s="5144" t="s">
        <v>2660</v>
      </c>
      <c r="E443" s="5144" t="s">
        <v>2661</v>
      </c>
      <c r="F443" s="5144" t="s">
        <v>2252</v>
      </c>
      <c r="G443" s="5144" t="s">
        <v>2662</v>
      </c>
      <c r="H443" s="5144" t="s">
        <v>24</v>
      </c>
      <c r="I443" s="5144" t="s">
        <v>794</v>
      </c>
    </row>
    <row customHeight="1" ht="11.25">
      <c r="A444" s="5144" t="s">
        <v>2177</v>
      </c>
      <c r="B444" s="5144" t="s">
        <v>14</v>
      </c>
      <c r="C444" s="5144" t="s">
        <v>2663</v>
      </c>
      <c r="D444" s="5144" t="s">
        <v>2664</v>
      </c>
      <c r="E444" s="5144" t="s">
        <v>2665</v>
      </c>
      <c r="F444" s="5144" t="s">
        <v>2231</v>
      </c>
      <c r="G444" s="5144" t="s">
        <v>24</v>
      </c>
      <c r="H444" s="5144" t="s">
        <v>24</v>
      </c>
      <c r="I444" s="5144" t="s">
        <v>794</v>
      </c>
    </row>
    <row customHeight="1" ht="11.25">
      <c r="A445" s="5144" t="s">
        <v>2177</v>
      </c>
      <c r="B445" s="5144" t="s">
        <v>14</v>
      </c>
      <c r="C445" s="5144" t="s">
        <v>2670</v>
      </c>
      <c r="D445" s="5144" t="s">
        <v>2671</v>
      </c>
      <c r="E445" s="5144" t="s">
        <v>2672</v>
      </c>
      <c r="F445" s="5144" t="s">
        <v>2673</v>
      </c>
      <c r="G445" s="5144" t="s">
        <v>2674</v>
      </c>
      <c r="H445" s="5144" t="s">
        <v>24</v>
      </c>
      <c r="I445" s="5144" t="s">
        <v>794</v>
      </c>
    </row>
    <row customHeight="1" ht="11.25">
      <c r="A446" s="5144" t="s">
        <v>2177</v>
      </c>
      <c r="B446" s="5144" t="s">
        <v>14</v>
      </c>
      <c r="C446" s="5144" t="s">
        <v>2675</v>
      </c>
      <c r="D446" s="5144" t="s">
        <v>2676</v>
      </c>
      <c r="E446" s="5144" t="s">
        <v>2677</v>
      </c>
      <c r="F446" s="5144" t="s">
        <v>2226</v>
      </c>
      <c r="G446" s="5144" t="s">
        <v>2678</v>
      </c>
      <c r="H446" s="5144" t="s">
        <v>24</v>
      </c>
      <c r="I446" s="5144" t="s">
        <v>794</v>
      </c>
    </row>
    <row customHeight="1" ht="11.25">
      <c r="A447" s="5144" t="s">
        <v>2177</v>
      </c>
      <c r="B447" s="5144" t="s">
        <v>14</v>
      </c>
      <c r="C447" s="5144" t="s">
        <v>2683</v>
      </c>
      <c r="D447" s="5144" t="s">
        <v>2684</v>
      </c>
      <c r="E447" s="5144" t="s">
        <v>2685</v>
      </c>
      <c r="F447" s="5144" t="s">
        <v>2231</v>
      </c>
      <c r="G447" s="5144" t="s">
        <v>2686</v>
      </c>
      <c r="H447" s="5144" t="s">
        <v>24</v>
      </c>
      <c r="I447" s="5144" t="s">
        <v>794</v>
      </c>
    </row>
    <row customHeight="1" ht="11.25">
      <c r="A448" s="5144" t="s">
        <v>2177</v>
      </c>
      <c r="B448" s="5144" t="s">
        <v>14</v>
      </c>
      <c r="C448" s="5144" t="s">
        <v>2687</v>
      </c>
      <c r="D448" s="5144" t="s">
        <v>2688</v>
      </c>
      <c r="E448" s="5144" t="s">
        <v>2689</v>
      </c>
      <c r="F448" s="5144" t="s">
        <v>2252</v>
      </c>
      <c r="G448" s="5144" t="s">
        <v>2613</v>
      </c>
      <c r="H448" s="5144" t="s">
        <v>24</v>
      </c>
      <c r="I448" s="5144" t="s">
        <v>794</v>
      </c>
    </row>
    <row customHeight="1" ht="11.25">
      <c r="A449" s="5144" t="s">
        <v>2177</v>
      </c>
      <c r="B449" s="5144" t="s">
        <v>14</v>
      </c>
      <c r="C449" s="5144" t="s">
        <v>2690</v>
      </c>
      <c r="D449" s="5144" t="s">
        <v>2688</v>
      </c>
      <c r="E449" s="5144" t="s">
        <v>2691</v>
      </c>
      <c r="F449" s="5144" t="s">
        <v>2505</v>
      </c>
      <c r="G449" s="5144" t="s">
        <v>2692</v>
      </c>
      <c r="H449" s="5144" t="s">
        <v>24</v>
      </c>
      <c r="I449" s="5144" t="s">
        <v>794</v>
      </c>
    </row>
    <row customHeight="1" ht="11.25">
      <c r="A450" s="5144" t="s">
        <v>2177</v>
      </c>
      <c r="B450" s="5144" t="s">
        <v>14</v>
      </c>
      <c r="C450" s="5144" t="s">
        <v>2693</v>
      </c>
      <c r="D450" s="5144" t="s">
        <v>2694</v>
      </c>
      <c r="E450" s="5144" t="s">
        <v>2695</v>
      </c>
      <c r="F450" s="5144" t="s">
        <v>2180</v>
      </c>
      <c r="G450" s="5144" t="s">
        <v>2696</v>
      </c>
      <c r="H450" s="5144" t="s">
        <v>2697</v>
      </c>
      <c r="I450" s="5144" t="s">
        <v>794</v>
      </c>
    </row>
    <row customHeight="1" ht="11.25">
      <c r="A451" s="5144" t="s">
        <v>2177</v>
      </c>
      <c r="B451" s="5144" t="s">
        <v>14</v>
      </c>
      <c r="C451" s="5144" t="s">
        <v>2719</v>
      </c>
      <c r="D451" s="5144" t="s">
        <v>2720</v>
      </c>
      <c r="E451" s="5144" t="s">
        <v>2721</v>
      </c>
      <c r="F451" s="5144" t="s">
        <v>2207</v>
      </c>
      <c r="G451" s="5144" t="s">
        <v>2722</v>
      </c>
      <c r="H451" s="5144" t="s">
        <v>24</v>
      </c>
      <c r="I451" s="5144" t="s">
        <v>794</v>
      </c>
    </row>
    <row customHeight="1" ht="11.25">
      <c r="A452" s="5144" t="s">
        <v>2177</v>
      </c>
      <c r="B452" s="5144" t="s">
        <v>14</v>
      </c>
      <c r="C452" s="5144" t="s">
        <v>2727</v>
      </c>
      <c r="D452" s="5144" t="s">
        <v>2728</v>
      </c>
      <c r="E452" s="5144" t="s">
        <v>2729</v>
      </c>
      <c r="F452" s="5144" t="s">
        <v>2467</v>
      </c>
      <c r="G452" s="5144" t="s">
        <v>24</v>
      </c>
      <c r="H452" s="5144" t="s">
        <v>24</v>
      </c>
      <c r="I452" s="5144" t="s">
        <v>794</v>
      </c>
    </row>
    <row customHeight="1" ht="11.25">
      <c r="A453" s="5144" t="s">
        <v>2177</v>
      </c>
      <c r="B453" s="5144" t="s">
        <v>14</v>
      </c>
      <c r="C453" s="5144" t="s">
        <v>2751</v>
      </c>
      <c r="D453" s="5144" t="s">
        <v>2752</v>
      </c>
      <c r="E453" s="5144" t="s">
        <v>2753</v>
      </c>
      <c r="F453" s="5144" t="s">
        <v>2520</v>
      </c>
      <c r="G453" s="5144" t="s">
        <v>2754</v>
      </c>
      <c r="H453" s="5144" t="s">
        <v>24</v>
      </c>
      <c r="I453" s="5144" t="s">
        <v>794</v>
      </c>
    </row>
    <row customHeight="1" ht="11.25">
      <c r="A454" s="5144" t="s">
        <v>2177</v>
      </c>
      <c r="B454" s="5144" t="s">
        <v>14</v>
      </c>
      <c r="C454" s="5144" t="s">
        <v>3508</v>
      </c>
      <c r="D454" s="5144" t="s">
        <v>3509</v>
      </c>
      <c r="E454" s="5144" t="s">
        <v>2363</v>
      </c>
      <c r="F454" s="5144" t="s">
        <v>3510</v>
      </c>
      <c r="G454" s="5144" t="s">
        <v>2365</v>
      </c>
      <c r="H454" s="5144" t="s">
        <v>24</v>
      </c>
      <c r="I454" s="5144" t="s">
        <v>794</v>
      </c>
    </row>
    <row customHeight="1" ht="11.25">
      <c r="A455" s="5144" t="s">
        <v>2177</v>
      </c>
      <c r="B455" s="5144" t="s">
        <v>14</v>
      </c>
      <c r="C455" s="5144" t="s">
        <v>2759</v>
      </c>
      <c r="D455" s="5144" t="s">
        <v>2760</v>
      </c>
      <c r="E455" s="5144" t="s">
        <v>2761</v>
      </c>
      <c r="F455" s="5144" t="s">
        <v>2505</v>
      </c>
      <c r="G455" s="5144" t="s">
        <v>2762</v>
      </c>
      <c r="H455" s="5144" t="s">
        <v>24</v>
      </c>
      <c r="I455" s="5144" t="s">
        <v>794</v>
      </c>
    </row>
    <row customHeight="1" ht="11.25">
      <c r="A456" s="5144" t="s">
        <v>2177</v>
      </c>
      <c r="B456" s="5144" t="s">
        <v>14</v>
      </c>
      <c r="C456" s="5144" t="s">
        <v>2797</v>
      </c>
      <c r="D456" s="5144" t="s">
        <v>2798</v>
      </c>
      <c r="E456" s="5144" t="s">
        <v>2799</v>
      </c>
      <c r="F456" s="5144" t="s">
        <v>2673</v>
      </c>
      <c r="G456" s="5144" t="s">
        <v>2800</v>
      </c>
      <c r="H456" s="5144" t="s">
        <v>24</v>
      </c>
      <c r="I456" s="5144" t="s">
        <v>794</v>
      </c>
    </row>
    <row customHeight="1" ht="11.25">
      <c r="A457" s="5144" t="s">
        <v>2177</v>
      </c>
      <c r="B457" s="5144" t="s">
        <v>14</v>
      </c>
      <c r="C457" s="5144" t="s">
        <v>2801</v>
      </c>
      <c r="D457" s="5144" t="s">
        <v>2798</v>
      </c>
      <c r="E457" s="5144" t="s">
        <v>2799</v>
      </c>
      <c r="F457" s="5144" t="s">
        <v>2802</v>
      </c>
      <c r="G457" s="5144" t="s">
        <v>2800</v>
      </c>
      <c r="H457" s="5144" t="s">
        <v>24</v>
      </c>
      <c r="I457" s="5144" t="s">
        <v>794</v>
      </c>
    </row>
    <row customHeight="1" ht="11.25">
      <c r="A458" s="5144" t="s">
        <v>2177</v>
      </c>
      <c r="B458" s="5144" t="s">
        <v>14</v>
      </c>
      <c r="C458" s="5144" t="s">
        <v>2803</v>
      </c>
      <c r="D458" s="5144" t="s">
        <v>2804</v>
      </c>
      <c r="E458" s="5144" t="s">
        <v>2805</v>
      </c>
      <c r="F458" s="5144" t="s">
        <v>2467</v>
      </c>
      <c r="G458" s="5144" t="s">
        <v>2806</v>
      </c>
      <c r="H458" s="5144" t="s">
        <v>24</v>
      </c>
      <c r="I458" s="5144" t="s">
        <v>794</v>
      </c>
    </row>
    <row customHeight="1" ht="11.25">
      <c r="A459" s="5144" t="s">
        <v>2177</v>
      </c>
      <c r="B459" s="5144" t="s">
        <v>14</v>
      </c>
      <c r="C459" s="5144" t="s">
        <v>2812</v>
      </c>
      <c r="D459" s="5144" t="s">
        <v>2813</v>
      </c>
      <c r="E459" s="5144" t="s">
        <v>2814</v>
      </c>
      <c r="F459" s="5144" t="s">
        <v>2252</v>
      </c>
      <c r="G459" s="5144" t="s">
        <v>24</v>
      </c>
      <c r="H459" s="5144" t="s">
        <v>24</v>
      </c>
      <c r="I459" s="5144" t="s">
        <v>794</v>
      </c>
    </row>
    <row customHeight="1" ht="11.25">
      <c r="A460" s="5144" t="s">
        <v>2177</v>
      </c>
      <c r="B460" s="5144" t="s">
        <v>14</v>
      </c>
      <c r="C460" s="5144" t="s">
        <v>2820</v>
      </c>
      <c r="D460" s="5144" t="s">
        <v>2821</v>
      </c>
      <c r="E460" s="5144" t="s">
        <v>2822</v>
      </c>
      <c r="F460" s="5144" t="s">
        <v>2467</v>
      </c>
      <c r="G460" s="5144" t="s">
        <v>2823</v>
      </c>
      <c r="H460" s="5144" t="s">
        <v>24</v>
      </c>
      <c r="I460" s="5144" t="s">
        <v>794</v>
      </c>
    </row>
    <row customHeight="1" ht="11.25">
      <c r="A461" s="5144" t="s">
        <v>2177</v>
      </c>
      <c r="B461" s="5144" t="s">
        <v>14</v>
      </c>
      <c r="C461" s="5144" t="s">
        <v>2832</v>
      </c>
      <c r="D461" s="5144" t="s">
        <v>2833</v>
      </c>
      <c r="E461" s="5144" t="s">
        <v>2834</v>
      </c>
      <c r="F461" s="5144" t="s">
        <v>2288</v>
      </c>
      <c r="G461" s="5144" t="s">
        <v>2835</v>
      </c>
      <c r="H461" s="5144" t="s">
        <v>24</v>
      </c>
      <c r="I461" s="5144" t="s">
        <v>794</v>
      </c>
    </row>
    <row customHeight="1" ht="11.25">
      <c r="A462" s="5144" t="s">
        <v>2177</v>
      </c>
      <c r="B462" s="5144" t="s">
        <v>14</v>
      </c>
      <c r="C462" s="5144" t="s">
        <v>2840</v>
      </c>
      <c r="D462" s="5144" t="s">
        <v>2841</v>
      </c>
      <c r="E462" s="5144" t="s">
        <v>2842</v>
      </c>
      <c r="F462" s="5144" t="s">
        <v>2207</v>
      </c>
      <c r="G462" s="5144" t="s">
        <v>24</v>
      </c>
      <c r="H462" s="5144" t="s">
        <v>24</v>
      </c>
      <c r="I462" s="5144" t="s">
        <v>794</v>
      </c>
    </row>
    <row customHeight="1" ht="11.25">
      <c r="A463" s="5144" t="s">
        <v>2177</v>
      </c>
      <c r="B463" s="5144" t="s">
        <v>14</v>
      </c>
      <c r="C463" s="5144" t="s">
        <v>2843</v>
      </c>
      <c r="D463" s="5144" t="s">
        <v>2844</v>
      </c>
      <c r="E463" s="5144" t="s">
        <v>2845</v>
      </c>
      <c r="F463" s="5144" t="s">
        <v>51</v>
      </c>
      <c r="G463" s="5144" t="s">
        <v>2846</v>
      </c>
      <c r="H463" s="5144" t="s">
        <v>24</v>
      </c>
      <c r="I463" s="5144" t="s">
        <v>794</v>
      </c>
    </row>
    <row customHeight="1" ht="11.25">
      <c r="A464" s="5144" t="s">
        <v>2177</v>
      </c>
      <c r="B464" s="5144" t="s">
        <v>14</v>
      </c>
      <c r="C464" s="5144" t="s">
        <v>2847</v>
      </c>
      <c r="D464" s="5144" t="s">
        <v>2848</v>
      </c>
      <c r="E464" s="5144" t="s">
        <v>2849</v>
      </c>
      <c r="F464" s="5144" t="s">
        <v>2226</v>
      </c>
      <c r="G464" s="5144" t="s">
        <v>2850</v>
      </c>
      <c r="H464" s="5144" t="s">
        <v>24</v>
      </c>
      <c r="I464" s="5144" t="s">
        <v>794</v>
      </c>
    </row>
    <row customHeight="1" ht="11.25">
      <c r="A465" s="5144" t="s">
        <v>2177</v>
      </c>
      <c r="B465" s="5144" t="s">
        <v>14</v>
      </c>
      <c r="C465" s="5144" t="s">
        <v>2855</v>
      </c>
      <c r="D465" s="5144" t="s">
        <v>2856</v>
      </c>
      <c r="E465" s="5144" t="s">
        <v>2857</v>
      </c>
      <c r="F465" s="5144" t="s">
        <v>2202</v>
      </c>
      <c r="G465" s="5144" t="s">
        <v>2858</v>
      </c>
      <c r="H465" s="5144" t="s">
        <v>24</v>
      </c>
      <c r="I465" s="5144" t="s">
        <v>794</v>
      </c>
    </row>
    <row customHeight="1" ht="11.25">
      <c r="A466" s="5144" t="s">
        <v>2177</v>
      </c>
      <c r="B466" s="5144" t="s">
        <v>14</v>
      </c>
      <c r="C466" s="5144" t="s">
        <v>2863</v>
      </c>
      <c r="D466" s="5144" t="s">
        <v>2864</v>
      </c>
      <c r="E466" s="5144" t="s">
        <v>2865</v>
      </c>
      <c r="F466" s="5144" t="s">
        <v>2189</v>
      </c>
      <c r="G466" s="5144" t="s">
        <v>2866</v>
      </c>
      <c r="H466" s="5144" t="s">
        <v>24</v>
      </c>
      <c r="I466" s="5144" t="s">
        <v>794</v>
      </c>
    </row>
    <row customHeight="1" ht="11.25">
      <c r="A467" s="5144" t="s">
        <v>2177</v>
      </c>
      <c r="B467" s="5144" t="s">
        <v>14</v>
      </c>
      <c r="C467" s="5144" t="s">
        <v>2887</v>
      </c>
      <c r="D467" s="5144" t="s">
        <v>2888</v>
      </c>
      <c r="E467" s="5144" t="s">
        <v>2889</v>
      </c>
      <c r="F467" s="5144" t="s">
        <v>2520</v>
      </c>
      <c r="G467" s="5144" t="s">
        <v>24</v>
      </c>
      <c r="H467" s="5144" t="s">
        <v>24</v>
      </c>
      <c r="I467" s="5144" t="s">
        <v>794</v>
      </c>
    </row>
    <row customHeight="1" ht="11.25">
      <c r="A468" s="5144" t="s">
        <v>2177</v>
      </c>
      <c r="B468" s="5144" t="s">
        <v>14</v>
      </c>
      <c r="C468" s="5144" t="s">
        <v>2890</v>
      </c>
      <c r="D468" s="5144" t="s">
        <v>2888</v>
      </c>
      <c r="E468" s="5144" t="s">
        <v>2891</v>
      </c>
      <c r="F468" s="5144" t="s">
        <v>2231</v>
      </c>
      <c r="G468" s="5144" t="s">
        <v>2892</v>
      </c>
      <c r="H468" s="5144" t="s">
        <v>24</v>
      </c>
      <c r="I468" s="5144" t="s">
        <v>794</v>
      </c>
    </row>
    <row customHeight="1" ht="11.25">
      <c r="A469" s="5144" t="s">
        <v>2177</v>
      </c>
      <c r="B469" s="5144" t="s">
        <v>14</v>
      </c>
      <c r="C469" s="5144" t="s">
        <v>2893</v>
      </c>
      <c r="D469" s="5144" t="s">
        <v>2894</v>
      </c>
      <c r="E469" s="5144" t="s">
        <v>2895</v>
      </c>
      <c r="F469" s="5144" t="s">
        <v>2207</v>
      </c>
      <c r="G469" s="5144" t="s">
        <v>2896</v>
      </c>
      <c r="H469" s="5144" t="s">
        <v>2897</v>
      </c>
      <c r="I469" s="5144" t="s">
        <v>794</v>
      </c>
    </row>
    <row customHeight="1" ht="11.25">
      <c r="A470" s="5144" t="s">
        <v>2177</v>
      </c>
      <c r="B470" s="5144" t="s">
        <v>14</v>
      </c>
      <c r="C470" s="5144" t="s">
        <v>2898</v>
      </c>
      <c r="D470" s="5144" t="s">
        <v>2899</v>
      </c>
      <c r="E470" s="5144" t="s">
        <v>2900</v>
      </c>
      <c r="F470" s="5144" t="s">
        <v>2192</v>
      </c>
      <c r="G470" s="5144" t="s">
        <v>2901</v>
      </c>
      <c r="H470" s="5144" t="s">
        <v>2902</v>
      </c>
      <c r="I470" s="5144" t="s">
        <v>794</v>
      </c>
    </row>
    <row customHeight="1" ht="11.25">
      <c r="A471" s="5144" t="s">
        <v>2177</v>
      </c>
      <c r="B471" s="5144" t="s">
        <v>14</v>
      </c>
      <c r="C471" s="5144" t="s">
        <v>2914</v>
      </c>
      <c r="D471" s="5144" t="s">
        <v>2915</v>
      </c>
      <c r="E471" s="5144" t="s">
        <v>2916</v>
      </c>
      <c r="F471" s="5144" t="s">
        <v>2202</v>
      </c>
      <c r="G471" s="5144" t="s">
        <v>2917</v>
      </c>
      <c r="H471" s="5144" t="s">
        <v>24</v>
      </c>
      <c r="I471" s="5144" t="s">
        <v>794</v>
      </c>
    </row>
    <row customHeight="1" ht="11.25">
      <c r="A472" s="5144" t="s">
        <v>2177</v>
      </c>
      <c r="B472" s="5144" t="s">
        <v>14</v>
      </c>
      <c r="C472" s="5144" t="s">
        <v>2929</v>
      </c>
      <c r="D472" s="5144" t="s">
        <v>2930</v>
      </c>
      <c r="E472" s="5144" t="s">
        <v>2931</v>
      </c>
      <c r="F472" s="5144" t="s">
        <v>2202</v>
      </c>
      <c r="G472" s="5144" t="s">
        <v>2932</v>
      </c>
      <c r="H472" s="5144" t="s">
        <v>24</v>
      </c>
      <c r="I472" s="5144" t="s">
        <v>794</v>
      </c>
    </row>
    <row customHeight="1" ht="11.25">
      <c r="A473" s="5144" t="s">
        <v>2177</v>
      </c>
      <c r="B473" s="5144" t="s">
        <v>14</v>
      </c>
      <c r="C473" s="5144" t="s">
        <v>2936</v>
      </c>
      <c r="D473" s="5144" t="s">
        <v>2937</v>
      </c>
      <c r="E473" s="5144" t="s">
        <v>2938</v>
      </c>
      <c r="F473" s="5144" t="s">
        <v>51</v>
      </c>
      <c r="G473" s="5144" t="s">
        <v>24</v>
      </c>
      <c r="H473" s="5144" t="s">
        <v>24</v>
      </c>
      <c r="I473" s="5144" t="s">
        <v>794</v>
      </c>
    </row>
    <row customHeight="1" ht="11.25">
      <c r="A474" s="5144" t="s">
        <v>2177</v>
      </c>
      <c r="B474" s="5144" t="s">
        <v>14</v>
      </c>
      <c r="C474" s="5144" t="s">
        <v>2939</v>
      </c>
      <c r="D474" s="5144" t="s">
        <v>2940</v>
      </c>
      <c r="E474" s="5144" t="s">
        <v>2941</v>
      </c>
      <c r="F474" s="5144" t="s">
        <v>51</v>
      </c>
      <c r="G474" s="5144" t="s">
        <v>24</v>
      </c>
      <c r="H474" s="5144" t="s">
        <v>24</v>
      </c>
      <c r="I474" s="5144" t="s">
        <v>794</v>
      </c>
    </row>
    <row customHeight="1" ht="11.25">
      <c r="A475" s="5144" t="s">
        <v>2177</v>
      </c>
      <c r="B475" s="5144" t="s">
        <v>14</v>
      </c>
      <c r="C475" s="5144" t="s">
        <v>2946</v>
      </c>
      <c r="D475" s="5144" t="s">
        <v>2947</v>
      </c>
      <c r="E475" s="5144" t="s">
        <v>2948</v>
      </c>
      <c r="F475" s="5144" t="s">
        <v>2467</v>
      </c>
      <c r="G475" s="5144" t="s">
        <v>2949</v>
      </c>
      <c r="H475" s="5144" t="s">
        <v>24</v>
      </c>
      <c r="I475" s="5144" t="s">
        <v>794</v>
      </c>
    </row>
    <row customHeight="1" ht="11.25">
      <c r="A476" s="5144" t="s">
        <v>2177</v>
      </c>
      <c r="B476" s="5144" t="s">
        <v>14</v>
      </c>
      <c r="C476" s="5144" t="s">
        <v>2955</v>
      </c>
      <c r="D476" s="5144" t="s">
        <v>2956</v>
      </c>
      <c r="E476" s="5144" t="s">
        <v>2957</v>
      </c>
      <c r="F476" s="5144" t="s">
        <v>2226</v>
      </c>
      <c r="G476" s="5144" t="s">
        <v>2958</v>
      </c>
      <c r="H476" s="5144" t="s">
        <v>24</v>
      </c>
      <c r="I476" s="5144" t="s">
        <v>794</v>
      </c>
    </row>
    <row customHeight="1" ht="11.25">
      <c r="A477" s="5144" t="s">
        <v>2177</v>
      </c>
      <c r="B477" s="5144" t="s">
        <v>14</v>
      </c>
      <c r="C477" s="5144" t="s">
        <v>2963</v>
      </c>
      <c r="D477" s="5144" t="s">
        <v>2964</v>
      </c>
      <c r="E477" s="5144" t="s">
        <v>2965</v>
      </c>
      <c r="F477" s="5144" t="s">
        <v>2183</v>
      </c>
      <c r="G477" s="5144" t="s">
        <v>2966</v>
      </c>
      <c r="H477" s="5144" t="s">
        <v>24</v>
      </c>
      <c r="I477" s="5144" t="s">
        <v>794</v>
      </c>
    </row>
    <row customHeight="1" ht="11.25">
      <c r="A478" s="5144" t="s">
        <v>2177</v>
      </c>
      <c r="B478" s="5144" t="s">
        <v>14</v>
      </c>
      <c r="C478" s="5144" t="s">
        <v>2967</v>
      </c>
      <c r="D478" s="5144" t="s">
        <v>2968</v>
      </c>
      <c r="E478" s="5144" t="s">
        <v>2969</v>
      </c>
      <c r="F478" s="5144" t="s">
        <v>2970</v>
      </c>
      <c r="G478" s="5144" t="s">
        <v>24</v>
      </c>
      <c r="H478" s="5144" t="s">
        <v>2971</v>
      </c>
      <c r="I478" s="5144" t="s">
        <v>794</v>
      </c>
    </row>
    <row customHeight="1" ht="11.25">
      <c r="A479" s="5144" t="s">
        <v>2177</v>
      </c>
      <c r="B479" s="5144" t="s">
        <v>14</v>
      </c>
      <c r="C479" s="5144" t="s">
        <v>2976</v>
      </c>
      <c r="D479" s="5144" t="s">
        <v>2977</v>
      </c>
      <c r="E479" s="5144" t="s">
        <v>2978</v>
      </c>
      <c r="F479" s="5144" t="s">
        <v>2202</v>
      </c>
      <c r="G479" s="5144" t="s">
        <v>2979</v>
      </c>
      <c r="H479" s="5144" t="s">
        <v>24</v>
      </c>
      <c r="I479" s="5144" t="s">
        <v>794</v>
      </c>
    </row>
    <row customHeight="1" ht="11.25">
      <c r="A480" s="5144" t="s">
        <v>2177</v>
      </c>
      <c r="B480" s="5144" t="s">
        <v>14</v>
      </c>
      <c r="C480" s="5144" t="s">
        <v>2980</v>
      </c>
      <c r="D480" s="5144" t="s">
        <v>2981</v>
      </c>
      <c r="E480" s="5144" t="s">
        <v>2982</v>
      </c>
      <c r="F480" s="5144" t="s">
        <v>2673</v>
      </c>
      <c r="G480" s="5144" t="s">
        <v>2983</v>
      </c>
      <c r="H480" s="5144" t="s">
        <v>24</v>
      </c>
      <c r="I480" s="5144" t="s">
        <v>794</v>
      </c>
    </row>
    <row customHeight="1" ht="11.25">
      <c r="A481" s="5144" t="s">
        <v>2177</v>
      </c>
      <c r="B481" s="5144" t="s">
        <v>14</v>
      </c>
      <c r="C481" s="5144" t="s">
        <v>2984</v>
      </c>
      <c r="D481" s="5144" t="s">
        <v>2985</v>
      </c>
      <c r="E481" s="5144" t="s">
        <v>2986</v>
      </c>
      <c r="F481" s="5144" t="s">
        <v>2277</v>
      </c>
      <c r="G481" s="5144" t="s">
        <v>24</v>
      </c>
      <c r="H481" s="5144" t="s">
        <v>24</v>
      </c>
      <c r="I481" s="5144" t="s">
        <v>794</v>
      </c>
    </row>
    <row customHeight="1" ht="11.25">
      <c r="A482" s="5144" t="s">
        <v>2177</v>
      </c>
      <c r="B482" s="5144" t="s">
        <v>14</v>
      </c>
      <c r="C482" s="5144" t="s">
        <v>2991</v>
      </c>
      <c r="D482" s="5144" t="s">
        <v>2992</v>
      </c>
      <c r="E482" s="5144" t="s">
        <v>2993</v>
      </c>
      <c r="F482" s="5144" t="s">
        <v>2277</v>
      </c>
      <c r="G482" s="5144" t="s">
        <v>2994</v>
      </c>
      <c r="H482" s="5144" t="s">
        <v>24</v>
      </c>
      <c r="I482" s="5144" t="s">
        <v>794</v>
      </c>
    </row>
    <row customHeight="1" ht="11.25">
      <c r="A483" s="5144" t="s">
        <v>2177</v>
      </c>
      <c r="B483" s="5144" t="s">
        <v>14</v>
      </c>
      <c r="C483" s="5144" t="s">
        <v>2995</v>
      </c>
      <c r="D483" s="5144" t="s">
        <v>2996</v>
      </c>
      <c r="E483" s="5144" t="s">
        <v>2997</v>
      </c>
      <c r="F483" s="5144" t="s">
        <v>2183</v>
      </c>
      <c r="G483" s="5144" t="s">
        <v>24</v>
      </c>
      <c r="H483" s="5144" t="s">
        <v>24</v>
      </c>
      <c r="I483" s="5144" t="s">
        <v>794</v>
      </c>
    </row>
    <row customHeight="1" ht="11.25">
      <c r="A484" s="5144" t="s">
        <v>2177</v>
      </c>
      <c r="B484" s="5144" t="s">
        <v>14</v>
      </c>
      <c r="C484" s="5144" t="s">
        <v>2998</v>
      </c>
      <c r="D484" s="5144" t="s">
        <v>2999</v>
      </c>
      <c r="E484" s="5144" t="s">
        <v>3000</v>
      </c>
      <c r="F484" s="5144" t="s">
        <v>2231</v>
      </c>
      <c r="G484" s="5144" t="s">
        <v>24</v>
      </c>
      <c r="H484" s="5144" t="s">
        <v>3001</v>
      </c>
      <c r="I484" s="5144" t="s">
        <v>794</v>
      </c>
    </row>
    <row customHeight="1" ht="11.25">
      <c r="A485" s="5144" t="s">
        <v>2177</v>
      </c>
      <c r="B485" s="5144" t="s">
        <v>14</v>
      </c>
      <c r="C485" s="5144" t="s">
        <v>3002</v>
      </c>
      <c r="D485" s="5144" t="s">
        <v>3003</v>
      </c>
      <c r="E485" s="5144" t="s">
        <v>3004</v>
      </c>
      <c r="F485" s="5144" t="s">
        <v>2186</v>
      </c>
      <c r="G485" s="5144" t="s">
        <v>3005</v>
      </c>
      <c r="H485" s="5144" t="s">
        <v>24</v>
      </c>
      <c r="I485" s="5144" t="s">
        <v>794</v>
      </c>
    </row>
    <row customHeight="1" ht="11.25">
      <c r="A486" s="5144" t="s">
        <v>2177</v>
      </c>
      <c r="B486" s="5144" t="s">
        <v>14</v>
      </c>
      <c r="C486" s="5144" t="s">
        <v>3009</v>
      </c>
      <c r="D486" s="5144" t="s">
        <v>3010</v>
      </c>
      <c r="E486" s="5144" t="s">
        <v>3011</v>
      </c>
      <c r="F486" s="5144" t="s">
        <v>51</v>
      </c>
      <c r="G486" s="5144" t="s">
        <v>3012</v>
      </c>
      <c r="H486" s="5144" t="s">
        <v>24</v>
      </c>
      <c r="I486" s="5144" t="s">
        <v>794</v>
      </c>
    </row>
    <row customHeight="1" ht="11.25">
      <c r="A487" s="5144" t="s">
        <v>2177</v>
      </c>
      <c r="B487" s="5144" t="s">
        <v>14</v>
      </c>
      <c r="C487" s="5144" t="s">
        <v>3013</v>
      </c>
      <c r="D487" s="5144" t="s">
        <v>3014</v>
      </c>
      <c r="E487" s="5144" t="s">
        <v>3015</v>
      </c>
      <c r="F487" s="5144" t="s">
        <v>2252</v>
      </c>
      <c r="G487" s="5144" t="s">
        <v>3016</v>
      </c>
      <c r="H487" s="5144" t="s">
        <v>24</v>
      </c>
      <c r="I487" s="5144" t="s">
        <v>794</v>
      </c>
    </row>
    <row customHeight="1" ht="11.25">
      <c r="A488" s="5144" t="s">
        <v>2177</v>
      </c>
      <c r="B488" s="5144" t="s">
        <v>14</v>
      </c>
      <c r="C488" s="5144" t="s">
        <v>3017</v>
      </c>
      <c r="D488" s="5144" t="s">
        <v>3018</v>
      </c>
      <c r="E488" s="5144" t="s">
        <v>3019</v>
      </c>
      <c r="F488" s="5144" t="s">
        <v>2467</v>
      </c>
      <c r="G488" s="5144" t="s">
        <v>3020</v>
      </c>
      <c r="H488" s="5144" t="s">
        <v>24</v>
      </c>
      <c r="I488" s="5144" t="s">
        <v>794</v>
      </c>
    </row>
    <row customHeight="1" ht="11.25">
      <c r="A489" s="5144" t="s">
        <v>2177</v>
      </c>
      <c r="B489" s="5144" t="s">
        <v>14</v>
      </c>
      <c r="C489" s="5144" t="s">
        <v>3021</v>
      </c>
      <c r="D489" s="5144" t="s">
        <v>3022</v>
      </c>
      <c r="E489" s="5144" t="s">
        <v>3023</v>
      </c>
      <c r="F489" s="5144" t="s">
        <v>2602</v>
      </c>
      <c r="G489" s="5144" t="s">
        <v>3024</v>
      </c>
      <c r="H489" s="5144" t="s">
        <v>24</v>
      </c>
      <c r="I489" s="5144" t="s">
        <v>794</v>
      </c>
    </row>
    <row customHeight="1" ht="11.25">
      <c r="A490" s="5144" t="s">
        <v>2177</v>
      </c>
      <c r="B490" s="5144" t="s">
        <v>14</v>
      </c>
      <c r="C490" s="5144" t="s">
        <v>3029</v>
      </c>
      <c r="D490" s="5144" t="s">
        <v>3030</v>
      </c>
      <c r="E490" s="5144" t="s">
        <v>3031</v>
      </c>
      <c r="F490" s="5144" t="s">
        <v>2673</v>
      </c>
      <c r="G490" s="5144" t="s">
        <v>3032</v>
      </c>
      <c r="H490" s="5144" t="s">
        <v>24</v>
      </c>
      <c r="I490" s="5144" t="s">
        <v>794</v>
      </c>
    </row>
    <row customHeight="1" ht="11.25">
      <c r="A491" s="5144" t="s">
        <v>2177</v>
      </c>
      <c r="B491" s="5144" t="s">
        <v>14</v>
      </c>
      <c r="C491" s="5144" t="s">
        <v>3033</v>
      </c>
      <c r="D491" s="5144" t="s">
        <v>3034</v>
      </c>
      <c r="E491" s="5144" t="s">
        <v>3035</v>
      </c>
      <c r="F491" s="5144" t="s">
        <v>2252</v>
      </c>
      <c r="G491" s="5144" t="s">
        <v>3036</v>
      </c>
      <c r="H491" s="5144" t="s">
        <v>24</v>
      </c>
      <c r="I491" s="5144" t="s">
        <v>794</v>
      </c>
    </row>
    <row customHeight="1" ht="11.25">
      <c r="A492" s="5144" t="s">
        <v>2177</v>
      </c>
      <c r="B492" s="5144" t="s">
        <v>14</v>
      </c>
      <c r="C492" s="5144" t="s">
        <v>3037</v>
      </c>
      <c r="D492" s="5144" t="s">
        <v>3038</v>
      </c>
      <c r="E492" s="5144" t="s">
        <v>3039</v>
      </c>
      <c r="F492" s="5144" t="s">
        <v>2520</v>
      </c>
      <c r="G492" s="5144" t="s">
        <v>3040</v>
      </c>
      <c r="H492" s="5144" t="s">
        <v>24</v>
      </c>
      <c r="I492" s="5144" t="s">
        <v>794</v>
      </c>
    </row>
    <row customHeight="1" ht="11.25">
      <c r="A493" s="5144" t="s">
        <v>2177</v>
      </c>
      <c r="B493" s="5144" t="s">
        <v>14</v>
      </c>
      <c r="C493" s="5144" t="s">
        <v>3049</v>
      </c>
      <c r="D493" s="5144" t="s">
        <v>3050</v>
      </c>
      <c r="E493" s="5144" t="s">
        <v>3051</v>
      </c>
      <c r="F493" s="5144" t="s">
        <v>51</v>
      </c>
      <c r="G493" s="5144" t="s">
        <v>3052</v>
      </c>
      <c r="H493" s="5144" t="s">
        <v>24</v>
      </c>
      <c r="I493" s="5144" t="s">
        <v>794</v>
      </c>
    </row>
    <row customHeight="1" ht="11.25">
      <c r="A494" s="5144" t="s">
        <v>2177</v>
      </c>
      <c r="B494" s="5144" t="s">
        <v>14</v>
      </c>
      <c r="C494" s="5144" t="s">
        <v>3053</v>
      </c>
      <c r="D494" s="5144" t="s">
        <v>3054</v>
      </c>
      <c r="E494" s="5144" t="s">
        <v>3055</v>
      </c>
      <c r="F494" s="5144" t="s">
        <v>2207</v>
      </c>
      <c r="G494" s="5144" t="s">
        <v>3056</v>
      </c>
      <c r="H494" s="5144" t="s">
        <v>24</v>
      </c>
      <c r="I494" s="5144" t="s">
        <v>794</v>
      </c>
    </row>
    <row customHeight="1" ht="11.25">
      <c r="A495" s="5144" t="s">
        <v>2177</v>
      </c>
      <c r="B495" s="5144" t="s">
        <v>14</v>
      </c>
      <c r="C495" s="5144" t="s">
        <v>3069</v>
      </c>
      <c r="D495" s="5144" t="s">
        <v>3070</v>
      </c>
      <c r="E495" s="5144" t="s">
        <v>3071</v>
      </c>
      <c r="F495" s="5144" t="s">
        <v>2207</v>
      </c>
      <c r="G495" s="5144" t="s">
        <v>3072</v>
      </c>
      <c r="H495" s="5144" t="s">
        <v>24</v>
      </c>
      <c r="I495" s="5144" t="s">
        <v>794</v>
      </c>
    </row>
    <row customHeight="1" ht="11.25">
      <c r="A496" s="5144" t="s">
        <v>2177</v>
      </c>
      <c r="B496" s="5144" t="s">
        <v>14</v>
      </c>
      <c r="C496" s="5144" t="s">
        <v>3073</v>
      </c>
      <c r="D496" s="5144" t="s">
        <v>3074</v>
      </c>
      <c r="E496" s="5144" t="s">
        <v>3075</v>
      </c>
      <c r="F496" s="5144" t="s">
        <v>2207</v>
      </c>
      <c r="G496" s="5144" t="s">
        <v>3076</v>
      </c>
      <c r="H496" s="5144" t="s">
        <v>3077</v>
      </c>
      <c r="I496" s="5144" t="s">
        <v>794</v>
      </c>
    </row>
    <row customHeight="1" ht="11.25">
      <c r="A497" s="5144" t="s">
        <v>2177</v>
      </c>
      <c r="B497" s="5144" t="s">
        <v>14</v>
      </c>
      <c r="C497" s="5144" t="s">
        <v>3078</v>
      </c>
      <c r="D497" s="5144" t="s">
        <v>3074</v>
      </c>
      <c r="E497" s="5144" t="s">
        <v>3079</v>
      </c>
      <c r="F497" s="5144" t="s">
        <v>2467</v>
      </c>
      <c r="G497" s="5144" t="s">
        <v>3080</v>
      </c>
      <c r="H497" s="5144" t="s">
        <v>24</v>
      </c>
      <c r="I497" s="5144" t="s">
        <v>794</v>
      </c>
    </row>
    <row customHeight="1" ht="11.25">
      <c r="A498" s="5144" t="s">
        <v>2177</v>
      </c>
      <c r="B498" s="5144" t="s">
        <v>14</v>
      </c>
      <c r="C498" s="5144" t="s">
        <v>3093</v>
      </c>
      <c r="D498" s="5144" t="s">
        <v>3094</v>
      </c>
      <c r="E498" s="5144" t="s">
        <v>3095</v>
      </c>
      <c r="F498" s="5144" t="s">
        <v>51</v>
      </c>
      <c r="G498" s="5144" t="s">
        <v>3096</v>
      </c>
      <c r="H498" s="5144" t="s">
        <v>24</v>
      </c>
      <c r="I498" s="5144" t="s">
        <v>794</v>
      </c>
    </row>
    <row customHeight="1" ht="11.25">
      <c r="A499" s="5144" t="s">
        <v>2177</v>
      </c>
      <c r="B499" s="5144" t="s">
        <v>14</v>
      </c>
      <c r="C499" s="5144" t="s">
        <v>3097</v>
      </c>
      <c r="D499" s="5144" t="s">
        <v>3098</v>
      </c>
      <c r="E499" s="5144" t="s">
        <v>3099</v>
      </c>
      <c r="F499" s="5144" t="s">
        <v>51</v>
      </c>
      <c r="G499" s="5144" t="s">
        <v>3100</v>
      </c>
      <c r="H499" s="5144" t="s">
        <v>24</v>
      </c>
      <c r="I499" s="5144" t="s">
        <v>794</v>
      </c>
    </row>
    <row customHeight="1" ht="11.25">
      <c r="A500" s="5144" t="s">
        <v>2177</v>
      </c>
      <c r="B500" s="5144" t="s">
        <v>14</v>
      </c>
      <c r="C500" s="5144" t="s">
        <v>3109</v>
      </c>
      <c r="D500" s="5144" t="s">
        <v>3110</v>
      </c>
      <c r="E500" s="5144" t="s">
        <v>3111</v>
      </c>
      <c r="F500" s="5144" t="s">
        <v>51</v>
      </c>
      <c r="G500" s="5144" t="s">
        <v>3112</v>
      </c>
      <c r="H500" s="5144" t="s">
        <v>24</v>
      </c>
      <c r="I500" s="5144" t="s">
        <v>794</v>
      </c>
    </row>
    <row customHeight="1" ht="11.25">
      <c r="A501" s="5144" t="s">
        <v>2177</v>
      </c>
      <c r="B501" s="5144" t="s">
        <v>14</v>
      </c>
      <c r="C501" s="5144" t="s">
        <v>3125</v>
      </c>
      <c r="D501" s="5144" t="s">
        <v>3126</v>
      </c>
      <c r="E501" s="5144" t="s">
        <v>3127</v>
      </c>
      <c r="F501" s="5144" t="s">
        <v>2226</v>
      </c>
      <c r="G501" s="5144" t="s">
        <v>3128</v>
      </c>
      <c r="H501" s="5144" t="s">
        <v>24</v>
      </c>
      <c r="I501" s="5144" t="s">
        <v>794</v>
      </c>
    </row>
    <row customHeight="1" ht="11.25">
      <c r="A502" s="5144" t="s">
        <v>2177</v>
      </c>
      <c r="B502" s="5144" t="s">
        <v>14</v>
      </c>
      <c r="C502" s="5144" t="s">
        <v>3129</v>
      </c>
      <c r="D502" s="5144" t="s">
        <v>3130</v>
      </c>
      <c r="E502" s="5144" t="s">
        <v>3131</v>
      </c>
      <c r="F502" s="5144" t="s">
        <v>2673</v>
      </c>
      <c r="G502" s="5144" t="s">
        <v>3132</v>
      </c>
      <c r="H502" s="5144" t="s">
        <v>24</v>
      </c>
      <c r="I502" s="5144" t="s">
        <v>794</v>
      </c>
    </row>
    <row customHeight="1" ht="11.25">
      <c r="A503" s="5144" t="s">
        <v>2177</v>
      </c>
      <c r="B503" s="5144" t="s">
        <v>14</v>
      </c>
      <c r="C503" s="5144" t="s">
        <v>3141</v>
      </c>
      <c r="D503" s="5144" t="s">
        <v>3142</v>
      </c>
      <c r="E503" s="5144" t="s">
        <v>3143</v>
      </c>
      <c r="F503" s="5144" t="s">
        <v>2192</v>
      </c>
      <c r="G503" s="5144" t="s">
        <v>3144</v>
      </c>
      <c r="H503" s="5144" t="s">
        <v>24</v>
      </c>
      <c r="I503" s="5144" t="s">
        <v>794</v>
      </c>
    </row>
    <row customHeight="1" ht="11.25">
      <c r="A504" s="5144" t="s">
        <v>2177</v>
      </c>
      <c r="B504" s="5144" t="s">
        <v>14</v>
      </c>
      <c r="C504" s="5144" t="s">
        <v>3149</v>
      </c>
      <c r="D504" s="5144" t="s">
        <v>3150</v>
      </c>
      <c r="E504" s="5144" t="s">
        <v>3151</v>
      </c>
      <c r="F504" s="5144" t="s">
        <v>2231</v>
      </c>
      <c r="G504" s="5144" t="s">
        <v>3152</v>
      </c>
      <c r="H504" s="5144" t="s">
        <v>24</v>
      </c>
      <c r="I504" s="5144" t="s">
        <v>794</v>
      </c>
    </row>
    <row customHeight="1" ht="11.25">
      <c r="A505" s="5144" t="s">
        <v>2177</v>
      </c>
      <c r="B505" s="5144" t="s">
        <v>14</v>
      </c>
      <c r="C505" s="5144" t="s">
        <v>3153</v>
      </c>
      <c r="D505" s="5144" t="s">
        <v>3154</v>
      </c>
      <c r="E505" s="5144" t="s">
        <v>3155</v>
      </c>
      <c r="F505" s="5144" t="s">
        <v>3156</v>
      </c>
      <c r="G505" s="5144" t="s">
        <v>3157</v>
      </c>
      <c r="H505" s="5144" t="s">
        <v>24</v>
      </c>
      <c r="I505" s="5144" t="s">
        <v>794</v>
      </c>
    </row>
    <row customHeight="1" ht="11.25">
      <c r="A506" s="5144" t="s">
        <v>2177</v>
      </c>
      <c r="B506" s="5144" t="s">
        <v>14</v>
      </c>
      <c r="C506" s="5144" t="s">
        <v>3158</v>
      </c>
      <c r="D506" s="5144" t="s">
        <v>3159</v>
      </c>
      <c r="E506" s="5144" t="s">
        <v>3160</v>
      </c>
      <c r="F506" s="5144" t="s">
        <v>2207</v>
      </c>
      <c r="G506" s="5144" t="s">
        <v>3161</v>
      </c>
      <c r="H506" s="5144" t="s">
        <v>24</v>
      </c>
      <c r="I506" s="5144" t="s">
        <v>794</v>
      </c>
    </row>
    <row customHeight="1" ht="11.25">
      <c r="A507" s="5144" t="s">
        <v>2177</v>
      </c>
      <c r="B507" s="5144" t="s">
        <v>14</v>
      </c>
      <c r="C507" s="5144" t="s">
        <v>3162</v>
      </c>
      <c r="D507" s="5144" t="s">
        <v>3163</v>
      </c>
      <c r="E507" s="5144" t="s">
        <v>3164</v>
      </c>
      <c r="F507" s="5144" t="s">
        <v>2207</v>
      </c>
      <c r="G507" s="5144" t="s">
        <v>24</v>
      </c>
      <c r="H507" s="5144" t="s">
        <v>24</v>
      </c>
      <c r="I507" s="5144" t="s">
        <v>794</v>
      </c>
    </row>
    <row customHeight="1" ht="11.25">
      <c r="A508" s="5144" t="s">
        <v>2177</v>
      </c>
      <c r="B508" s="5144" t="s">
        <v>14</v>
      </c>
      <c r="C508" s="5144" t="s">
        <v>3165</v>
      </c>
      <c r="D508" s="5144" t="s">
        <v>3166</v>
      </c>
      <c r="E508" s="5144" t="s">
        <v>3167</v>
      </c>
      <c r="F508" s="5144" t="s">
        <v>2186</v>
      </c>
      <c r="G508" s="5144" t="s">
        <v>3168</v>
      </c>
      <c r="H508" s="5144" t="s">
        <v>24</v>
      </c>
      <c r="I508" s="5144" t="s">
        <v>794</v>
      </c>
    </row>
    <row customHeight="1" ht="11.25">
      <c r="A509" s="5144" t="s">
        <v>2177</v>
      </c>
      <c r="B509" s="5144" t="s">
        <v>14</v>
      </c>
      <c r="C509" s="5144" t="s">
        <v>3169</v>
      </c>
      <c r="D509" s="5144" t="s">
        <v>3170</v>
      </c>
      <c r="E509" s="5144" t="s">
        <v>3171</v>
      </c>
      <c r="F509" s="5144" t="s">
        <v>51</v>
      </c>
      <c r="G509" s="5144" t="s">
        <v>3148</v>
      </c>
      <c r="H509" s="5144" t="s">
        <v>24</v>
      </c>
      <c r="I509" s="5144" t="s">
        <v>794</v>
      </c>
    </row>
    <row customHeight="1" ht="11.25">
      <c r="A510" s="5144" t="s">
        <v>2177</v>
      </c>
      <c r="B510" s="5144" t="s">
        <v>14</v>
      </c>
      <c r="C510" s="5144" t="s">
        <v>3189</v>
      </c>
      <c r="D510" s="5144" t="s">
        <v>3190</v>
      </c>
      <c r="E510" s="5144" t="s">
        <v>3191</v>
      </c>
      <c r="F510" s="5144" t="s">
        <v>2202</v>
      </c>
      <c r="G510" s="5144" t="s">
        <v>3192</v>
      </c>
      <c r="H510" s="5144" t="s">
        <v>24</v>
      </c>
      <c r="I510" s="5144" t="s">
        <v>794</v>
      </c>
    </row>
    <row customHeight="1" ht="11.25">
      <c r="A511" s="5144" t="s">
        <v>2177</v>
      </c>
      <c r="B511" s="5144" t="s">
        <v>14</v>
      </c>
      <c r="C511" s="5144" t="s">
        <v>3193</v>
      </c>
      <c r="D511" s="5144" t="s">
        <v>3194</v>
      </c>
      <c r="E511" s="5144" t="s">
        <v>3195</v>
      </c>
      <c r="F511" s="5144" t="s">
        <v>3196</v>
      </c>
      <c r="G511" s="5144" t="s">
        <v>3197</v>
      </c>
      <c r="H511" s="5144" t="s">
        <v>24</v>
      </c>
      <c r="I511" s="5144" t="s">
        <v>794</v>
      </c>
    </row>
    <row customHeight="1" ht="11.25">
      <c r="A512" s="5144" t="s">
        <v>2177</v>
      </c>
      <c r="B512" s="5144" t="s">
        <v>14</v>
      </c>
      <c r="C512" s="5144" t="s">
        <v>3222</v>
      </c>
      <c r="D512" s="5144" t="s">
        <v>3213</v>
      </c>
      <c r="E512" s="5144" t="s">
        <v>3223</v>
      </c>
      <c r="F512" s="5144" t="s">
        <v>2202</v>
      </c>
      <c r="G512" s="5144" t="s">
        <v>24</v>
      </c>
      <c r="H512" s="5144" t="s">
        <v>24</v>
      </c>
      <c r="I512" s="5144" t="s">
        <v>794</v>
      </c>
    </row>
    <row customHeight="1" ht="11.25">
      <c r="A513" s="5144" t="s">
        <v>2177</v>
      </c>
      <c r="B513" s="5144" t="s">
        <v>14</v>
      </c>
      <c r="C513" s="5144" t="s">
        <v>3224</v>
      </c>
      <c r="D513" s="5144" t="s">
        <v>3225</v>
      </c>
      <c r="E513" s="5144" t="s">
        <v>3226</v>
      </c>
      <c r="F513" s="5144" t="s">
        <v>2226</v>
      </c>
      <c r="G513" s="5144" t="s">
        <v>2612</v>
      </c>
      <c r="H513" s="5144" t="s">
        <v>24</v>
      </c>
      <c r="I513" s="5144" t="s">
        <v>794</v>
      </c>
    </row>
    <row customHeight="1" ht="11.25">
      <c r="A514" s="5144" t="s">
        <v>2177</v>
      </c>
      <c r="B514" s="5144" t="s">
        <v>14</v>
      </c>
      <c r="C514" s="5144" t="s">
        <v>3227</v>
      </c>
      <c r="D514" s="5144" t="s">
        <v>3225</v>
      </c>
      <c r="E514" s="5144" t="s">
        <v>3228</v>
      </c>
      <c r="F514" s="5144" t="s">
        <v>2226</v>
      </c>
      <c r="G514" s="5144" t="s">
        <v>3229</v>
      </c>
      <c r="H514" s="5144" t="s">
        <v>24</v>
      </c>
      <c r="I514" s="5144" t="s">
        <v>794</v>
      </c>
    </row>
    <row customHeight="1" ht="11.25">
      <c r="A515" s="5144" t="s">
        <v>2177</v>
      </c>
      <c r="B515" s="5144" t="s">
        <v>14</v>
      </c>
      <c r="C515" s="5144" t="s">
        <v>3233</v>
      </c>
      <c r="D515" s="5144" t="s">
        <v>3225</v>
      </c>
      <c r="E515" s="5144" t="s">
        <v>3234</v>
      </c>
      <c r="F515" s="5144" t="s">
        <v>2202</v>
      </c>
      <c r="G515" s="5144" t="s">
        <v>3235</v>
      </c>
      <c r="H515" s="5144" t="s">
        <v>24</v>
      </c>
      <c r="I515" s="5144" t="s">
        <v>794</v>
      </c>
    </row>
    <row customHeight="1" ht="11.25">
      <c r="A516" s="5144" t="s">
        <v>2177</v>
      </c>
      <c r="B516" s="5144" t="s">
        <v>14</v>
      </c>
      <c r="C516" s="5144" t="s">
        <v>3236</v>
      </c>
      <c r="D516" s="5144" t="s">
        <v>3237</v>
      </c>
      <c r="E516" s="5144" t="s">
        <v>3238</v>
      </c>
      <c r="F516" s="5144" t="s">
        <v>2231</v>
      </c>
      <c r="G516" s="5144" t="s">
        <v>24</v>
      </c>
      <c r="H516" s="5144" t="s">
        <v>24</v>
      </c>
      <c r="I516" s="5144" t="s">
        <v>794</v>
      </c>
    </row>
    <row customHeight="1" ht="11.25">
      <c r="A517" s="5144" t="s">
        <v>2177</v>
      </c>
      <c r="B517" s="5144" t="s">
        <v>14</v>
      </c>
      <c r="C517" s="5144" t="s">
        <v>3239</v>
      </c>
      <c r="D517" s="5144" t="s">
        <v>3240</v>
      </c>
      <c r="E517" s="5144" t="s">
        <v>3241</v>
      </c>
      <c r="F517" s="5144" t="s">
        <v>2467</v>
      </c>
      <c r="G517" s="5144" t="s">
        <v>3242</v>
      </c>
      <c r="H517" s="5144" t="s">
        <v>24</v>
      </c>
      <c r="I517" s="5144" t="s">
        <v>794</v>
      </c>
    </row>
    <row customHeight="1" ht="11.25">
      <c r="A518" s="5144" t="s">
        <v>2177</v>
      </c>
      <c r="B518" s="5144" t="s">
        <v>14</v>
      </c>
      <c r="C518" s="5144" t="s">
        <v>3246</v>
      </c>
      <c r="D518" s="5144" t="s">
        <v>3247</v>
      </c>
      <c r="E518" s="5144" t="s">
        <v>3248</v>
      </c>
      <c r="F518" s="5144" t="s">
        <v>2207</v>
      </c>
      <c r="G518" s="5144" t="s">
        <v>3249</v>
      </c>
      <c r="H518" s="5144" t="s">
        <v>3250</v>
      </c>
      <c r="I518" s="5144" t="s">
        <v>794</v>
      </c>
    </row>
    <row customHeight="1" ht="11.25">
      <c r="A519" s="5144" t="s">
        <v>2177</v>
      </c>
      <c r="B519" s="5144" t="s">
        <v>14</v>
      </c>
      <c r="C519" s="5144" t="s">
        <v>3251</v>
      </c>
      <c r="D519" s="5144" t="s">
        <v>3252</v>
      </c>
      <c r="E519" s="5144" t="s">
        <v>3253</v>
      </c>
      <c r="F519" s="5144" t="s">
        <v>2183</v>
      </c>
      <c r="G519" s="5144" t="s">
        <v>3254</v>
      </c>
      <c r="H519" s="5144" t="s">
        <v>24</v>
      </c>
      <c r="I519" s="5144" t="s">
        <v>794</v>
      </c>
    </row>
    <row customHeight="1" ht="11.25">
      <c r="A520" s="5144" t="s">
        <v>2177</v>
      </c>
      <c r="B520" s="5144" t="s">
        <v>14</v>
      </c>
      <c r="C520" s="5144" t="s">
        <v>3255</v>
      </c>
      <c r="D520" s="5144" t="s">
        <v>3256</v>
      </c>
      <c r="E520" s="5144" t="s">
        <v>3257</v>
      </c>
      <c r="F520" s="5144" t="s">
        <v>2810</v>
      </c>
      <c r="G520" s="5144" t="s">
        <v>3258</v>
      </c>
      <c r="H520" s="5144" t="s">
        <v>24</v>
      </c>
      <c r="I520" s="5144" t="s">
        <v>794</v>
      </c>
    </row>
    <row customHeight="1" ht="11.25">
      <c r="A521" s="5144" t="s">
        <v>2177</v>
      </c>
      <c r="B521" s="5144" t="s">
        <v>14</v>
      </c>
      <c r="C521" s="5144" t="s">
        <v>3263</v>
      </c>
      <c r="D521" s="5144" t="s">
        <v>3264</v>
      </c>
      <c r="E521" s="5144" t="s">
        <v>3265</v>
      </c>
      <c r="F521" s="5144" t="s">
        <v>2288</v>
      </c>
      <c r="G521" s="5144" t="s">
        <v>3266</v>
      </c>
      <c r="H521" s="5144" t="s">
        <v>24</v>
      </c>
      <c r="I521" s="5144" t="s">
        <v>794</v>
      </c>
    </row>
    <row customHeight="1" ht="11.25">
      <c r="A522" s="5144" t="s">
        <v>2177</v>
      </c>
      <c r="B522" s="5144" t="s">
        <v>14</v>
      </c>
      <c r="C522" s="5144" t="s">
        <v>3267</v>
      </c>
      <c r="D522" s="5144" t="s">
        <v>3268</v>
      </c>
      <c r="E522" s="5144" t="s">
        <v>3269</v>
      </c>
      <c r="F522" s="5144" t="s">
        <v>2192</v>
      </c>
      <c r="G522" s="5144" t="s">
        <v>24</v>
      </c>
      <c r="H522" s="5144" t="s">
        <v>24</v>
      </c>
      <c r="I522" s="5144" t="s">
        <v>794</v>
      </c>
    </row>
    <row customHeight="1" ht="11.25">
      <c r="A523" s="5144" t="s">
        <v>2177</v>
      </c>
      <c r="B523" s="5144" t="s">
        <v>14</v>
      </c>
      <c r="C523" s="5144" t="s">
        <v>3270</v>
      </c>
      <c r="D523" s="5144" t="s">
        <v>3271</v>
      </c>
      <c r="E523" s="5144" t="s">
        <v>3272</v>
      </c>
      <c r="F523" s="5144" t="s">
        <v>2226</v>
      </c>
      <c r="G523" s="5144" t="s">
        <v>3273</v>
      </c>
      <c r="H523" s="5144" t="s">
        <v>24</v>
      </c>
      <c r="I523" s="5144" t="s">
        <v>794</v>
      </c>
    </row>
    <row customHeight="1" ht="11.25">
      <c r="A524" s="5144" t="s">
        <v>2177</v>
      </c>
      <c r="B524" s="5144" t="s">
        <v>14</v>
      </c>
      <c r="C524" s="5144" t="s">
        <v>3286</v>
      </c>
      <c r="D524" s="5144" t="s">
        <v>3287</v>
      </c>
      <c r="E524" s="5144" t="s">
        <v>3288</v>
      </c>
      <c r="F524" s="5144" t="s">
        <v>2202</v>
      </c>
      <c r="G524" s="5144" t="s">
        <v>3289</v>
      </c>
      <c r="H524" s="5144" t="s">
        <v>24</v>
      </c>
      <c r="I524" s="5144" t="s">
        <v>794</v>
      </c>
    </row>
    <row customHeight="1" ht="11.25">
      <c r="A525" s="5144" t="s">
        <v>2177</v>
      </c>
      <c r="B525" s="5144" t="s">
        <v>14</v>
      </c>
      <c r="C525" s="5144" t="s">
        <v>3290</v>
      </c>
      <c r="D525" s="5144" t="s">
        <v>3291</v>
      </c>
      <c r="E525" s="5144" t="s">
        <v>3292</v>
      </c>
      <c r="F525" s="5144" t="s">
        <v>3293</v>
      </c>
      <c r="G525" s="5144" t="s">
        <v>3294</v>
      </c>
      <c r="H525" s="5144" t="s">
        <v>24</v>
      </c>
      <c r="I525" s="5144" t="s">
        <v>794</v>
      </c>
    </row>
    <row customHeight="1" ht="11.25">
      <c r="A526" s="5144" t="s">
        <v>2177</v>
      </c>
      <c r="B526" s="5144" t="s">
        <v>14</v>
      </c>
      <c r="C526" s="5144" t="s">
        <v>3295</v>
      </c>
      <c r="D526" s="5144" t="s">
        <v>3296</v>
      </c>
      <c r="E526" s="5144" t="s">
        <v>3297</v>
      </c>
      <c r="F526" s="5144" t="s">
        <v>2505</v>
      </c>
      <c r="G526" s="5144" t="s">
        <v>3298</v>
      </c>
      <c r="H526" s="5144" t="s">
        <v>24</v>
      </c>
      <c r="I526" s="5144" t="s">
        <v>794</v>
      </c>
    </row>
    <row customHeight="1" ht="11.25">
      <c r="A527" s="5144" t="s">
        <v>2177</v>
      </c>
      <c r="B527" s="5144" t="s">
        <v>14</v>
      </c>
      <c r="C527" s="5144" t="s">
        <v>3299</v>
      </c>
      <c r="D527" s="5144" t="s">
        <v>3300</v>
      </c>
      <c r="E527" s="5144" t="s">
        <v>3301</v>
      </c>
      <c r="F527" s="5144" t="s">
        <v>2231</v>
      </c>
      <c r="G527" s="5144" t="s">
        <v>3302</v>
      </c>
      <c r="H527" s="5144" t="s">
        <v>24</v>
      </c>
      <c r="I527" s="5144" t="s">
        <v>794</v>
      </c>
    </row>
    <row customHeight="1" ht="11.25">
      <c r="A528" s="5144" t="s">
        <v>2177</v>
      </c>
      <c r="B528" s="5144" t="s">
        <v>14</v>
      </c>
      <c r="C528" s="5144" t="s">
        <v>3303</v>
      </c>
      <c r="D528" s="5144" t="s">
        <v>3304</v>
      </c>
      <c r="E528" s="5144" t="s">
        <v>3305</v>
      </c>
      <c r="F528" s="5144" t="s">
        <v>2231</v>
      </c>
      <c r="G528" s="5144" t="s">
        <v>3306</v>
      </c>
      <c r="H528" s="5144" t="s">
        <v>24</v>
      </c>
      <c r="I528" s="5144" t="s">
        <v>794</v>
      </c>
    </row>
    <row customHeight="1" ht="11.25">
      <c r="A529" s="5144" t="s">
        <v>2177</v>
      </c>
      <c r="B529" s="5144" t="s">
        <v>14</v>
      </c>
      <c r="C529" s="5144" t="s">
        <v>3307</v>
      </c>
      <c r="D529" s="5144" t="s">
        <v>3308</v>
      </c>
      <c r="E529" s="5144" t="s">
        <v>3309</v>
      </c>
      <c r="F529" s="5144" t="s">
        <v>2252</v>
      </c>
      <c r="G529" s="5144" t="s">
        <v>3310</v>
      </c>
      <c r="H529" s="5144" t="s">
        <v>24</v>
      </c>
      <c r="I529" s="5144" t="s">
        <v>794</v>
      </c>
    </row>
    <row customHeight="1" ht="11.25">
      <c r="A530" s="5144" t="s">
        <v>2177</v>
      </c>
      <c r="B530" s="5144" t="s">
        <v>14</v>
      </c>
      <c r="C530" s="5144" t="s">
        <v>3311</v>
      </c>
      <c r="D530" s="5144" t="s">
        <v>3312</v>
      </c>
      <c r="E530" s="5144" t="s">
        <v>3313</v>
      </c>
      <c r="F530" s="5144" t="s">
        <v>2207</v>
      </c>
      <c r="G530" s="5144" t="s">
        <v>3314</v>
      </c>
      <c r="H530" s="5144" t="s">
        <v>24</v>
      </c>
      <c r="I530" s="5144" t="s">
        <v>794</v>
      </c>
    </row>
    <row customHeight="1" ht="11.25">
      <c r="A531" s="5144" t="s">
        <v>2177</v>
      </c>
      <c r="B531" s="5144" t="s">
        <v>14</v>
      </c>
      <c r="C531" s="5144" t="s">
        <v>3323</v>
      </c>
      <c r="D531" s="5144" t="s">
        <v>3320</v>
      </c>
      <c r="E531" s="5144" t="s">
        <v>3324</v>
      </c>
      <c r="F531" s="5144" t="s">
        <v>2231</v>
      </c>
      <c r="G531" s="5144" t="s">
        <v>3325</v>
      </c>
      <c r="H531" s="5144" t="s">
        <v>24</v>
      </c>
      <c r="I531" s="5144" t="s">
        <v>794</v>
      </c>
    </row>
    <row customHeight="1" ht="11.25">
      <c r="A532" s="5144" t="s">
        <v>2177</v>
      </c>
      <c r="B532" s="5144" t="s">
        <v>14</v>
      </c>
      <c r="C532" s="5144" t="s">
        <v>3326</v>
      </c>
      <c r="D532" s="5144" t="s">
        <v>3327</v>
      </c>
      <c r="E532" s="5144" t="s">
        <v>3328</v>
      </c>
      <c r="F532" s="5144" t="s">
        <v>2288</v>
      </c>
      <c r="G532" s="5144" t="s">
        <v>3329</v>
      </c>
      <c r="H532" s="5144" t="s">
        <v>24</v>
      </c>
      <c r="I532" s="5144" t="s">
        <v>794</v>
      </c>
    </row>
    <row customHeight="1" ht="11.25">
      <c r="A533" s="5144" t="s">
        <v>2177</v>
      </c>
      <c r="B533" s="5144" t="s">
        <v>14</v>
      </c>
      <c r="C533" s="5144" t="s">
        <v>3330</v>
      </c>
      <c r="D533" s="5144" t="s">
        <v>3331</v>
      </c>
      <c r="E533" s="5144" t="s">
        <v>3332</v>
      </c>
      <c r="F533" s="5144" t="s">
        <v>2467</v>
      </c>
      <c r="G533" s="5144" t="s">
        <v>3333</v>
      </c>
      <c r="H533" s="5144" t="s">
        <v>24</v>
      </c>
      <c r="I533" s="5144" t="s">
        <v>794</v>
      </c>
    </row>
    <row customHeight="1" ht="11.25">
      <c r="A534" s="5144" t="s">
        <v>2177</v>
      </c>
      <c r="B534" s="5144" t="s">
        <v>14</v>
      </c>
      <c r="C534" s="5144" t="s">
        <v>3357</v>
      </c>
      <c r="D534" s="5144" t="s">
        <v>3358</v>
      </c>
      <c r="E534" s="5144" t="s">
        <v>3359</v>
      </c>
      <c r="F534" s="5144" t="s">
        <v>2202</v>
      </c>
      <c r="G534" s="5144" t="s">
        <v>3360</v>
      </c>
      <c r="H534" s="5144" t="s">
        <v>24</v>
      </c>
      <c r="I534" s="5144" t="s">
        <v>794</v>
      </c>
    </row>
    <row customHeight="1" ht="11.25">
      <c r="A535" s="5144" t="s">
        <v>2177</v>
      </c>
      <c r="B535" s="5144" t="s">
        <v>14</v>
      </c>
      <c r="C535" s="5144" t="s">
        <v>3361</v>
      </c>
      <c r="D535" s="5144" t="s">
        <v>3362</v>
      </c>
      <c r="E535" s="5144" t="s">
        <v>3363</v>
      </c>
      <c r="F535" s="5144" t="s">
        <v>3364</v>
      </c>
      <c r="G535" s="5144" t="s">
        <v>24</v>
      </c>
      <c r="H535" s="5144" t="s">
        <v>24</v>
      </c>
      <c r="I535" s="5144" t="s">
        <v>794</v>
      </c>
    </row>
    <row customHeight="1" ht="11.25">
      <c r="A536" s="5144" t="s">
        <v>2177</v>
      </c>
      <c r="B536" s="5144" t="s">
        <v>14</v>
      </c>
      <c r="C536" s="5144" t="s">
        <v>3365</v>
      </c>
      <c r="D536" s="5144" t="s">
        <v>3366</v>
      </c>
      <c r="E536" s="5144" t="s">
        <v>3367</v>
      </c>
      <c r="F536" s="5144" t="s">
        <v>2189</v>
      </c>
      <c r="G536" s="5144" t="s">
        <v>3368</v>
      </c>
      <c r="H536" s="5144" t="s">
        <v>24</v>
      </c>
      <c r="I536" s="5144" t="s">
        <v>794</v>
      </c>
    </row>
    <row customHeight="1" ht="11.25">
      <c r="A537" s="5144" t="s">
        <v>2177</v>
      </c>
      <c r="B537" s="5144" t="s">
        <v>14</v>
      </c>
      <c r="C537" s="5144" t="s">
        <v>3373</v>
      </c>
      <c r="D537" s="5144" t="s">
        <v>3374</v>
      </c>
      <c r="E537" s="5144" t="s">
        <v>3375</v>
      </c>
      <c r="F537" s="5144" t="s">
        <v>2231</v>
      </c>
      <c r="G537" s="5144" t="s">
        <v>3376</v>
      </c>
      <c r="H537" s="5144" t="s">
        <v>3377</v>
      </c>
      <c r="I537" s="5144" t="s">
        <v>794</v>
      </c>
    </row>
    <row customHeight="1" ht="11.25">
      <c r="A538" s="5144" t="s">
        <v>2177</v>
      </c>
      <c r="B538" s="5144" t="s">
        <v>14</v>
      </c>
      <c r="C538" s="5144" t="s">
        <v>3387</v>
      </c>
      <c r="D538" s="5144" t="s">
        <v>3388</v>
      </c>
      <c r="E538" s="5144" t="s">
        <v>3389</v>
      </c>
      <c r="F538" s="5144" t="s">
        <v>2189</v>
      </c>
      <c r="G538" s="5144" t="s">
        <v>3390</v>
      </c>
      <c r="H538" s="5144" t="s">
        <v>24</v>
      </c>
      <c r="I538" s="5144" t="s">
        <v>794</v>
      </c>
    </row>
    <row customHeight="1" ht="11.25">
      <c r="A539" s="5144" t="s">
        <v>2177</v>
      </c>
      <c r="B539" s="5144" t="s">
        <v>14</v>
      </c>
      <c r="C539" s="5144" t="s">
        <v>3399</v>
      </c>
      <c r="D539" s="5144" t="s">
        <v>3400</v>
      </c>
      <c r="E539" s="5144" t="s">
        <v>3401</v>
      </c>
      <c r="F539" s="5144" t="s">
        <v>2231</v>
      </c>
      <c r="G539" s="5144" t="s">
        <v>3402</v>
      </c>
      <c r="H539" s="5144" t="s">
        <v>24</v>
      </c>
      <c r="I539" s="5144" t="s">
        <v>794</v>
      </c>
    </row>
    <row customHeight="1" ht="11.25">
      <c r="A540" s="5144" t="s">
        <v>2177</v>
      </c>
      <c r="B540" s="5144" t="s">
        <v>14</v>
      </c>
      <c r="C540" s="5144" t="s">
        <v>3407</v>
      </c>
      <c r="D540" s="5144" t="s">
        <v>3408</v>
      </c>
      <c r="E540" s="5144" t="s">
        <v>3409</v>
      </c>
      <c r="F540" s="5144" t="s">
        <v>51</v>
      </c>
      <c r="G540" s="5144" t="s">
        <v>2776</v>
      </c>
      <c r="H540" s="5144" t="s">
        <v>24</v>
      </c>
      <c r="I540" s="5144" t="s">
        <v>794</v>
      </c>
    </row>
    <row customHeight="1" ht="11.25">
      <c r="A541" s="5144" t="s">
        <v>2177</v>
      </c>
      <c r="B541" s="5144" t="s">
        <v>14</v>
      </c>
      <c r="C541" s="5144" t="s">
        <v>3410</v>
      </c>
      <c r="D541" s="5144" t="s">
        <v>3411</v>
      </c>
      <c r="E541" s="5144" t="s">
        <v>3412</v>
      </c>
      <c r="F541" s="5144" t="s">
        <v>2202</v>
      </c>
      <c r="G541" s="5144" t="s">
        <v>24</v>
      </c>
      <c r="H541" s="5144" t="s">
        <v>24</v>
      </c>
      <c r="I541" s="5144" t="s">
        <v>794</v>
      </c>
    </row>
    <row customHeight="1" ht="11.25">
      <c r="A542" s="5144" t="s">
        <v>2177</v>
      </c>
      <c r="B542" s="5144" t="s">
        <v>14</v>
      </c>
      <c r="C542" s="5144" t="s">
        <v>3413</v>
      </c>
      <c r="D542" s="5144" t="s">
        <v>3414</v>
      </c>
      <c r="E542" s="5144" t="s">
        <v>3000</v>
      </c>
      <c r="F542" s="5144" t="s">
        <v>2673</v>
      </c>
      <c r="G542" s="5144" t="s">
        <v>24</v>
      </c>
      <c r="H542" s="5144" t="s">
        <v>3001</v>
      </c>
      <c r="I542" s="5144" t="s">
        <v>794</v>
      </c>
    </row>
    <row customHeight="1" ht="11.25">
      <c r="A543" s="5144" t="s">
        <v>2177</v>
      </c>
      <c r="B543" s="5144" t="s">
        <v>14</v>
      </c>
      <c r="C543" s="5144" t="s">
        <v>3422</v>
      </c>
      <c r="D543" s="5144" t="s">
        <v>3423</v>
      </c>
      <c r="E543" s="5144" t="s">
        <v>3424</v>
      </c>
      <c r="F543" s="5144" t="s">
        <v>3425</v>
      </c>
      <c r="G543" s="5144" t="s">
        <v>24</v>
      </c>
      <c r="H543" s="5144" t="s">
        <v>24</v>
      </c>
      <c r="I543" s="5144" t="s">
        <v>794</v>
      </c>
    </row>
    <row customHeight="1" ht="11.25">
      <c r="A544" s="5144" t="s">
        <v>2177</v>
      </c>
      <c r="B544" s="5144" t="s">
        <v>14</v>
      </c>
      <c r="C544" s="5144" t="s">
        <v>24</v>
      </c>
      <c r="D544" s="5144" t="s">
        <v>3430</v>
      </c>
      <c r="E544" s="5144" t="s">
        <v>3431</v>
      </c>
      <c r="F544" s="5144" t="s">
        <v>51</v>
      </c>
      <c r="G544" s="5144" t="s">
        <v>24</v>
      </c>
      <c r="H544" s="5144" t="s">
        <v>24</v>
      </c>
      <c r="I544" s="5144" t="s">
        <v>794</v>
      </c>
    </row>
    <row customHeight="1" ht="11.25">
      <c r="A545" s="5144" t="s">
        <v>2177</v>
      </c>
      <c r="B545" s="5144" t="s">
        <v>14</v>
      </c>
      <c r="C545" s="5144" t="s">
        <v>3458</v>
      </c>
      <c r="D545" s="5144" t="s">
        <v>3459</v>
      </c>
      <c r="E545" s="5144" t="s">
        <v>3460</v>
      </c>
      <c r="F545" s="5144" t="s">
        <v>2288</v>
      </c>
      <c r="G545" s="5144" t="s">
        <v>3461</v>
      </c>
      <c r="H545" s="5144" t="s">
        <v>24</v>
      </c>
      <c r="I545" s="5144" t="s">
        <v>794</v>
      </c>
    </row>
    <row customHeight="1" ht="11.25">
      <c r="A546" s="5144" t="s">
        <v>2177</v>
      </c>
      <c r="B546" s="5144" t="s">
        <v>14</v>
      </c>
      <c r="C546" s="5144" t="s">
        <v>3462</v>
      </c>
      <c r="D546" s="5144" t="s">
        <v>3463</v>
      </c>
      <c r="E546" s="5144" t="s">
        <v>3464</v>
      </c>
      <c r="F546" s="5144" t="s">
        <v>3465</v>
      </c>
      <c r="G546" s="5144" t="s">
        <v>3466</v>
      </c>
      <c r="H546" s="5144" t="s">
        <v>24</v>
      </c>
      <c r="I546" s="5144" t="s">
        <v>794</v>
      </c>
    </row>
    <row customHeight="1" ht="11.25">
      <c r="A547" s="5144" t="s">
        <v>2177</v>
      </c>
      <c r="B547" s="5144" t="s">
        <v>14</v>
      </c>
      <c r="C547" s="5144" t="s">
        <v>3472</v>
      </c>
      <c r="D547" s="5144" t="s">
        <v>3473</v>
      </c>
      <c r="E547" s="5144" t="s">
        <v>3474</v>
      </c>
      <c r="F547" s="5144" t="s">
        <v>3475</v>
      </c>
      <c r="G547" s="5144" t="s">
        <v>3476</v>
      </c>
      <c r="H547" s="5144" t="s">
        <v>24</v>
      </c>
      <c r="I547" s="5144" t="s">
        <v>794</v>
      </c>
    </row>
    <row customHeight="1" ht="11.25">
      <c r="A548" s="5144" t="s">
        <v>2177</v>
      </c>
      <c r="B548" s="5144" t="s">
        <v>14</v>
      </c>
      <c r="C548" s="5144" t="s">
        <v>3501</v>
      </c>
      <c r="D548" s="5144" t="s">
        <v>3502</v>
      </c>
      <c r="E548" s="5144" t="s">
        <v>3464</v>
      </c>
      <c r="F548" s="5144" t="s">
        <v>3503</v>
      </c>
      <c r="G548" s="5144" t="s">
        <v>24</v>
      </c>
      <c r="H548" s="5144" t="s">
        <v>24</v>
      </c>
      <c r="I548" s="5144" t="s">
        <v>794</v>
      </c>
    </row>
    <row customHeight="1" ht="11.25">
      <c r="A549" s="5144" t="s">
        <v>2177</v>
      </c>
      <c r="B549" s="5144" t="s">
        <v>14</v>
      </c>
      <c r="C549" s="5144" t="s">
        <v>24</v>
      </c>
      <c r="D549" s="5144" t="s">
        <v>2178</v>
      </c>
      <c r="E549" s="5144" t="s">
        <v>2179</v>
      </c>
      <c r="F549" s="5144" t="s">
        <v>2180</v>
      </c>
      <c r="G549" s="5144" t="s">
        <v>24</v>
      </c>
      <c r="H549" s="5144" t="s">
        <v>24</v>
      </c>
      <c r="I549" s="5144" t="s">
        <v>756</v>
      </c>
    </row>
    <row customHeight="1" ht="11.25">
      <c r="A550" s="5144" t="s">
        <v>2177</v>
      </c>
      <c r="B550" s="5144" t="s">
        <v>14</v>
      </c>
      <c r="C550" s="5144" t="s">
        <v>24</v>
      </c>
      <c r="D550" s="5144" t="s">
        <v>2181</v>
      </c>
      <c r="E550" s="5144" t="s">
        <v>2182</v>
      </c>
      <c r="F550" s="5144" t="s">
        <v>2183</v>
      </c>
      <c r="G550" s="5144" t="s">
        <v>24</v>
      </c>
      <c r="H550" s="5144" t="s">
        <v>24</v>
      </c>
      <c r="I550" s="5144" t="s">
        <v>756</v>
      </c>
    </row>
    <row customHeight="1" ht="11.25">
      <c r="A551" s="5144" t="s">
        <v>2177</v>
      </c>
      <c r="B551" s="5144" t="s">
        <v>14</v>
      </c>
      <c r="C551" s="5144" t="s">
        <v>24</v>
      </c>
      <c r="D551" s="5144" t="s">
        <v>2184</v>
      </c>
      <c r="E551" s="5144" t="s">
        <v>2185</v>
      </c>
      <c r="F551" s="5144" t="s">
        <v>2186</v>
      </c>
      <c r="G551" s="5144" t="s">
        <v>24</v>
      </c>
      <c r="H551" s="5144" t="s">
        <v>24</v>
      </c>
      <c r="I551" s="5144" t="s">
        <v>756</v>
      </c>
    </row>
    <row customHeight="1" ht="11.25">
      <c r="A552" s="5144" t="s">
        <v>2177</v>
      </c>
      <c r="B552" s="5144" t="s">
        <v>14</v>
      </c>
      <c r="C552" s="5144" t="s">
        <v>24</v>
      </c>
      <c r="D552" s="5144" t="s">
        <v>2187</v>
      </c>
      <c r="E552" s="5144" t="s">
        <v>2188</v>
      </c>
      <c r="F552" s="5144" t="s">
        <v>2189</v>
      </c>
      <c r="G552" s="5144" t="s">
        <v>24</v>
      </c>
      <c r="H552" s="5144" t="s">
        <v>24</v>
      </c>
      <c r="I552" s="5144" t="s">
        <v>756</v>
      </c>
    </row>
    <row customHeight="1" ht="11.25">
      <c r="A553" s="5144" t="s">
        <v>2177</v>
      </c>
      <c r="B553" s="5144" t="s">
        <v>14</v>
      </c>
      <c r="C553" s="5144" t="s">
        <v>24</v>
      </c>
      <c r="D553" s="5144" t="s">
        <v>2190</v>
      </c>
      <c r="E553" s="5144" t="s">
        <v>2191</v>
      </c>
      <c r="F553" s="5144" t="s">
        <v>2192</v>
      </c>
      <c r="G553" s="5144" t="s">
        <v>24</v>
      </c>
      <c r="H553" s="5144" t="s">
        <v>24</v>
      </c>
      <c r="I553" s="5144" t="s">
        <v>756</v>
      </c>
    </row>
    <row customHeight="1" ht="11.25">
      <c r="A554" s="5144" t="s">
        <v>2177</v>
      </c>
      <c r="B554" s="5144" t="s">
        <v>14</v>
      </c>
      <c r="C554" s="5144" t="s">
        <v>24</v>
      </c>
      <c r="D554" s="5144" t="s">
        <v>2193</v>
      </c>
      <c r="E554" s="5144" t="s">
        <v>2194</v>
      </c>
      <c r="F554" s="5144" t="s">
        <v>2189</v>
      </c>
      <c r="G554" s="5144" t="s">
        <v>24</v>
      </c>
      <c r="H554" s="5144" t="s">
        <v>24</v>
      </c>
      <c r="I554" s="5144" t="s">
        <v>756</v>
      </c>
    </row>
    <row customHeight="1" ht="11.25">
      <c r="A555" s="5144" t="s">
        <v>2177</v>
      </c>
      <c r="B555" s="5144" t="s">
        <v>14</v>
      </c>
      <c r="C555" s="5144" t="s">
        <v>24</v>
      </c>
      <c r="D555" s="5144" t="s">
        <v>2195</v>
      </c>
      <c r="E555" s="5144" t="s">
        <v>2196</v>
      </c>
      <c r="F555" s="5144" t="s">
        <v>2186</v>
      </c>
      <c r="G555" s="5144" t="s">
        <v>24</v>
      </c>
      <c r="H555" s="5144" t="s">
        <v>24</v>
      </c>
      <c r="I555" s="5144" t="s">
        <v>756</v>
      </c>
    </row>
    <row customHeight="1" ht="11.25">
      <c r="A556" s="5144" t="s">
        <v>2177</v>
      </c>
      <c r="B556" s="5144" t="s">
        <v>14</v>
      </c>
      <c r="C556" s="5144" t="s">
        <v>24</v>
      </c>
      <c r="D556" s="5144" t="s">
        <v>2197</v>
      </c>
      <c r="E556" s="5144" t="s">
        <v>2198</v>
      </c>
      <c r="F556" s="5144" t="s">
        <v>2199</v>
      </c>
      <c r="G556" s="5144" t="s">
        <v>24</v>
      </c>
      <c r="H556" s="5144" t="s">
        <v>24</v>
      </c>
      <c r="I556" s="5144" t="s">
        <v>756</v>
      </c>
    </row>
    <row customHeight="1" ht="11.25">
      <c r="A557" s="5144" t="s">
        <v>2177</v>
      </c>
      <c r="B557" s="5144" t="s">
        <v>14</v>
      </c>
      <c r="C557" s="5144" t="s">
        <v>24</v>
      </c>
      <c r="D557" s="5144" t="s">
        <v>2200</v>
      </c>
      <c r="E557" s="5144" t="s">
        <v>2201</v>
      </c>
      <c r="F557" s="5144" t="s">
        <v>2202</v>
      </c>
      <c r="G557" s="5144" t="s">
        <v>24</v>
      </c>
      <c r="H557" s="5144" t="s">
        <v>24</v>
      </c>
      <c r="I557" s="5144" t="s">
        <v>756</v>
      </c>
    </row>
    <row customHeight="1" ht="11.25">
      <c r="A558" s="5144" t="s">
        <v>2177</v>
      </c>
      <c r="B558" s="5144" t="s">
        <v>14</v>
      </c>
      <c r="C558" s="5144" t="s">
        <v>24</v>
      </c>
      <c r="D558" s="5144" t="s">
        <v>2203</v>
      </c>
      <c r="E558" s="5144" t="s">
        <v>2204</v>
      </c>
      <c r="F558" s="5144" t="s">
        <v>51</v>
      </c>
      <c r="G558" s="5144" t="s">
        <v>24</v>
      </c>
      <c r="H558" s="5144" t="s">
        <v>24</v>
      </c>
      <c r="I558" s="5144" t="s">
        <v>756</v>
      </c>
    </row>
    <row customHeight="1" ht="11.25">
      <c r="A559" s="5144" t="s">
        <v>2177</v>
      </c>
      <c r="B559" s="5144" t="s">
        <v>14</v>
      </c>
      <c r="C559" s="5144" t="s">
        <v>24</v>
      </c>
      <c r="D559" s="5144" t="s">
        <v>2205</v>
      </c>
      <c r="E559" s="5144" t="s">
        <v>2206</v>
      </c>
      <c r="F559" s="5144" t="s">
        <v>2207</v>
      </c>
      <c r="G559" s="5144" t="s">
        <v>24</v>
      </c>
      <c r="H559" s="5144" t="s">
        <v>24</v>
      </c>
      <c r="I559" s="5144" t="s">
        <v>756</v>
      </c>
    </row>
    <row customHeight="1" ht="11.25">
      <c r="A560" s="5144" t="s">
        <v>2177</v>
      </c>
      <c r="B560" s="5144" t="s">
        <v>14</v>
      </c>
      <c r="C560" s="5144" t="s">
        <v>24</v>
      </c>
      <c r="D560" s="5144" t="s">
        <v>2208</v>
      </c>
      <c r="E560" s="5144" t="s">
        <v>2209</v>
      </c>
      <c r="F560" s="5144" t="s">
        <v>2210</v>
      </c>
      <c r="G560" s="5144" t="s">
        <v>24</v>
      </c>
      <c r="H560" s="5144" t="s">
        <v>24</v>
      </c>
      <c r="I560" s="5144" t="s">
        <v>756</v>
      </c>
    </row>
    <row customHeight="1" ht="11.25">
      <c r="A561" s="5144" t="s">
        <v>2177</v>
      </c>
      <c r="B561" s="5144" t="s">
        <v>14</v>
      </c>
      <c r="C561" s="5144" t="s">
        <v>24</v>
      </c>
      <c r="D561" s="5144" t="s">
        <v>2211</v>
      </c>
      <c r="E561" s="5144" t="s">
        <v>2212</v>
      </c>
      <c r="F561" s="5144" t="s">
        <v>2186</v>
      </c>
      <c r="G561" s="5144" t="s">
        <v>24</v>
      </c>
      <c r="H561" s="5144" t="s">
        <v>24</v>
      </c>
      <c r="I561" s="5144" t="s">
        <v>756</v>
      </c>
    </row>
    <row customHeight="1" ht="11.25">
      <c r="A562" s="5144" t="s">
        <v>2177</v>
      </c>
      <c r="B562" s="5144" t="s">
        <v>14</v>
      </c>
      <c r="C562" s="5144" t="s">
        <v>24</v>
      </c>
      <c r="D562" s="5144" t="s">
        <v>2213</v>
      </c>
      <c r="E562" s="5144" t="s">
        <v>2214</v>
      </c>
      <c r="F562" s="5144" t="s">
        <v>2189</v>
      </c>
      <c r="G562" s="5144" t="s">
        <v>24</v>
      </c>
      <c r="H562" s="5144" t="s">
        <v>24</v>
      </c>
      <c r="I562" s="5144" t="s">
        <v>756</v>
      </c>
    </row>
    <row customHeight="1" ht="11.25">
      <c r="A563" s="5144" t="s">
        <v>2177</v>
      </c>
      <c r="B563" s="5144" t="s">
        <v>14</v>
      </c>
      <c r="C563" s="5144" t="s">
        <v>24</v>
      </c>
      <c r="D563" s="5144" t="s">
        <v>2215</v>
      </c>
      <c r="E563" s="5144" t="s">
        <v>2216</v>
      </c>
      <c r="F563" s="5144" t="s">
        <v>2202</v>
      </c>
      <c r="G563" s="5144" t="s">
        <v>24</v>
      </c>
      <c r="H563" s="5144" t="s">
        <v>24</v>
      </c>
      <c r="I563" s="5144" t="s">
        <v>756</v>
      </c>
    </row>
    <row customHeight="1" ht="11.25">
      <c r="A564" s="5144" t="s">
        <v>2177</v>
      </c>
      <c r="B564" s="5144" t="s">
        <v>14</v>
      </c>
      <c r="C564" s="5144" t="s">
        <v>24</v>
      </c>
      <c r="D564" s="5144" t="s">
        <v>2217</v>
      </c>
      <c r="E564" s="5144" t="s">
        <v>2218</v>
      </c>
      <c r="F564" s="5144" t="s">
        <v>2189</v>
      </c>
      <c r="G564" s="5144" t="s">
        <v>24</v>
      </c>
      <c r="H564" s="5144" t="s">
        <v>24</v>
      </c>
      <c r="I564" s="5144" t="s">
        <v>756</v>
      </c>
    </row>
    <row customHeight="1" ht="11.25">
      <c r="A565" s="5144" t="s">
        <v>2177</v>
      </c>
      <c r="B565" s="5144" t="s">
        <v>14</v>
      </c>
      <c r="C565" s="5144" t="s">
        <v>24</v>
      </c>
      <c r="D565" s="5144" t="s">
        <v>2219</v>
      </c>
      <c r="E565" s="5144" t="s">
        <v>2220</v>
      </c>
      <c r="F565" s="5144" t="s">
        <v>2221</v>
      </c>
      <c r="G565" s="5144" t="s">
        <v>24</v>
      </c>
      <c r="H565" s="5144" t="s">
        <v>24</v>
      </c>
      <c r="I565" s="5144" t="s">
        <v>756</v>
      </c>
    </row>
    <row customHeight="1" ht="11.25">
      <c r="A566" s="5144" t="s">
        <v>2177</v>
      </c>
      <c r="B566" s="5144" t="s">
        <v>14</v>
      </c>
      <c r="C566" s="5144" t="s">
        <v>24</v>
      </c>
      <c r="D566" s="5144" t="s">
        <v>2222</v>
      </c>
      <c r="E566" s="5144" t="s">
        <v>2223</v>
      </c>
      <c r="F566" s="5144" t="s">
        <v>2186</v>
      </c>
      <c r="G566" s="5144" t="s">
        <v>24</v>
      </c>
      <c r="H566" s="5144" t="s">
        <v>24</v>
      </c>
      <c r="I566" s="5144" t="s">
        <v>756</v>
      </c>
    </row>
    <row customHeight="1" ht="11.25">
      <c r="A567" s="5144" t="s">
        <v>2177</v>
      </c>
      <c r="B567" s="5144" t="s">
        <v>14</v>
      </c>
      <c r="C567" s="5144" t="s">
        <v>24</v>
      </c>
      <c r="D567" s="5144" t="s">
        <v>2224</v>
      </c>
      <c r="E567" s="5144" t="s">
        <v>2225</v>
      </c>
      <c r="F567" s="5144" t="s">
        <v>2226</v>
      </c>
      <c r="G567" s="5144" t="s">
        <v>24</v>
      </c>
      <c r="H567" s="5144" t="s">
        <v>24</v>
      </c>
      <c r="I567" s="5144" t="s">
        <v>756</v>
      </c>
    </row>
    <row customHeight="1" ht="11.25">
      <c r="A568" s="5144" t="s">
        <v>2177</v>
      </c>
      <c r="B568" s="5144" t="s">
        <v>14</v>
      </c>
      <c r="C568" s="5144" t="s">
        <v>24</v>
      </c>
      <c r="D568" s="5144" t="s">
        <v>2227</v>
      </c>
      <c r="E568" s="5144" t="s">
        <v>2228</v>
      </c>
      <c r="F568" s="5144" t="s">
        <v>2186</v>
      </c>
      <c r="G568" s="5144" t="s">
        <v>24</v>
      </c>
      <c r="H568" s="5144" t="s">
        <v>24</v>
      </c>
      <c r="I568" s="5144" t="s">
        <v>756</v>
      </c>
    </row>
    <row customHeight="1" ht="11.25">
      <c r="A569" s="5144" t="s">
        <v>2177</v>
      </c>
      <c r="B569" s="5144" t="s">
        <v>14</v>
      </c>
      <c r="C569" s="5144" t="s">
        <v>24</v>
      </c>
      <c r="D569" s="5144" t="s">
        <v>2229</v>
      </c>
      <c r="E569" s="5144" t="s">
        <v>2230</v>
      </c>
      <c r="F569" s="5144" t="s">
        <v>2231</v>
      </c>
      <c r="G569" s="5144" t="s">
        <v>24</v>
      </c>
      <c r="H569" s="5144" t="s">
        <v>24</v>
      </c>
      <c r="I569" s="5144" t="s">
        <v>756</v>
      </c>
    </row>
    <row customHeight="1" ht="11.25">
      <c r="A570" s="5144" t="s">
        <v>2177</v>
      </c>
      <c r="B570" s="5144" t="s">
        <v>14</v>
      </c>
      <c r="C570" s="5144" t="s">
        <v>24</v>
      </c>
      <c r="D570" s="5144" t="s">
        <v>2232</v>
      </c>
      <c r="E570" s="5144" t="s">
        <v>2233</v>
      </c>
      <c r="F570" s="5144" t="s">
        <v>2234</v>
      </c>
      <c r="G570" s="5144" t="s">
        <v>24</v>
      </c>
      <c r="H570" s="5144" t="s">
        <v>24</v>
      </c>
      <c r="I570" s="5144" t="s">
        <v>756</v>
      </c>
    </row>
    <row customHeight="1" ht="11.25">
      <c r="A571" s="5144" t="s">
        <v>2177</v>
      </c>
      <c r="B571" s="5144" t="s">
        <v>14</v>
      </c>
      <c r="C571" s="5144" t="s">
        <v>24</v>
      </c>
      <c r="D571" s="5144" t="s">
        <v>2235</v>
      </c>
      <c r="E571" s="5144" t="s">
        <v>2236</v>
      </c>
      <c r="F571" s="5144" t="s">
        <v>2231</v>
      </c>
      <c r="G571" s="5144" t="s">
        <v>24</v>
      </c>
      <c r="H571" s="5144" t="s">
        <v>24</v>
      </c>
      <c r="I571" s="5144" t="s">
        <v>756</v>
      </c>
    </row>
    <row customHeight="1" ht="11.25">
      <c r="A572" s="5144" t="s">
        <v>2177</v>
      </c>
      <c r="B572" s="5144" t="s">
        <v>14</v>
      </c>
      <c r="C572" s="5144" t="s">
        <v>24</v>
      </c>
      <c r="D572" s="5144" t="s">
        <v>2237</v>
      </c>
      <c r="E572" s="5144" t="s">
        <v>2238</v>
      </c>
      <c r="F572" s="5144" t="s">
        <v>2239</v>
      </c>
      <c r="G572" s="5144" t="s">
        <v>24</v>
      </c>
      <c r="H572" s="5144" t="s">
        <v>24</v>
      </c>
      <c r="I572" s="5144" t="s">
        <v>756</v>
      </c>
    </row>
    <row customHeight="1" ht="11.25">
      <c r="A573" s="5144" t="s">
        <v>2177</v>
      </c>
      <c r="B573" s="5144" t="s">
        <v>14</v>
      </c>
      <c r="C573" s="5144" t="s">
        <v>24</v>
      </c>
      <c r="D573" s="5144" t="s">
        <v>2240</v>
      </c>
      <c r="E573" s="5144" t="s">
        <v>2241</v>
      </c>
      <c r="F573" s="5144" t="s">
        <v>2231</v>
      </c>
      <c r="G573" s="5144" t="s">
        <v>24</v>
      </c>
      <c r="H573" s="5144" t="s">
        <v>24</v>
      </c>
      <c r="I573" s="5144" t="s">
        <v>756</v>
      </c>
    </row>
    <row customHeight="1" ht="11.25">
      <c r="A574" s="5144" t="s">
        <v>2177</v>
      </c>
      <c r="B574" s="5144" t="s">
        <v>14</v>
      </c>
      <c r="C574" s="5144" t="s">
        <v>24</v>
      </c>
      <c r="D574" s="5144" t="s">
        <v>2242</v>
      </c>
      <c r="E574" s="5144" t="s">
        <v>2243</v>
      </c>
      <c r="F574" s="5144" t="s">
        <v>2234</v>
      </c>
      <c r="G574" s="5144" t="s">
        <v>24</v>
      </c>
      <c r="H574" s="5144" t="s">
        <v>24</v>
      </c>
      <c r="I574" s="5144" t="s">
        <v>756</v>
      </c>
    </row>
    <row customHeight="1" ht="11.25">
      <c r="A575" s="5144" t="s">
        <v>2177</v>
      </c>
      <c r="B575" s="5144" t="s">
        <v>14</v>
      </c>
      <c r="C575" s="5144" t="s">
        <v>24</v>
      </c>
      <c r="D575" s="5144" t="s">
        <v>2244</v>
      </c>
      <c r="E575" s="5144" t="s">
        <v>2245</v>
      </c>
      <c r="F575" s="5144" t="s">
        <v>2231</v>
      </c>
      <c r="G575" s="5144" t="s">
        <v>24</v>
      </c>
      <c r="H575" s="5144" t="s">
        <v>24</v>
      </c>
      <c r="I575" s="5144" t="s">
        <v>756</v>
      </c>
    </row>
    <row customHeight="1" ht="11.25">
      <c r="A576" s="5144" t="s">
        <v>2177</v>
      </c>
      <c r="B576" s="5144" t="s">
        <v>14</v>
      </c>
      <c r="C576" s="5144" t="s">
        <v>24</v>
      </c>
      <c r="D576" s="5144" t="s">
        <v>2246</v>
      </c>
      <c r="E576" s="5144" t="s">
        <v>2247</v>
      </c>
      <c r="F576" s="5144" t="s">
        <v>2234</v>
      </c>
      <c r="G576" s="5144" t="s">
        <v>24</v>
      </c>
      <c r="H576" s="5144" t="s">
        <v>24</v>
      </c>
      <c r="I576" s="5144" t="s">
        <v>756</v>
      </c>
    </row>
    <row customHeight="1" ht="11.25">
      <c r="A577" s="5144" t="s">
        <v>2177</v>
      </c>
      <c r="B577" s="5144" t="s">
        <v>14</v>
      </c>
      <c r="C577" s="5144" t="s">
        <v>24</v>
      </c>
      <c r="D577" s="5144" t="s">
        <v>2248</v>
      </c>
      <c r="E577" s="5144" t="s">
        <v>2249</v>
      </c>
      <c r="F577" s="5144" t="s">
        <v>2234</v>
      </c>
      <c r="G577" s="5144" t="s">
        <v>24</v>
      </c>
      <c r="H577" s="5144" t="s">
        <v>24</v>
      </c>
      <c r="I577" s="5144" t="s">
        <v>756</v>
      </c>
    </row>
    <row customHeight="1" ht="11.25">
      <c r="A578" s="5144" t="s">
        <v>2177</v>
      </c>
      <c r="B578" s="5144" t="s">
        <v>14</v>
      </c>
      <c r="C578" s="5144" t="s">
        <v>24</v>
      </c>
      <c r="D578" s="5144" t="s">
        <v>2250</v>
      </c>
      <c r="E578" s="5144" t="s">
        <v>2251</v>
      </c>
      <c r="F578" s="5144" t="s">
        <v>2252</v>
      </c>
      <c r="G578" s="5144" t="s">
        <v>24</v>
      </c>
      <c r="H578" s="5144" t="s">
        <v>24</v>
      </c>
      <c r="I578" s="5144" t="s">
        <v>756</v>
      </c>
    </row>
    <row customHeight="1" ht="11.25">
      <c r="A579" s="5144" t="s">
        <v>2177</v>
      </c>
      <c r="B579" s="5144" t="s">
        <v>14</v>
      </c>
      <c r="C579" s="5144" t="s">
        <v>24</v>
      </c>
      <c r="D579" s="5144" t="s">
        <v>2253</v>
      </c>
      <c r="E579" s="5144" t="s">
        <v>2254</v>
      </c>
      <c r="F579" s="5144" t="s">
        <v>2192</v>
      </c>
      <c r="G579" s="5144" t="s">
        <v>24</v>
      </c>
      <c r="H579" s="5144" t="s">
        <v>24</v>
      </c>
      <c r="I579" s="5144" t="s">
        <v>756</v>
      </c>
    </row>
    <row customHeight="1" ht="11.25">
      <c r="A580" s="5144" t="s">
        <v>2177</v>
      </c>
      <c r="B580" s="5144" t="s">
        <v>14</v>
      </c>
      <c r="C580" s="5144" t="s">
        <v>24</v>
      </c>
      <c r="D580" s="5144" t="s">
        <v>2255</v>
      </c>
      <c r="E580" s="5144" t="s">
        <v>2256</v>
      </c>
      <c r="F580" s="5144" t="s">
        <v>2234</v>
      </c>
      <c r="G580" s="5144" t="s">
        <v>24</v>
      </c>
      <c r="H580" s="5144" t="s">
        <v>24</v>
      </c>
      <c r="I580" s="5144" t="s">
        <v>756</v>
      </c>
    </row>
    <row customHeight="1" ht="11.25">
      <c r="A581" s="5144" t="s">
        <v>2177</v>
      </c>
      <c r="B581" s="5144" t="s">
        <v>14</v>
      </c>
      <c r="C581" s="5144" t="s">
        <v>24</v>
      </c>
      <c r="D581" s="5144" t="s">
        <v>2257</v>
      </c>
      <c r="E581" s="5144" t="s">
        <v>2258</v>
      </c>
      <c r="F581" s="5144" t="s">
        <v>2239</v>
      </c>
      <c r="G581" s="5144" t="s">
        <v>24</v>
      </c>
      <c r="H581" s="5144" t="s">
        <v>24</v>
      </c>
      <c r="I581" s="5144" t="s">
        <v>756</v>
      </c>
    </row>
    <row customHeight="1" ht="11.25">
      <c r="A582" s="5144" t="s">
        <v>2177</v>
      </c>
      <c r="B582" s="5144" t="s">
        <v>14</v>
      </c>
      <c r="C582" s="5144" t="s">
        <v>24</v>
      </c>
      <c r="D582" s="5144" t="s">
        <v>2259</v>
      </c>
      <c r="E582" s="5144" t="s">
        <v>2260</v>
      </c>
      <c r="F582" s="5144" t="s">
        <v>2234</v>
      </c>
      <c r="G582" s="5144" t="s">
        <v>24</v>
      </c>
      <c r="H582" s="5144" t="s">
        <v>24</v>
      </c>
      <c r="I582" s="5144" t="s">
        <v>756</v>
      </c>
    </row>
    <row customHeight="1" ht="11.25">
      <c r="A583" s="5144" t="s">
        <v>2177</v>
      </c>
      <c r="B583" s="5144" t="s">
        <v>14</v>
      </c>
      <c r="C583" s="5144" t="s">
        <v>24</v>
      </c>
      <c r="D583" s="5144" t="s">
        <v>2261</v>
      </c>
      <c r="E583" s="5144" t="s">
        <v>2262</v>
      </c>
      <c r="F583" s="5144" t="s">
        <v>2202</v>
      </c>
      <c r="G583" s="5144" t="s">
        <v>24</v>
      </c>
      <c r="H583" s="5144" t="s">
        <v>24</v>
      </c>
      <c r="I583" s="5144" t="s">
        <v>756</v>
      </c>
    </row>
    <row customHeight="1" ht="11.25">
      <c r="A584" s="5144" t="s">
        <v>2177</v>
      </c>
      <c r="B584" s="5144" t="s">
        <v>14</v>
      </c>
      <c r="C584" s="5144" t="s">
        <v>24</v>
      </c>
      <c r="D584" s="5144" t="s">
        <v>2263</v>
      </c>
      <c r="E584" s="5144" t="s">
        <v>2264</v>
      </c>
      <c r="F584" s="5144" t="s">
        <v>2192</v>
      </c>
      <c r="G584" s="5144" t="s">
        <v>24</v>
      </c>
      <c r="H584" s="5144" t="s">
        <v>24</v>
      </c>
      <c r="I584" s="5144" t="s">
        <v>756</v>
      </c>
    </row>
    <row customHeight="1" ht="11.25">
      <c r="A585" s="5144" t="s">
        <v>2177</v>
      </c>
      <c r="B585" s="5144" t="s">
        <v>14</v>
      </c>
      <c r="C585" s="5144" t="s">
        <v>24</v>
      </c>
      <c r="D585" s="5144" t="s">
        <v>2265</v>
      </c>
      <c r="E585" s="5144" t="s">
        <v>2266</v>
      </c>
      <c r="F585" s="5144" t="s">
        <v>2202</v>
      </c>
      <c r="G585" s="5144" t="s">
        <v>24</v>
      </c>
      <c r="H585" s="5144" t="s">
        <v>24</v>
      </c>
      <c r="I585" s="5144" t="s">
        <v>756</v>
      </c>
    </row>
    <row customHeight="1" ht="11.25">
      <c r="A586" s="5144" t="s">
        <v>2177</v>
      </c>
      <c r="B586" s="5144" t="s">
        <v>14</v>
      </c>
      <c r="C586" s="5144" t="s">
        <v>24</v>
      </c>
      <c r="D586" s="5144" t="s">
        <v>2267</v>
      </c>
      <c r="E586" s="5144" t="s">
        <v>2268</v>
      </c>
      <c r="F586" s="5144" t="s">
        <v>2221</v>
      </c>
      <c r="G586" s="5144" t="s">
        <v>24</v>
      </c>
      <c r="H586" s="5144" t="s">
        <v>24</v>
      </c>
      <c r="I586" s="5144" t="s">
        <v>756</v>
      </c>
    </row>
    <row customHeight="1" ht="11.25">
      <c r="A587" s="5144" t="s">
        <v>2177</v>
      </c>
      <c r="B587" s="5144" t="s">
        <v>14</v>
      </c>
      <c r="C587" s="5144" t="s">
        <v>24</v>
      </c>
      <c r="D587" s="5144" t="s">
        <v>2269</v>
      </c>
      <c r="E587" s="5144" t="s">
        <v>2270</v>
      </c>
      <c r="F587" s="5144" t="s">
        <v>2231</v>
      </c>
      <c r="G587" s="5144" t="s">
        <v>24</v>
      </c>
      <c r="H587" s="5144" t="s">
        <v>24</v>
      </c>
      <c r="I587" s="5144" t="s">
        <v>756</v>
      </c>
    </row>
    <row customHeight="1" ht="11.25">
      <c r="A588" s="5144" t="s">
        <v>2177</v>
      </c>
      <c r="B588" s="5144" t="s">
        <v>14</v>
      </c>
      <c r="C588" s="5144" t="s">
        <v>24</v>
      </c>
      <c r="D588" s="5144" t="s">
        <v>2271</v>
      </c>
      <c r="E588" s="5144" t="s">
        <v>2272</v>
      </c>
      <c r="F588" s="5144" t="s">
        <v>2202</v>
      </c>
      <c r="G588" s="5144" t="s">
        <v>24</v>
      </c>
      <c r="H588" s="5144" t="s">
        <v>24</v>
      </c>
      <c r="I588" s="5144" t="s">
        <v>756</v>
      </c>
    </row>
    <row customHeight="1" ht="11.25">
      <c r="A589" s="5144" t="s">
        <v>2177</v>
      </c>
      <c r="B589" s="5144" t="s">
        <v>14</v>
      </c>
      <c r="C589" s="5144" t="s">
        <v>24</v>
      </c>
      <c r="D589" s="5144" t="s">
        <v>2273</v>
      </c>
      <c r="E589" s="5144" t="s">
        <v>2274</v>
      </c>
      <c r="F589" s="5144" t="s">
        <v>2231</v>
      </c>
      <c r="G589" s="5144" t="s">
        <v>24</v>
      </c>
      <c r="H589" s="5144" t="s">
        <v>24</v>
      </c>
      <c r="I589" s="5144" t="s">
        <v>756</v>
      </c>
    </row>
    <row customHeight="1" ht="11.25">
      <c r="A590" s="5144" t="s">
        <v>2177</v>
      </c>
      <c r="B590" s="5144" t="s">
        <v>14</v>
      </c>
      <c r="C590" s="5144" t="s">
        <v>24</v>
      </c>
      <c r="D590" s="5144" t="s">
        <v>2275</v>
      </c>
      <c r="E590" s="5144" t="s">
        <v>2276</v>
      </c>
      <c r="F590" s="5144" t="s">
        <v>2277</v>
      </c>
      <c r="G590" s="5144" t="s">
        <v>24</v>
      </c>
      <c r="H590" s="5144" t="s">
        <v>24</v>
      </c>
      <c r="I590" s="5144" t="s">
        <v>756</v>
      </c>
    </row>
    <row customHeight="1" ht="11.25">
      <c r="A591" s="5144" t="s">
        <v>2177</v>
      </c>
      <c r="B591" s="5144" t="s">
        <v>14</v>
      </c>
      <c r="C591" s="5144" t="s">
        <v>24</v>
      </c>
      <c r="D591" s="5144" t="s">
        <v>2278</v>
      </c>
      <c r="E591" s="5144" t="s">
        <v>2279</v>
      </c>
      <c r="F591" s="5144" t="s">
        <v>2202</v>
      </c>
      <c r="G591" s="5144" t="s">
        <v>24</v>
      </c>
      <c r="H591" s="5144" t="s">
        <v>24</v>
      </c>
      <c r="I591" s="5144" t="s">
        <v>756</v>
      </c>
    </row>
    <row customHeight="1" ht="11.25">
      <c r="A592" s="5144" t="s">
        <v>2177</v>
      </c>
      <c r="B592" s="5144" t="s">
        <v>14</v>
      </c>
      <c r="C592" s="5144" t="s">
        <v>24</v>
      </c>
      <c r="D592" s="5144" t="s">
        <v>2280</v>
      </c>
      <c r="E592" s="5144" t="s">
        <v>2281</v>
      </c>
      <c r="F592" s="5144" t="s">
        <v>2202</v>
      </c>
      <c r="G592" s="5144" t="s">
        <v>24</v>
      </c>
      <c r="H592" s="5144" t="s">
        <v>24</v>
      </c>
      <c r="I592" s="5144" t="s">
        <v>756</v>
      </c>
    </row>
    <row customHeight="1" ht="11.25">
      <c r="A593" s="5144" t="s">
        <v>2177</v>
      </c>
      <c r="B593" s="5144" t="s">
        <v>14</v>
      </c>
      <c r="C593" s="5144" t="s">
        <v>24</v>
      </c>
      <c r="D593" s="5144" t="s">
        <v>2282</v>
      </c>
      <c r="E593" s="5144" t="s">
        <v>2283</v>
      </c>
      <c r="F593" s="5144" t="s">
        <v>2202</v>
      </c>
      <c r="G593" s="5144" t="s">
        <v>24</v>
      </c>
      <c r="H593" s="5144" t="s">
        <v>24</v>
      </c>
      <c r="I593" s="5144" t="s">
        <v>756</v>
      </c>
    </row>
    <row customHeight="1" ht="11.25">
      <c r="A594" s="5144" t="s">
        <v>2177</v>
      </c>
      <c r="B594" s="5144" t="s">
        <v>14</v>
      </c>
      <c r="C594" s="5144" t="s">
        <v>24</v>
      </c>
      <c r="D594" s="5144" t="s">
        <v>2284</v>
      </c>
      <c r="E594" s="5144" t="s">
        <v>2285</v>
      </c>
      <c r="F594" s="5144" t="s">
        <v>2221</v>
      </c>
      <c r="G594" s="5144" t="s">
        <v>24</v>
      </c>
      <c r="H594" s="5144" t="s">
        <v>24</v>
      </c>
      <c r="I594" s="5144" t="s">
        <v>756</v>
      </c>
    </row>
    <row customHeight="1" ht="11.25">
      <c r="A595" s="5144" t="s">
        <v>2177</v>
      </c>
      <c r="B595" s="5144" t="s">
        <v>14</v>
      </c>
      <c r="C595" s="5144" t="s">
        <v>24</v>
      </c>
      <c r="D595" s="5144" t="s">
        <v>2286</v>
      </c>
      <c r="E595" s="5144" t="s">
        <v>2287</v>
      </c>
      <c r="F595" s="5144" t="s">
        <v>2288</v>
      </c>
      <c r="G595" s="5144" t="s">
        <v>24</v>
      </c>
      <c r="H595" s="5144" t="s">
        <v>24</v>
      </c>
      <c r="I595" s="5144" t="s">
        <v>756</v>
      </c>
    </row>
    <row customHeight="1" ht="11.25">
      <c r="A596" s="5144" t="s">
        <v>2177</v>
      </c>
      <c r="B596" s="5144" t="s">
        <v>14</v>
      </c>
      <c r="C596" s="5144" t="s">
        <v>24</v>
      </c>
      <c r="D596" s="5144" t="s">
        <v>2289</v>
      </c>
      <c r="E596" s="5144" t="s">
        <v>2290</v>
      </c>
      <c r="F596" s="5144" t="s">
        <v>2199</v>
      </c>
      <c r="G596" s="5144" t="s">
        <v>24</v>
      </c>
      <c r="H596" s="5144" t="s">
        <v>24</v>
      </c>
      <c r="I596" s="5144" t="s">
        <v>756</v>
      </c>
    </row>
    <row customHeight="1" ht="11.25">
      <c r="A597" s="5144" t="s">
        <v>2177</v>
      </c>
      <c r="B597" s="5144" t="s">
        <v>14</v>
      </c>
      <c r="C597" s="5144" t="s">
        <v>24</v>
      </c>
      <c r="D597" s="5144" t="s">
        <v>2291</v>
      </c>
      <c r="E597" s="5144" t="s">
        <v>2292</v>
      </c>
      <c r="F597" s="5144" t="s">
        <v>2192</v>
      </c>
      <c r="G597" s="5144" t="s">
        <v>24</v>
      </c>
      <c r="H597" s="5144" t="s">
        <v>24</v>
      </c>
      <c r="I597" s="5144" t="s">
        <v>756</v>
      </c>
    </row>
    <row customHeight="1" ht="11.25">
      <c r="A598" s="5144" t="s">
        <v>2177</v>
      </c>
      <c r="B598" s="5144" t="s">
        <v>14</v>
      </c>
      <c r="C598" s="5144" t="s">
        <v>24</v>
      </c>
      <c r="D598" s="5144" t="s">
        <v>2293</v>
      </c>
      <c r="E598" s="5144" t="s">
        <v>2294</v>
      </c>
      <c r="F598" s="5144" t="s">
        <v>2202</v>
      </c>
      <c r="G598" s="5144" t="s">
        <v>24</v>
      </c>
      <c r="H598" s="5144" t="s">
        <v>24</v>
      </c>
      <c r="I598" s="5144" t="s">
        <v>756</v>
      </c>
    </row>
    <row customHeight="1" ht="11.25">
      <c r="A599" s="5144" t="s">
        <v>2177</v>
      </c>
      <c r="B599" s="5144" t="s">
        <v>14</v>
      </c>
      <c r="C599" s="5144" t="s">
        <v>3511</v>
      </c>
      <c r="D599" s="5144" t="s">
        <v>3512</v>
      </c>
      <c r="E599" s="5144" t="s">
        <v>3513</v>
      </c>
      <c r="F599" s="5144" t="s">
        <v>3514</v>
      </c>
      <c r="G599" s="5144" t="s">
        <v>3515</v>
      </c>
      <c r="H599" s="5144" t="s">
        <v>24</v>
      </c>
      <c r="I599" s="5144" t="s">
        <v>756</v>
      </c>
    </row>
    <row customHeight="1" ht="11.25">
      <c r="A600" s="5144" t="s">
        <v>2177</v>
      </c>
      <c r="B600" s="5144" t="s">
        <v>14</v>
      </c>
      <c r="C600" s="5144" t="s">
        <v>2295</v>
      </c>
      <c r="D600" s="5144" t="s">
        <v>2296</v>
      </c>
      <c r="E600" s="5144" t="s">
        <v>2297</v>
      </c>
      <c r="F600" s="5144" t="s">
        <v>2298</v>
      </c>
      <c r="G600" s="5144" t="s">
        <v>2299</v>
      </c>
      <c r="H600" s="5144" t="s">
        <v>24</v>
      </c>
      <c r="I600" s="5144" t="s">
        <v>756</v>
      </c>
    </row>
    <row customHeight="1" ht="11.25">
      <c r="A601" s="5144" t="s">
        <v>2177</v>
      </c>
      <c r="B601" s="5144" t="s">
        <v>14</v>
      </c>
      <c r="C601" s="5144" t="s">
        <v>2300</v>
      </c>
      <c r="D601" s="5144" t="s">
        <v>2301</v>
      </c>
      <c r="E601" s="5144" t="s">
        <v>2302</v>
      </c>
      <c r="F601" s="5144" t="s">
        <v>2180</v>
      </c>
      <c r="G601" s="5144" t="s">
        <v>2303</v>
      </c>
      <c r="H601" s="5144" t="s">
        <v>24</v>
      </c>
      <c r="I601" s="5144" t="s">
        <v>756</v>
      </c>
    </row>
    <row customHeight="1" ht="11.25">
      <c r="A602" s="5144" t="s">
        <v>2177</v>
      </c>
      <c r="B602" s="5144" t="s">
        <v>14</v>
      </c>
      <c r="C602" s="5144" t="s">
        <v>2308</v>
      </c>
      <c r="D602" s="5144" t="s">
        <v>2309</v>
      </c>
      <c r="E602" s="5144" t="s">
        <v>2310</v>
      </c>
      <c r="F602" s="5144" t="s">
        <v>2311</v>
      </c>
      <c r="G602" s="5144" t="s">
        <v>2312</v>
      </c>
      <c r="H602" s="5144" t="s">
        <v>24</v>
      </c>
      <c r="I602" s="5144" t="s">
        <v>756</v>
      </c>
    </row>
    <row customHeight="1" ht="11.25">
      <c r="A603" s="5144" t="s">
        <v>2177</v>
      </c>
      <c r="B603" s="5144" t="s">
        <v>14</v>
      </c>
      <c r="C603" s="5144" t="s">
        <v>2313</v>
      </c>
      <c r="D603" s="5144" t="s">
        <v>2314</v>
      </c>
      <c r="E603" s="5144" t="s">
        <v>2315</v>
      </c>
      <c r="F603" s="5144" t="s">
        <v>2316</v>
      </c>
      <c r="G603" s="5144" t="s">
        <v>2317</v>
      </c>
      <c r="H603" s="5144" t="s">
        <v>24</v>
      </c>
      <c r="I603" s="5144" t="s">
        <v>756</v>
      </c>
    </row>
    <row customHeight="1" ht="11.25">
      <c r="A604" s="5144" t="s">
        <v>2177</v>
      </c>
      <c r="B604" s="5144" t="s">
        <v>14</v>
      </c>
      <c r="C604" s="5144" t="s">
        <v>2318</v>
      </c>
      <c r="D604" s="5144" t="s">
        <v>2314</v>
      </c>
      <c r="E604" s="5144" t="s">
        <v>2315</v>
      </c>
      <c r="F604" s="5144" t="s">
        <v>2319</v>
      </c>
      <c r="G604" s="5144" t="s">
        <v>2317</v>
      </c>
      <c r="H604" s="5144" t="s">
        <v>24</v>
      </c>
      <c r="I604" s="5144" t="s">
        <v>756</v>
      </c>
    </row>
    <row customHeight="1" ht="11.25">
      <c r="A605" s="5144" t="s">
        <v>2177</v>
      </c>
      <c r="B605" s="5144" t="s">
        <v>14</v>
      </c>
      <c r="C605" s="5144" t="s">
        <v>2328</v>
      </c>
      <c r="D605" s="5144" t="s">
        <v>2329</v>
      </c>
      <c r="E605" s="5144" t="s">
        <v>2322</v>
      </c>
      <c r="F605" s="5144" t="s">
        <v>2330</v>
      </c>
      <c r="G605" s="5144" t="s">
        <v>2324</v>
      </c>
      <c r="H605" s="5144" t="s">
        <v>24</v>
      </c>
      <c r="I605" s="5144" t="s">
        <v>756</v>
      </c>
    </row>
    <row customHeight="1" ht="11.25">
      <c r="A606" s="5144" t="s">
        <v>2177</v>
      </c>
      <c r="B606" s="5144" t="s">
        <v>14</v>
      </c>
      <c r="C606" s="5144" t="s">
        <v>2336</v>
      </c>
      <c r="D606" s="5144" t="s">
        <v>2337</v>
      </c>
      <c r="E606" s="5144" t="s">
        <v>2338</v>
      </c>
      <c r="F606" s="5144" t="s">
        <v>2183</v>
      </c>
      <c r="G606" s="5144" t="s">
        <v>2339</v>
      </c>
      <c r="H606" s="5144" t="s">
        <v>24</v>
      </c>
      <c r="I606" s="5144" t="s">
        <v>756</v>
      </c>
    </row>
    <row customHeight="1" ht="11.25">
      <c r="A607" s="5144" t="s">
        <v>2177</v>
      </c>
      <c r="B607" s="5144" t="s">
        <v>14</v>
      </c>
      <c r="C607" s="5144" t="s">
        <v>3516</v>
      </c>
      <c r="D607" s="5144" t="s">
        <v>3517</v>
      </c>
      <c r="E607" s="5144" t="s">
        <v>3518</v>
      </c>
      <c r="F607" s="5144" t="s">
        <v>2231</v>
      </c>
      <c r="G607" s="5144" t="s">
        <v>3519</v>
      </c>
      <c r="H607" s="5144" t="s">
        <v>24</v>
      </c>
      <c r="I607" s="5144" t="s">
        <v>756</v>
      </c>
    </row>
    <row customHeight="1" ht="11.25">
      <c r="A608" s="5144" t="s">
        <v>2177</v>
      </c>
      <c r="B608" s="5144" t="s">
        <v>14</v>
      </c>
      <c r="C608" s="5144" t="s">
        <v>3520</v>
      </c>
      <c r="D608" s="5144" t="s">
        <v>3521</v>
      </c>
      <c r="E608" s="5144" t="s">
        <v>3522</v>
      </c>
      <c r="F608" s="5144" t="s">
        <v>2520</v>
      </c>
      <c r="G608" s="5144" t="s">
        <v>24</v>
      </c>
      <c r="H608" s="5144" t="s">
        <v>24</v>
      </c>
      <c r="I608" s="5144" t="s">
        <v>756</v>
      </c>
    </row>
    <row customHeight="1" ht="11.25">
      <c r="A609" s="5144" t="s">
        <v>2177</v>
      </c>
      <c r="B609" s="5144" t="s">
        <v>14</v>
      </c>
      <c r="C609" s="5144" t="s">
        <v>2352</v>
      </c>
      <c r="D609" s="5144" t="s">
        <v>2353</v>
      </c>
      <c r="E609" s="5144" t="s">
        <v>2354</v>
      </c>
      <c r="F609" s="5144" t="s">
        <v>2207</v>
      </c>
      <c r="G609" s="5144" t="s">
        <v>2355</v>
      </c>
      <c r="H609" s="5144" t="s">
        <v>24</v>
      </c>
      <c r="I609" s="5144" t="s">
        <v>756</v>
      </c>
    </row>
    <row customHeight="1" ht="11.25">
      <c r="A610" s="5144" t="s">
        <v>2177</v>
      </c>
      <c r="B610" s="5144" t="s">
        <v>14</v>
      </c>
      <c r="C610" s="5144" t="s">
        <v>3523</v>
      </c>
      <c r="D610" s="5144" t="s">
        <v>3524</v>
      </c>
      <c r="E610" s="5144" t="s">
        <v>3525</v>
      </c>
      <c r="F610" s="5144" t="s">
        <v>2520</v>
      </c>
      <c r="G610" s="5144" t="s">
        <v>24</v>
      </c>
      <c r="H610" s="5144" t="s">
        <v>24</v>
      </c>
      <c r="I610" s="5144" t="s">
        <v>756</v>
      </c>
    </row>
    <row customHeight="1" ht="11.25">
      <c r="A611" s="5144" t="s">
        <v>2177</v>
      </c>
      <c r="B611" s="5144" t="s">
        <v>14</v>
      </c>
      <c r="C611" s="5144" t="s">
        <v>2361</v>
      </c>
      <c r="D611" s="5144" t="s">
        <v>2362</v>
      </c>
      <c r="E611" s="5144" t="s">
        <v>2363</v>
      </c>
      <c r="F611" s="5144" t="s">
        <v>2364</v>
      </c>
      <c r="G611" s="5144" t="s">
        <v>2365</v>
      </c>
      <c r="H611" s="5144" t="s">
        <v>24</v>
      </c>
      <c r="I611" s="5144" t="s">
        <v>756</v>
      </c>
    </row>
    <row customHeight="1" ht="11.25">
      <c r="A612" s="5144" t="s">
        <v>2177</v>
      </c>
      <c r="B612" s="5144" t="s">
        <v>14</v>
      </c>
      <c r="C612" s="5144" t="s">
        <v>2366</v>
      </c>
      <c r="D612" s="5144" t="s">
        <v>2367</v>
      </c>
      <c r="E612" s="5144" t="s">
        <v>2368</v>
      </c>
      <c r="F612" s="5144" t="s">
        <v>2369</v>
      </c>
      <c r="G612" s="5144" t="s">
        <v>2370</v>
      </c>
      <c r="H612" s="5144" t="s">
        <v>2371</v>
      </c>
      <c r="I612" s="5144" t="s">
        <v>756</v>
      </c>
    </row>
    <row customHeight="1" ht="11.25">
      <c r="A613" s="5144" t="s">
        <v>2177</v>
      </c>
      <c r="B613" s="5144" t="s">
        <v>14</v>
      </c>
      <c r="C613" s="5144" t="s">
        <v>2372</v>
      </c>
      <c r="D613" s="5144" t="s">
        <v>2373</v>
      </c>
      <c r="E613" s="5144" t="s">
        <v>2374</v>
      </c>
      <c r="F613" s="5144" t="s">
        <v>2183</v>
      </c>
      <c r="G613" s="5144" t="s">
        <v>2371</v>
      </c>
      <c r="H613" s="5144" t="s">
        <v>24</v>
      </c>
      <c r="I613" s="5144" t="s">
        <v>756</v>
      </c>
    </row>
    <row customHeight="1" ht="11.25">
      <c r="A614" s="5144" t="s">
        <v>2177</v>
      </c>
      <c r="B614" s="5144" t="s">
        <v>14</v>
      </c>
      <c r="C614" s="5144" t="s">
        <v>3526</v>
      </c>
      <c r="D614" s="5144" t="s">
        <v>3527</v>
      </c>
      <c r="E614" s="5144" t="s">
        <v>3528</v>
      </c>
      <c r="F614" s="5144" t="s">
        <v>563</v>
      </c>
      <c r="G614" s="5144" t="s">
        <v>3529</v>
      </c>
      <c r="H614" s="5144" t="s">
        <v>24</v>
      </c>
      <c r="I614" s="5144" t="s">
        <v>756</v>
      </c>
    </row>
    <row customHeight="1" ht="11.25">
      <c r="A615" s="5144" t="s">
        <v>2177</v>
      </c>
      <c r="B615" s="5144" t="s">
        <v>14</v>
      </c>
      <c r="C615" s="5144" t="s">
        <v>2377</v>
      </c>
      <c r="D615" s="5144" t="s">
        <v>2378</v>
      </c>
      <c r="E615" s="5144" t="s">
        <v>2379</v>
      </c>
      <c r="F615" s="5144" t="s">
        <v>2202</v>
      </c>
      <c r="G615" s="5144" t="s">
        <v>24</v>
      </c>
      <c r="H615" s="5144" t="s">
        <v>24</v>
      </c>
      <c r="I615" s="5144" t="s">
        <v>756</v>
      </c>
    </row>
    <row customHeight="1" ht="11.25">
      <c r="A616" s="5144" t="s">
        <v>2177</v>
      </c>
      <c r="B616" s="5144" t="s">
        <v>14</v>
      </c>
      <c r="C616" s="5144" t="s">
        <v>2384</v>
      </c>
      <c r="D616" s="5144" t="s">
        <v>2385</v>
      </c>
      <c r="E616" s="5144" t="s">
        <v>2386</v>
      </c>
      <c r="F616" s="5144" t="s">
        <v>563</v>
      </c>
      <c r="G616" s="5144" t="s">
        <v>2387</v>
      </c>
      <c r="H616" s="5144" t="s">
        <v>24</v>
      </c>
      <c r="I616" s="5144" t="s">
        <v>756</v>
      </c>
    </row>
    <row customHeight="1" ht="11.25">
      <c r="A617" s="5144" t="s">
        <v>2177</v>
      </c>
      <c r="B617" s="5144" t="s">
        <v>14</v>
      </c>
      <c r="C617" s="5144" t="s">
        <v>3530</v>
      </c>
      <c r="D617" s="5144" t="s">
        <v>3531</v>
      </c>
      <c r="E617" s="5144" t="s">
        <v>3532</v>
      </c>
      <c r="F617" s="5144" t="s">
        <v>563</v>
      </c>
      <c r="G617" s="5144" t="s">
        <v>3533</v>
      </c>
      <c r="H617" s="5144" t="s">
        <v>24</v>
      </c>
      <c r="I617" s="5144" t="s">
        <v>756</v>
      </c>
    </row>
    <row customHeight="1" ht="11.25">
      <c r="A618" s="5144" t="s">
        <v>2177</v>
      </c>
      <c r="B618" s="5144" t="s">
        <v>14</v>
      </c>
      <c r="C618" s="5144" t="s">
        <v>3534</v>
      </c>
      <c r="D618" s="5144" t="s">
        <v>3535</v>
      </c>
      <c r="E618" s="5144" t="s">
        <v>3536</v>
      </c>
      <c r="F618" s="5144" t="s">
        <v>563</v>
      </c>
      <c r="G618" s="5144" t="s">
        <v>3537</v>
      </c>
      <c r="H618" s="5144" t="s">
        <v>24</v>
      </c>
      <c r="I618" s="5144" t="s">
        <v>756</v>
      </c>
    </row>
    <row customHeight="1" ht="11.25">
      <c r="A619" s="5144" t="s">
        <v>2177</v>
      </c>
      <c r="B619" s="5144" t="s">
        <v>14</v>
      </c>
      <c r="C619" s="5144" t="s">
        <v>3538</v>
      </c>
      <c r="D619" s="5144" t="s">
        <v>3539</v>
      </c>
      <c r="E619" s="5144" t="s">
        <v>3540</v>
      </c>
      <c r="F619" s="5144" t="s">
        <v>563</v>
      </c>
      <c r="G619" s="5144" t="s">
        <v>3541</v>
      </c>
      <c r="H619" s="5144" t="s">
        <v>2613</v>
      </c>
      <c r="I619" s="5144" t="s">
        <v>756</v>
      </c>
    </row>
    <row customHeight="1" ht="11.25">
      <c r="A620" s="5144" t="s">
        <v>2177</v>
      </c>
      <c r="B620" s="5144" t="s">
        <v>14</v>
      </c>
      <c r="C620" s="5144" t="s">
        <v>3542</v>
      </c>
      <c r="D620" s="5144" t="s">
        <v>3543</v>
      </c>
      <c r="E620" s="5144" t="s">
        <v>3544</v>
      </c>
      <c r="F620" s="5144" t="s">
        <v>563</v>
      </c>
      <c r="G620" s="5144" t="s">
        <v>3545</v>
      </c>
      <c r="H620" s="5144" t="s">
        <v>24</v>
      </c>
      <c r="I620" s="5144" t="s">
        <v>756</v>
      </c>
    </row>
    <row customHeight="1" ht="11.25">
      <c r="A621" s="5144" t="s">
        <v>2177</v>
      </c>
      <c r="B621" s="5144" t="s">
        <v>14</v>
      </c>
      <c r="C621" s="5144" t="s">
        <v>3546</v>
      </c>
      <c r="D621" s="5144" t="s">
        <v>3547</v>
      </c>
      <c r="E621" s="5144" t="s">
        <v>3548</v>
      </c>
      <c r="F621" s="5144" t="s">
        <v>563</v>
      </c>
      <c r="G621" s="5144" t="s">
        <v>3549</v>
      </c>
      <c r="H621" s="5144" t="s">
        <v>24</v>
      </c>
      <c r="I621" s="5144" t="s">
        <v>756</v>
      </c>
    </row>
    <row customHeight="1" ht="11.25">
      <c r="A622" s="5144" t="s">
        <v>2177</v>
      </c>
      <c r="B622" s="5144" t="s">
        <v>14</v>
      </c>
      <c r="C622" s="5144" t="s">
        <v>3550</v>
      </c>
      <c r="D622" s="5144" t="s">
        <v>3551</v>
      </c>
      <c r="E622" s="5144" t="s">
        <v>3552</v>
      </c>
      <c r="F622" s="5144" t="s">
        <v>563</v>
      </c>
      <c r="G622" s="5144" t="s">
        <v>3553</v>
      </c>
      <c r="H622" s="5144" t="s">
        <v>3554</v>
      </c>
      <c r="I622" s="5144" t="s">
        <v>756</v>
      </c>
    </row>
    <row customHeight="1" ht="11.25">
      <c r="A623" s="5144" t="s">
        <v>2177</v>
      </c>
      <c r="B623" s="5144" t="s">
        <v>14</v>
      </c>
      <c r="C623" s="5144" t="s">
        <v>3555</v>
      </c>
      <c r="D623" s="5144" t="s">
        <v>3556</v>
      </c>
      <c r="E623" s="5144" t="s">
        <v>3557</v>
      </c>
      <c r="F623" s="5144" t="s">
        <v>563</v>
      </c>
      <c r="G623" s="5144" t="s">
        <v>3558</v>
      </c>
      <c r="H623" s="5144" t="s">
        <v>24</v>
      </c>
      <c r="I623" s="5144" t="s">
        <v>756</v>
      </c>
    </row>
    <row customHeight="1" ht="11.25">
      <c r="A624" s="5144" t="s">
        <v>2177</v>
      </c>
      <c r="B624" s="5144" t="s">
        <v>14</v>
      </c>
      <c r="C624" s="5144" t="s">
        <v>3559</v>
      </c>
      <c r="D624" s="5144" t="s">
        <v>3560</v>
      </c>
      <c r="E624" s="5144" t="s">
        <v>3561</v>
      </c>
      <c r="F624" s="5144" t="s">
        <v>563</v>
      </c>
      <c r="G624" s="5144" t="s">
        <v>3562</v>
      </c>
      <c r="H624" s="5144" t="s">
        <v>24</v>
      </c>
      <c r="I624" s="5144" t="s">
        <v>756</v>
      </c>
    </row>
    <row customHeight="1" ht="11.25">
      <c r="A625" s="5144" t="s">
        <v>2177</v>
      </c>
      <c r="B625" s="5144" t="s">
        <v>14</v>
      </c>
      <c r="C625" s="5144" t="s">
        <v>3563</v>
      </c>
      <c r="D625" s="5144" t="s">
        <v>3564</v>
      </c>
      <c r="E625" s="5144" t="s">
        <v>3565</v>
      </c>
      <c r="F625" s="5144" t="s">
        <v>563</v>
      </c>
      <c r="G625" s="5144" t="s">
        <v>3566</v>
      </c>
      <c r="H625" s="5144" t="s">
        <v>24</v>
      </c>
      <c r="I625" s="5144" t="s">
        <v>756</v>
      </c>
    </row>
    <row customHeight="1" ht="11.25">
      <c r="A626" s="5144" t="s">
        <v>2177</v>
      </c>
      <c r="B626" s="5144" t="s">
        <v>14</v>
      </c>
      <c r="C626" s="5144" t="s">
        <v>3567</v>
      </c>
      <c r="D626" s="5144" t="s">
        <v>3568</v>
      </c>
      <c r="E626" s="5144" t="s">
        <v>3569</v>
      </c>
      <c r="F626" s="5144" t="s">
        <v>563</v>
      </c>
      <c r="G626" s="5144" t="s">
        <v>3570</v>
      </c>
      <c r="H626" s="5144" t="s">
        <v>24</v>
      </c>
      <c r="I626" s="5144" t="s">
        <v>756</v>
      </c>
    </row>
    <row customHeight="1" ht="11.25">
      <c r="A627" s="5144" t="s">
        <v>2177</v>
      </c>
      <c r="B627" s="5144" t="s">
        <v>14</v>
      </c>
      <c r="C627" s="5144" t="s">
        <v>3571</v>
      </c>
      <c r="D627" s="5144" t="s">
        <v>3572</v>
      </c>
      <c r="E627" s="5144" t="s">
        <v>3573</v>
      </c>
      <c r="F627" s="5144" t="s">
        <v>563</v>
      </c>
      <c r="G627" s="5144" t="s">
        <v>3574</v>
      </c>
      <c r="H627" s="5144" t="s">
        <v>24</v>
      </c>
      <c r="I627" s="5144" t="s">
        <v>756</v>
      </c>
    </row>
    <row customHeight="1" ht="11.25">
      <c r="A628" s="5144" t="s">
        <v>2177</v>
      </c>
      <c r="B628" s="5144" t="s">
        <v>14</v>
      </c>
      <c r="C628" s="5144" t="s">
        <v>2399</v>
      </c>
      <c r="D628" s="5144" t="s">
        <v>2400</v>
      </c>
      <c r="E628" s="5144" t="s">
        <v>2401</v>
      </c>
      <c r="F628" s="5144" t="s">
        <v>563</v>
      </c>
      <c r="G628" s="5144" t="s">
        <v>2402</v>
      </c>
      <c r="H628" s="5144" t="s">
        <v>24</v>
      </c>
      <c r="I628" s="5144" t="s">
        <v>756</v>
      </c>
    </row>
    <row customHeight="1" ht="11.25">
      <c r="A629" s="5144" t="s">
        <v>2177</v>
      </c>
      <c r="B629" s="5144" t="s">
        <v>14</v>
      </c>
      <c r="C629" s="5144" t="s">
        <v>3575</v>
      </c>
      <c r="D629" s="5144" t="s">
        <v>3576</v>
      </c>
      <c r="E629" s="5144" t="s">
        <v>3577</v>
      </c>
      <c r="F629" s="5144" t="s">
        <v>563</v>
      </c>
      <c r="G629" s="5144" t="s">
        <v>24</v>
      </c>
      <c r="H629" s="5144" t="s">
        <v>2533</v>
      </c>
      <c r="I629" s="5144" t="s">
        <v>756</v>
      </c>
    </row>
    <row customHeight="1" ht="11.25">
      <c r="A630" s="5144" t="s">
        <v>2177</v>
      </c>
      <c r="B630" s="5144" t="s">
        <v>14</v>
      </c>
      <c r="C630" s="5144" t="s">
        <v>3578</v>
      </c>
      <c r="D630" s="5144" t="s">
        <v>3579</v>
      </c>
      <c r="E630" s="5144" t="s">
        <v>3580</v>
      </c>
      <c r="F630" s="5144" t="s">
        <v>563</v>
      </c>
      <c r="G630" s="5144" t="s">
        <v>2962</v>
      </c>
      <c r="H630" s="5144" t="s">
        <v>3581</v>
      </c>
      <c r="I630" s="5144" t="s">
        <v>756</v>
      </c>
    </row>
    <row customHeight="1" ht="11.25">
      <c r="A631" s="5144" t="s">
        <v>2177</v>
      </c>
      <c r="B631" s="5144" t="s">
        <v>14</v>
      </c>
      <c r="C631" s="5144" t="s">
        <v>3582</v>
      </c>
      <c r="D631" s="5144" t="s">
        <v>3583</v>
      </c>
      <c r="E631" s="5144" t="s">
        <v>3584</v>
      </c>
      <c r="F631" s="5144" t="s">
        <v>563</v>
      </c>
      <c r="G631" s="5144" t="s">
        <v>3585</v>
      </c>
      <c r="H631" s="5144" t="s">
        <v>24</v>
      </c>
      <c r="I631" s="5144" t="s">
        <v>756</v>
      </c>
    </row>
    <row customHeight="1" ht="11.25">
      <c r="A632" s="5144" t="s">
        <v>2177</v>
      </c>
      <c r="B632" s="5144" t="s">
        <v>14</v>
      </c>
      <c r="C632" s="5144" t="s">
        <v>3586</v>
      </c>
      <c r="D632" s="5144" t="s">
        <v>3587</v>
      </c>
      <c r="E632" s="5144" t="s">
        <v>3588</v>
      </c>
      <c r="F632" s="5144" t="s">
        <v>563</v>
      </c>
      <c r="G632" s="5144" t="s">
        <v>24</v>
      </c>
      <c r="H632" s="5144" t="s">
        <v>24</v>
      </c>
      <c r="I632" s="5144" t="s">
        <v>756</v>
      </c>
    </row>
    <row customHeight="1" ht="11.25">
      <c r="A633" s="5144" t="s">
        <v>2177</v>
      </c>
      <c r="B633" s="5144" t="s">
        <v>14</v>
      </c>
      <c r="C633" s="5144" t="s">
        <v>3589</v>
      </c>
      <c r="D633" s="5144" t="s">
        <v>3590</v>
      </c>
      <c r="E633" s="5144" t="s">
        <v>3591</v>
      </c>
      <c r="F633" s="5144" t="s">
        <v>563</v>
      </c>
      <c r="G633" s="5144" t="s">
        <v>24</v>
      </c>
      <c r="H633" s="5144" t="s">
        <v>24</v>
      </c>
      <c r="I633" s="5144" t="s">
        <v>756</v>
      </c>
    </row>
    <row customHeight="1" ht="11.25">
      <c r="A634" s="5144" t="s">
        <v>2177</v>
      </c>
      <c r="B634" s="5144" t="s">
        <v>14</v>
      </c>
      <c r="C634" s="5144" t="s">
        <v>3592</v>
      </c>
      <c r="D634" s="5144" t="s">
        <v>3593</v>
      </c>
      <c r="E634" s="5144" t="s">
        <v>3594</v>
      </c>
      <c r="F634" s="5144" t="s">
        <v>563</v>
      </c>
      <c r="G634" s="5144" t="s">
        <v>3595</v>
      </c>
      <c r="H634" s="5144" t="s">
        <v>3596</v>
      </c>
      <c r="I634" s="5144" t="s">
        <v>756</v>
      </c>
    </row>
    <row customHeight="1" ht="11.25">
      <c r="A635" s="5144" t="s">
        <v>2177</v>
      </c>
      <c r="B635" s="5144" t="s">
        <v>14</v>
      </c>
      <c r="C635" s="5144" t="s">
        <v>3597</v>
      </c>
      <c r="D635" s="5144" t="s">
        <v>3598</v>
      </c>
      <c r="E635" s="5144" t="s">
        <v>3599</v>
      </c>
      <c r="F635" s="5144" t="s">
        <v>563</v>
      </c>
      <c r="G635" s="5144" t="s">
        <v>3600</v>
      </c>
      <c r="H635" s="5144" t="s">
        <v>24</v>
      </c>
      <c r="I635" s="5144" t="s">
        <v>756</v>
      </c>
    </row>
    <row customHeight="1" ht="11.25">
      <c r="A636" s="5144" t="s">
        <v>2177</v>
      </c>
      <c r="B636" s="5144" t="s">
        <v>14</v>
      </c>
      <c r="C636" s="5144" t="s">
        <v>3601</v>
      </c>
      <c r="D636" s="5144" t="s">
        <v>3602</v>
      </c>
      <c r="E636" s="5144" t="s">
        <v>3603</v>
      </c>
      <c r="F636" s="5144" t="s">
        <v>563</v>
      </c>
      <c r="G636" s="5144" t="s">
        <v>3604</v>
      </c>
      <c r="H636" s="5144" t="s">
        <v>24</v>
      </c>
      <c r="I636" s="5144" t="s">
        <v>756</v>
      </c>
    </row>
    <row customHeight="1" ht="11.25">
      <c r="A637" s="5144" t="s">
        <v>2177</v>
      </c>
      <c r="B637" s="5144" t="s">
        <v>14</v>
      </c>
      <c r="C637" s="5144" t="s">
        <v>3605</v>
      </c>
      <c r="D637" s="5144" t="s">
        <v>3606</v>
      </c>
      <c r="E637" s="5144" t="s">
        <v>3607</v>
      </c>
      <c r="F637" s="5144" t="s">
        <v>563</v>
      </c>
      <c r="G637" s="5144" t="s">
        <v>3608</v>
      </c>
      <c r="H637" s="5144" t="s">
        <v>24</v>
      </c>
      <c r="I637" s="5144" t="s">
        <v>756</v>
      </c>
    </row>
    <row customHeight="1" ht="11.25">
      <c r="A638" s="5144" t="s">
        <v>2177</v>
      </c>
      <c r="B638" s="5144" t="s">
        <v>14</v>
      </c>
      <c r="C638" s="5144" t="s">
        <v>3609</v>
      </c>
      <c r="D638" s="5144" t="s">
        <v>3610</v>
      </c>
      <c r="E638" s="5144" t="s">
        <v>3611</v>
      </c>
      <c r="F638" s="5144" t="s">
        <v>563</v>
      </c>
      <c r="G638" s="5144" t="s">
        <v>3612</v>
      </c>
      <c r="H638" s="5144" t="s">
        <v>24</v>
      </c>
      <c r="I638" s="5144" t="s">
        <v>756</v>
      </c>
    </row>
    <row customHeight="1" ht="11.25">
      <c r="A639" s="5144" t="s">
        <v>2177</v>
      </c>
      <c r="B639" s="5144" t="s">
        <v>14</v>
      </c>
      <c r="C639" s="5144" t="s">
        <v>3613</v>
      </c>
      <c r="D639" s="5144" t="s">
        <v>3614</v>
      </c>
      <c r="E639" s="5144" t="s">
        <v>3615</v>
      </c>
      <c r="F639" s="5144" t="s">
        <v>563</v>
      </c>
      <c r="G639" s="5144" t="s">
        <v>3616</v>
      </c>
      <c r="H639" s="5144" t="s">
        <v>24</v>
      </c>
      <c r="I639" s="5144" t="s">
        <v>756</v>
      </c>
    </row>
    <row customHeight="1" ht="11.25">
      <c r="A640" s="5144" t="s">
        <v>2177</v>
      </c>
      <c r="B640" s="5144" t="s">
        <v>14</v>
      </c>
      <c r="C640" s="5144" t="s">
        <v>3617</v>
      </c>
      <c r="D640" s="5144" t="s">
        <v>3618</v>
      </c>
      <c r="E640" s="5144" t="s">
        <v>3619</v>
      </c>
      <c r="F640" s="5144" t="s">
        <v>563</v>
      </c>
      <c r="G640" s="5144" t="s">
        <v>3620</v>
      </c>
      <c r="H640" s="5144" t="s">
        <v>24</v>
      </c>
      <c r="I640" s="5144" t="s">
        <v>756</v>
      </c>
    </row>
    <row customHeight="1" ht="11.25">
      <c r="A641" s="5144" t="s">
        <v>2177</v>
      </c>
      <c r="B641" s="5144" t="s">
        <v>14</v>
      </c>
      <c r="C641" s="5144" t="s">
        <v>3621</v>
      </c>
      <c r="D641" s="5144" t="s">
        <v>3622</v>
      </c>
      <c r="E641" s="5144" t="s">
        <v>3623</v>
      </c>
      <c r="F641" s="5144" t="s">
        <v>563</v>
      </c>
      <c r="G641" s="5144" t="s">
        <v>3624</v>
      </c>
      <c r="H641" s="5144" t="s">
        <v>24</v>
      </c>
      <c r="I641" s="5144" t="s">
        <v>756</v>
      </c>
    </row>
    <row customHeight="1" ht="11.25">
      <c r="A642" s="5144" t="s">
        <v>2177</v>
      </c>
      <c r="B642" s="5144" t="s">
        <v>14</v>
      </c>
      <c r="C642" s="5144" t="s">
        <v>3625</v>
      </c>
      <c r="D642" s="5144" t="s">
        <v>3626</v>
      </c>
      <c r="E642" s="5144" t="s">
        <v>3627</v>
      </c>
      <c r="F642" s="5144" t="s">
        <v>563</v>
      </c>
      <c r="G642" s="5144" t="s">
        <v>3628</v>
      </c>
      <c r="H642" s="5144" t="s">
        <v>24</v>
      </c>
      <c r="I642" s="5144" t="s">
        <v>756</v>
      </c>
    </row>
    <row customHeight="1" ht="11.25">
      <c r="A643" s="5144" t="s">
        <v>2177</v>
      </c>
      <c r="B643" s="5144" t="s">
        <v>14</v>
      </c>
      <c r="C643" s="5144" t="s">
        <v>3629</v>
      </c>
      <c r="D643" s="5144" t="s">
        <v>3630</v>
      </c>
      <c r="E643" s="5144" t="s">
        <v>3631</v>
      </c>
      <c r="F643" s="5144" t="s">
        <v>563</v>
      </c>
      <c r="G643" s="5144" t="s">
        <v>3632</v>
      </c>
      <c r="H643" s="5144" t="s">
        <v>24</v>
      </c>
      <c r="I643" s="5144" t="s">
        <v>756</v>
      </c>
    </row>
    <row customHeight="1" ht="11.25">
      <c r="A644" s="5144" t="s">
        <v>2177</v>
      </c>
      <c r="B644" s="5144" t="s">
        <v>14</v>
      </c>
      <c r="C644" s="5144" t="s">
        <v>3633</v>
      </c>
      <c r="D644" s="5144" t="s">
        <v>3634</v>
      </c>
      <c r="E644" s="5144" t="s">
        <v>3635</v>
      </c>
      <c r="F644" s="5144" t="s">
        <v>563</v>
      </c>
      <c r="G644" s="5144" t="s">
        <v>3636</v>
      </c>
      <c r="H644" s="5144" t="s">
        <v>3637</v>
      </c>
      <c r="I644" s="5144" t="s">
        <v>756</v>
      </c>
    </row>
    <row customHeight="1" ht="11.25">
      <c r="A645" s="5144" t="s">
        <v>2177</v>
      </c>
      <c r="B645" s="5144" t="s">
        <v>14</v>
      </c>
      <c r="C645" s="5144" t="s">
        <v>3638</v>
      </c>
      <c r="D645" s="5144" t="s">
        <v>3639</v>
      </c>
      <c r="E645" s="5144" t="s">
        <v>3640</v>
      </c>
      <c r="F645" s="5144" t="s">
        <v>563</v>
      </c>
      <c r="G645" s="5144" t="s">
        <v>3641</v>
      </c>
      <c r="H645" s="5144" t="s">
        <v>24</v>
      </c>
      <c r="I645" s="5144" t="s">
        <v>756</v>
      </c>
    </row>
    <row customHeight="1" ht="11.25">
      <c r="A646" s="5144" t="s">
        <v>2177</v>
      </c>
      <c r="B646" s="5144" t="s">
        <v>14</v>
      </c>
      <c r="C646" s="5144" t="s">
        <v>2431</v>
      </c>
      <c r="D646" s="5144" t="s">
        <v>2432</v>
      </c>
      <c r="E646" s="5144" t="s">
        <v>2433</v>
      </c>
      <c r="F646" s="5144" t="s">
        <v>563</v>
      </c>
      <c r="G646" s="5144" t="s">
        <v>2434</v>
      </c>
      <c r="H646" s="5144" t="s">
        <v>24</v>
      </c>
      <c r="I646" s="5144" t="s">
        <v>756</v>
      </c>
    </row>
    <row customHeight="1" ht="11.25">
      <c r="A647" s="5144" t="s">
        <v>2177</v>
      </c>
      <c r="B647" s="5144" t="s">
        <v>14</v>
      </c>
      <c r="C647" s="5144" t="s">
        <v>3642</v>
      </c>
      <c r="D647" s="5144" t="s">
        <v>3643</v>
      </c>
      <c r="E647" s="5144" t="s">
        <v>3644</v>
      </c>
      <c r="F647" s="5144" t="s">
        <v>563</v>
      </c>
      <c r="G647" s="5144" t="s">
        <v>3645</v>
      </c>
      <c r="H647" s="5144" t="s">
        <v>24</v>
      </c>
      <c r="I647" s="5144" t="s">
        <v>756</v>
      </c>
    </row>
    <row customHeight="1" ht="11.25">
      <c r="A648" s="5144" t="s">
        <v>2177</v>
      </c>
      <c r="B648" s="5144" t="s">
        <v>14</v>
      </c>
      <c r="C648" s="5144" t="s">
        <v>2435</v>
      </c>
      <c r="D648" s="5144" t="s">
        <v>2436</v>
      </c>
      <c r="E648" s="5144" t="s">
        <v>2437</v>
      </c>
      <c r="F648" s="5144" t="s">
        <v>563</v>
      </c>
      <c r="G648" s="5144" t="s">
        <v>2438</v>
      </c>
      <c r="H648" s="5144" t="s">
        <v>24</v>
      </c>
      <c r="I648" s="5144" t="s">
        <v>756</v>
      </c>
    </row>
    <row customHeight="1" ht="11.25">
      <c r="A649" s="5144" t="s">
        <v>2177</v>
      </c>
      <c r="B649" s="5144" t="s">
        <v>14</v>
      </c>
      <c r="C649" s="5144" t="s">
        <v>2443</v>
      </c>
      <c r="D649" s="5144" t="s">
        <v>2444</v>
      </c>
      <c r="E649" s="5144" t="s">
        <v>2445</v>
      </c>
      <c r="F649" s="5144" t="s">
        <v>563</v>
      </c>
      <c r="G649" s="5144" t="s">
        <v>2446</v>
      </c>
      <c r="H649" s="5144" t="s">
        <v>24</v>
      </c>
      <c r="I649" s="5144" t="s">
        <v>756</v>
      </c>
    </row>
    <row customHeight="1" ht="11.25">
      <c r="A650" s="5144" t="s">
        <v>2177</v>
      </c>
      <c r="B650" s="5144" t="s">
        <v>14</v>
      </c>
      <c r="C650" s="5144" t="s">
        <v>24</v>
      </c>
      <c r="D650" s="5144" t="s">
        <v>2447</v>
      </c>
      <c r="E650" s="5144" t="s">
        <v>2448</v>
      </c>
      <c r="F650" s="5144" t="s">
        <v>2183</v>
      </c>
      <c r="G650" s="5144" t="s">
        <v>24</v>
      </c>
      <c r="H650" s="5144" t="s">
        <v>24</v>
      </c>
      <c r="I650" s="5144" t="s">
        <v>756</v>
      </c>
    </row>
    <row customHeight="1" ht="11.25">
      <c r="A651" s="5144" t="s">
        <v>2177</v>
      </c>
      <c r="B651" s="5144" t="s">
        <v>14</v>
      </c>
      <c r="C651" s="5144" t="s">
        <v>2449</v>
      </c>
      <c r="D651" s="5144" t="s">
        <v>2450</v>
      </c>
      <c r="E651" s="5144" t="s">
        <v>2451</v>
      </c>
      <c r="F651" s="5144" t="s">
        <v>2202</v>
      </c>
      <c r="G651" s="5144" t="s">
        <v>2452</v>
      </c>
      <c r="H651" s="5144" t="s">
        <v>24</v>
      </c>
      <c r="I651" s="5144" t="s">
        <v>756</v>
      </c>
    </row>
    <row customHeight="1" ht="11.25">
      <c r="A652" s="5144" t="s">
        <v>2177</v>
      </c>
      <c r="B652" s="5144" t="s">
        <v>14</v>
      </c>
      <c r="C652" s="5144" t="s">
        <v>24</v>
      </c>
      <c r="D652" s="5144" t="s">
        <v>2453</v>
      </c>
      <c r="E652" s="5144" t="s">
        <v>2454</v>
      </c>
      <c r="F652" s="5144" t="s">
        <v>2231</v>
      </c>
      <c r="G652" s="5144" t="s">
        <v>24</v>
      </c>
      <c r="H652" s="5144" t="s">
        <v>24</v>
      </c>
      <c r="I652" s="5144" t="s">
        <v>756</v>
      </c>
    </row>
    <row customHeight="1" ht="11.25">
      <c r="A653" s="5144" t="s">
        <v>2177</v>
      </c>
      <c r="B653" s="5144" t="s">
        <v>14</v>
      </c>
      <c r="C653" s="5144" t="s">
        <v>3646</v>
      </c>
      <c r="D653" s="5144" t="s">
        <v>3647</v>
      </c>
      <c r="E653" s="5144" t="s">
        <v>3648</v>
      </c>
      <c r="F653" s="5144" t="s">
        <v>563</v>
      </c>
      <c r="G653" s="5144" t="s">
        <v>3649</v>
      </c>
      <c r="H653" s="5144" t="s">
        <v>24</v>
      </c>
      <c r="I653" s="5144" t="s">
        <v>756</v>
      </c>
    </row>
    <row customHeight="1" ht="11.25">
      <c r="A654" s="5144" t="s">
        <v>2177</v>
      </c>
      <c r="B654" s="5144" t="s">
        <v>14</v>
      </c>
      <c r="C654" s="5144" t="s">
        <v>3650</v>
      </c>
      <c r="D654" s="5144" t="s">
        <v>3651</v>
      </c>
      <c r="E654" s="5144" t="s">
        <v>3652</v>
      </c>
      <c r="F654" s="5144" t="s">
        <v>563</v>
      </c>
      <c r="G654" s="5144" t="s">
        <v>3653</v>
      </c>
      <c r="H654" s="5144" t="s">
        <v>24</v>
      </c>
      <c r="I654" s="5144" t="s">
        <v>756</v>
      </c>
    </row>
    <row customHeight="1" ht="11.25">
      <c r="A655" s="5144" t="s">
        <v>2177</v>
      </c>
      <c r="B655" s="5144" t="s">
        <v>14</v>
      </c>
      <c r="C655" s="5144" t="s">
        <v>3654</v>
      </c>
      <c r="D655" s="5144" t="s">
        <v>3655</v>
      </c>
      <c r="E655" s="5144" t="s">
        <v>3656</v>
      </c>
      <c r="F655" s="5144" t="s">
        <v>563</v>
      </c>
      <c r="G655" s="5144" t="s">
        <v>3657</v>
      </c>
      <c r="H655" s="5144" t="s">
        <v>24</v>
      </c>
      <c r="I655" s="5144" t="s">
        <v>756</v>
      </c>
    </row>
    <row customHeight="1" ht="11.25">
      <c r="A656" s="5144" t="s">
        <v>2177</v>
      </c>
      <c r="B656" s="5144" t="s">
        <v>14</v>
      </c>
      <c r="C656" s="5144" t="s">
        <v>3658</v>
      </c>
      <c r="D656" s="5144" t="s">
        <v>3659</v>
      </c>
      <c r="E656" s="5144" t="s">
        <v>3660</v>
      </c>
      <c r="F656" s="5144" t="s">
        <v>563</v>
      </c>
      <c r="G656" s="5144" t="s">
        <v>3661</v>
      </c>
      <c r="H656" s="5144" t="s">
        <v>24</v>
      </c>
      <c r="I656" s="5144" t="s">
        <v>756</v>
      </c>
    </row>
    <row customHeight="1" ht="11.25">
      <c r="A657" s="5144" t="s">
        <v>2177</v>
      </c>
      <c r="B657" s="5144" t="s">
        <v>14</v>
      </c>
      <c r="C657" s="5144" t="s">
        <v>3662</v>
      </c>
      <c r="D657" s="5144" t="s">
        <v>3663</v>
      </c>
      <c r="E657" s="5144" t="s">
        <v>3664</v>
      </c>
      <c r="F657" s="5144" t="s">
        <v>3665</v>
      </c>
      <c r="G657" s="5144" t="s">
        <v>3666</v>
      </c>
      <c r="H657" s="5144" t="s">
        <v>24</v>
      </c>
      <c r="I657" s="5144" t="s">
        <v>756</v>
      </c>
    </row>
    <row customHeight="1" ht="11.25">
      <c r="A658" s="5144" t="s">
        <v>2177</v>
      </c>
      <c r="B658" s="5144" t="s">
        <v>14</v>
      </c>
      <c r="C658" s="5144" t="s">
        <v>3667</v>
      </c>
      <c r="D658" s="5144" t="s">
        <v>3668</v>
      </c>
      <c r="E658" s="5144" t="s">
        <v>2363</v>
      </c>
      <c r="F658" s="5144" t="s">
        <v>3669</v>
      </c>
      <c r="G658" s="5144" t="s">
        <v>24</v>
      </c>
      <c r="H658" s="5144" t="s">
        <v>24</v>
      </c>
      <c r="I658" s="5144" t="s">
        <v>756</v>
      </c>
    </row>
    <row customHeight="1" ht="11.25">
      <c r="A659" s="5144" t="s">
        <v>2177</v>
      </c>
      <c r="B659" s="5144" t="s">
        <v>14</v>
      </c>
      <c r="C659" s="5144" t="s">
        <v>3670</v>
      </c>
      <c r="D659" s="5144" t="s">
        <v>3671</v>
      </c>
      <c r="E659" s="5144" t="s">
        <v>2363</v>
      </c>
      <c r="F659" s="5144" t="s">
        <v>2277</v>
      </c>
      <c r="G659" s="5144" t="s">
        <v>2365</v>
      </c>
      <c r="H659" s="5144" t="s">
        <v>24</v>
      </c>
      <c r="I659" s="5144" t="s">
        <v>756</v>
      </c>
    </row>
    <row customHeight="1" ht="11.25">
      <c r="A660" s="5144" t="s">
        <v>2177</v>
      </c>
      <c r="B660" s="5144" t="s">
        <v>14</v>
      </c>
      <c r="C660" s="5144" t="s">
        <v>3672</v>
      </c>
      <c r="D660" s="5144" t="s">
        <v>3673</v>
      </c>
      <c r="E660" s="5144" t="s">
        <v>3674</v>
      </c>
      <c r="F660" s="5144" t="s">
        <v>2673</v>
      </c>
      <c r="G660" s="5144" t="s">
        <v>3675</v>
      </c>
      <c r="H660" s="5144" t="s">
        <v>24</v>
      </c>
      <c r="I660" s="5144" t="s">
        <v>756</v>
      </c>
    </row>
    <row customHeight="1" ht="11.25">
      <c r="A661" s="5144" t="s">
        <v>2177</v>
      </c>
      <c r="B661" s="5144" t="s">
        <v>14</v>
      </c>
      <c r="C661" s="5144" t="s">
        <v>2460</v>
      </c>
      <c r="D661" s="5144" t="s">
        <v>2461</v>
      </c>
      <c r="E661" s="5144" t="s">
        <v>2462</v>
      </c>
      <c r="F661" s="5144" t="s">
        <v>2463</v>
      </c>
      <c r="G661" s="5144" t="s">
        <v>24</v>
      </c>
      <c r="H661" s="5144" t="s">
        <v>24</v>
      </c>
      <c r="I661" s="5144" t="s">
        <v>756</v>
      </c>
    </row>
    <row customHeight="1" ht="11.25">
      <c r="A662" s="5144" t="s">
        <v>2177</v>
      </c>
      <c r="B662" s="5144" t="s">
        <v>14</v>
      </c>
      <c r="C662" s="5144" t="s">
        <v>2464</v>
      </c>
      <c r="D662" s="5144" t="s">
        <v>2465</v>
      </c>
      <c r="E662" s="5144" t="s">
        <v>2466</v>
      </c>
      <c r="F662" s="5144" t="s">
        <v>2467</v>
      </c>
      <c r="G662" s="5144" t="s">
        <v>2468</v>
      </c>
      <c r="H662" s="5144" t="s">
        <v>24</v>
      </c>
      <c r="I662" s="5144" t="s">
        <v>756</v>
      </c>
    </row>
    <row customHeight="1" ht="11.25">
      <c r="A663" s="5144" t="s">
        <v>2177</v>
      </c>
      <c r="B663" s="5144" t="s">
        <v>14</v>
      </c>
      <c r="C663" s="5144" t="s">
        <v>3676</v>
      </c>
      <c r="D663" s="5144" t="s">
        <v>3677</v>
      </c>
      <c r="E663" s="5144" t="s">
        <v>3678</v>
      </c>
      <c r="F663" s="5144" t="s">
        <v>2183</v>
      </c>
      <c r="G663" s="5144" t="s">
        <v>3679</v>
      </c>
      <c r="H663" s="5144" t="s">
        <v>24</v>
      </c>
      <c r="I663" s="5144" t="s">
        <v>756</v>
      </c>
    </row>
    <row customHeight="1" ht="11.25">
      <c r="A664" s="5144" t="s">
        <v>2177</v>
      </c>
      <c r="B664" s="5144" t="s">
        <v>14</v>
      </c>
      <c r="C664" s="5144" t="s">
        <v>3680</v>
      </c>
      <c r="D664" s="5144" t="s">
        <v>3681</v>
      </c>
      <c r="E664" s="5144" t="s">
        <v>3682</v>
      </c>
      <c r="F664" s="5144" t="s">
        <v>2467</v>
      </c>
      <c r="G664" s="5144" t="s">
        <v>3683</v>
      </c>
      <c r="H664" s="5144" t="s">
        <v>24</v>
      </c>
      <c r="I664" s="5144" t="s">
        <v>756</v>
      </c>
    </row>
    <row customHeight="1" ht="11.25">
      <c r="A665" s="5144" t="s">
        <v>2177</v>
      </c>
      <c r="B665" s="5144" t="s">
        <v>14</v>
      </c>
      <c r="C665" s="5144" t="s">
        <v>3684</v>
      </c>
      <c r="D665" s="5144" t="s">
        <v>3685</v>
      </c>
      <c r="E665" s="5144" t="s">
        <v>3686</v>
      </c>
      <c r="F665" s="5144" t="s">
        <v>2467</v>
      </c>
      <c r="G665" s="5144" t="s">
        <v>3687</v>
      </c>
      <c r="H665" s="5144" t="s">
        <v>24</v>
      </c>
      <c r="I665" s="5144" t="s">
        <v>756</v>
      </c>
    </row>
    <row customHeight="1" ht="11.25">
      <c r="A666" s="5144" t="s">
        <v>2177</v>
      </c>
      <c r="B666" s="5144" t="s">
        <v>14</v>
      </c>
      <c r="C666" s="5144" t="s">
        <v>3688</v>
      </c>
      <c r="D666" s="5144" t="s">
        <v>3689</v>
      </c>
      <c r="E666" s="5144" t="s">
        <v>3690</v>
      </c>
      <c r="F666" s="5144" t="s">
        <v>2183</v>
      </c>
      <c r="G666" s="5144" t="s">
        <v>3691</v>
      </c>
      <c r="H666" s="5144" t="s">
        <v>24</v>
      </c>
      <c r="I666" s="5144" t="s">
        <v>756</v>
      </c>
    </row>
    <row customHeight="1" ht="11.25">
      <c r="A667" s="5144" t="s">
        <v>2177</v>
      </c>
      <c r="B667" s="5144" t="s">
        <v>14</v>
      </c>
      <c r="C667" s="5144" t="s">
        <v>3692</v>
      </c>
      <c r="D667" s="5144" t="s">
        <v>3693</v>
      </c>
      <c r="E667" s="5144" t="s">
        <v>3694</v>
      </c>
      <c r="F667" s="5144" t="s">
        <v>2467</v>
      </c>
      <c r="G667" s="5144" t="s">
        <v>3695</v>
      </c>
      <c r="H667" s="5144" t="s">
        <v>24</v>
      </c>
      <c r="I667" s="5144" t="s">
        <v>756</v>
      </c>
    </row>
    <row customHeight="1" ht="11.25">
      <c r="A668" s="5144" t="s">
        <v>2177</v>
      </c>
      <c r="B668" s="5144" t="s">
        <v>14</v>
      </c>
      <c r="C668" s="5144" t="s">
        <v>3696</v>
      </c>
      <c r="D668" s="5144" t="s">
        <v>3697</v>
      </c>
      <c r="E668" s="5144" t="s">
        <v>3698</v>
      </c>
      <c r="F668" s="5144" t="s">
        <v>2467</v>
      </c>
      <c r="G668" s="5144" t="s">
        <v>3699</v>
      </c>
      <c r="H668" s="5144" t="s">
        <v>24</v>
      </c>
      <c r="I668" s="5144" t="s">
        <v>756</v>
      </c>
    </row>
    <row customHeight="1" ht="11.25">
      <c r="A669" s="5144" t="s">
        <v>2177</v>
      </c>
      <c r="B669" s="5144" t="s">
        <v>14</v>
      </c>
      <c r="C669" s="5144" t="s">
        <v>3700</v>
      </c>
      <c r="D669" s="5144" t="s">
        <v>3701</v>
      </c>
      <c r="E669" s="5144" t="s">
        <v>3702</v>
      </c>
      <c r="F669" s="5144" t="s">
        <v>2183</v>
      </c>
      <c r="G669" s="5144" t="s">
        <v>3703</v>
      </c>
      <c r="H669" s="5144" t="s">
        <v>24</v>
      </c>
      <c r="I669" s="5144" t="s">
        <v>756</v>
      </c>
    </row>
    <row customHeight="1" ht="11.25">
      <c r="A670" s="5144" t="s">
        <v>2177</v>
      </c>
      <c r="B670" s="5144" t="s">
        <v>14</v>
      </c>
      <c r="C670" s="5144" t="s">
        <v>3704</v>
      </c>
      <c r="D670" s="5144" t="s">
        <v>3705</v>
      </c>
      <c r="E670" s="5144" t="s">
        <v>3706</v>
      </c>
      <c r="F670" s="5144" t="s">
        <v>2183</v>
      </c>
      <c r="G670" s="5144" t="s">
        <v>3707</v>
      </c>
      <c r="H670" s="5144" t="s">
        <v>24</v>
      </c>
      <c r="I670" s="5144" t="s">
        <v>756</v>
      </c>
    </row>
    <row customHeight="1" ht="11.25">
      <c r="A671" s="5144" t="s">
        <v>2177</v>
      </c>
      <c r="B671" s="5144" t="s">
        <v>14</v>
      </c>
      <c r="C671" s="5144" t="s">
        <v>3708</v>
      </c>
      <c r="D671" s="5144" t="s">
        <v>3709</v>
      </c>
      <c r="E671" s="5144" t="s">
        <v>3710</v>
      </c>
      <c r="F671" s="5144" t="s">
        <v>2520</v>
      </c>
      <c r="G671" s="5144" t="s">
        <v>3711</v>
      </c>
      <c r="H671" s="5144" t="s">
        <v>24</v>
      </c>
      <c r="I671" s="5144" t="s">
        <v>756</v>
      </c>
    </row>
    <row customHeight="1" ht="11.25">
      <c r="A672" s="5144" t="s">
        <v>2177</v>
      </c>
      <c r="B672" s="5144" t="s">
        <v>14</v>
      </c>
      <c r="C672" s="5144" t="s">
        <v>3712</v>
      </c>
      <c r="D672" s="5144" t="s">
        <v>3713</v>
      </c>
      <c r="E672" s="5144" t="s">
        <v>3714</v>
      </c>
      <c r="F672" s="5144" t="s">
        <v>2183</v>
      </c>
      <c r="G672" s="5144" t="s">
        <v>3715</v>
      </c>
      <c r="H672" s="5144" t="s">
        <v>24</v>
      </c>
      <c r="I672" s="5144" t="s">
        <v>756</v>
      </c>
    </row>
    <row customHeight="1" ht="11.25">
      <c r="A673" s="5144" t="s">
        <v>2177</v>
      </c>
      <c r="B673" s="5144" t="s">
        <v>14</v>
      </c>
      <c r="C673" s="5144" t="s">
        <v>3716</v>
      </c>
      <c r="D673" s="5144" t="s">
        <v>3717</v>
      </c>
      <c r="E673" s="5144" t="s">
        <v>3718</v>
      </c>
      <c r="F673" s="5144" t="s">
        <v>2183</v>
      </c>
      <c r="G673" s="5144" t="s">
        <v>3719</v>
      </c>
      <c r="H673" s="5144" t="s">
        <v>24</v>
      </c>
      <c r="I673" s="5144" t="s">
        <v>756</v>
      </c>
    </row>
    <row customHeight="1" ht="11.25">
      <c r="A674" s="5144" t="s">
        <v>2177</v>
      </c>
      <c r="B674" s="5144" t="s">
        <v>14</v>
      </c>
      <c r="C674" s="5144" t="s">
        <v>2477</v>
      </c>
      <c r="D674" s="5144" t="s">
        <v>2478</v>
      </c>
      <c r="E674" s="5144" t="s">
        <v>2479</v>
      </c>
      <c r="F674" s="5144" t="s">
        <v>2252</v>
      </c>
      <c r="G674" s="5144" t="s">
        <v>2480</v>
      </c>
      <c r="H674" s="5144" t="s">
        <v>24</v>
      </c>
      <c r="I674" s="5144" t="s">
        <v>756</v>
      </c>
    </row>
    <row customHeight="1" ht="11.25">
      <c r="A675" s="5144" t="s">
        <v>2177</v>
      </c>
      <c r="B675" s="5144" t="s">
        <v>14</v>
      </c>
      <c r="C675" s="5144" t="s">
        <v>24</v>
      </c>
      <c r="D675" s="5144" t="s">
        <v>2481</v>
      </c>
      <c r="E675" s="5144" t="s">
        <v>2482</v>
      </c>
      <c r="F675" s="5144" t="s">
        <v>2183</v>
      </c>
      <c r="G675" s="5144" t="s">
        <v>24</v>
      </c>
      <c r="H675" s="5144" t="s">
        <v>24</v>
      </c>
      <c r="I675" s="5144" t="s">
        <v>756</v>
      </c>
    </row>
    <row customHeight="1" ht="11.25">
      <c r="A676" s="5144" t="s">
        <v>2177</v>
      </c>
      <c r="B676" s="5144" t="s">
        <v>14</v>
      </c>
      <c r="C676" s="5144" t="s">
        <v>24</v>
      </c>
      <c r="D676" s="5144" t="s">
        <v>2483</v>
      </c>
      <c r="E676" s="5144" t="s">
        <v>2484</v>
      </c>
      <c r="F676" s="5144" t="s">
        <v>2277</v>
      </c>
      <c r="G676" s="5144" t="s">
        <v>24</v>
      </c>
      <c r="H676" s="5144" t="s">
        <v>24</v>
      </c>
      <c r="I676" s="5144" t="s">
        <v>756</v>
      </c>
    </row>
    <row customHeight="1" ht="11.25">
      <c r="A677" s="5144" t="s">
        <v>2177</v>
      </c>
      <c r="B677" s="5144" t="s">
        <v>14</v>
      </c>
      <c r="C677" s="5144" t="s">
        <v>24</v>
      </c>
      <c r="D677" s="5144" t="s">
        <v>2485</v>
      </c>
      <c r="E677" s="5144" t="s">
        <v>2486</v>
      </c>
      <c r="F677" s="5144" t="s">
        <v>2183</v>
      </c>
      <c r="G677" s="5144" t="s">
        <v>24</v>
      </c>
      <c r="H677" s="5144" t="s">
        <v>24</v>
      </c>
      <c r="I677" s="5144" t="s">
        <v>756</v>
      </c>
    </row>
    <row customHeight="1" ht="11.25">
      <c r="A678" s="5144" t="s">
        <v>2177</v>
      </c>
      <c r="B678" s="5144" t="s">
        <v>14</v>
      </c>
      <c r="C678" s="5144" t="s">
        <v>24</v>
      </c>
      <c r="D678" s="5144" t="s">
        <v>2487</v>
      </c>
      <c r="E678" s="5144" t="s">
        <v>2488</v>
      </c>
      <c r="F678" s="5144" t="s">
        <v>2277</v>
      </c>
      <c r="G678" s="5144" t="s">
        <v>24</v>
      </c>
      <c r="H678" s="5144" t="s">
        <v>24</v>
      </c>
      <c r="I678" s="5144" t="s">
        <v>756</v>
      </c>
    </row>
    <row customHeight="1" ht="11.25">
      <c r="A679" s="5144" t="s">
        <v>2177</v>
      </c>
      <c r="B679" s="5144" t="s">
        <v>14</v>
      </c>
      <c r="C679" s="5144" t="s">
        <v>3720</v>
      </c>
      <c r="D679" s="5144" t="s">
        <v>3721</v>
      </c>
      <c r="E679" s="5144" t="s">
        <v>3722</v>
      </c>
      <c r="F679" s="5144" t="s">
        <v>2520</v>
      </c>
      <c r="G679" s="5144" t="s">
        <v>3723</v>
      </c>
      <c r="H679" s="5144" t="s">
        <v>24</v>
      </c>
      <c r="I679" s="5144" t="s">
        <v>756</v>
      </c>
    </row>
    <row customHeight="1" ht="11.25">
      <c r="A680" s="5144" t="s">
        <v>2177</v>
      </c>
      <c r="B680" s="5144" t="s">
        <v>14</v>
      </c>
      <c r="C680" s="5144" t="s">
        <v>3724</v>
      </c>
      <c r="D680" s="5144" t="s">
        <v>3725</v>
      </c>
      <c r="E680" s="5144" t="s">
        <v>3726</v>
      </c>
      <c r="F680" s="5144" t="s">
        <v>2520</v>
      </c>
      <c r="G680" s="5144" t="s">
        <v>3727</v>
      </c>
      <c r="H680" s="5144" t="s">
        <v>24</v>
      </c>
      <c r="I680" s="5144" t="s">
        <v>756</v>
      </c>
    </row>
    <row customHeight="1" ht="11.25">
      <c r="A681" s="5144" t="s">
        <v>2177</v>
      </c>
      <c r="B681" s="5144" t="s">
        <v>14</v>
      </c>
      <c r="C681" s="5144" t="s">
        <v>2494</v>
      </c>
      <c r="D681" s="5144" t="s">
        <v>2495</v>
      </c>
      <c r="E681" s="5144" t="s">
        <v>2496</v>
      </c>
      <c r="F681" s="5144" t="s">
        <v>2252</v>
      </c>
      <c r="G681" s="5144" t="s">
        <v>2497</v>
      </c>
      <c r="H681" s="5144" t="s">
        <v>24</v>
      </c>
      <c r="I681" s="5144" t="s">
        <v>756</v>
      </c>
    </row>
    <row customHeight="1" ht="11.25">
      <c r="A682" s="5144" t="s">
        <v>2177</v>
      </c>
      <c r="B682" s="5144" t="s">
        <v>14</v>
      </c>
      <c r="C682" s="5144" t="s">
        <v>3728</v>
      </c>
      <c r="D682" s="5144" t="s">
        <v>3729</v>
      </c>
      <c r="E682" s="5144" t="s">
        <v>3730</v>
      </c>
      <c r="F682" s="5144" t="s">
        <v>2199</v>
      </c>
      <c r="G682" s="5144" t="s">
        <v>3731</v>
      </c>
      <c r="H682" s="5144" t="s">
        <v>24</v>
      </c>
      <c r="I682" s="5144" t="s">
        <v>756</v>
      </c>
    </row>
    <row customHeight="1" ht="11.25">
      <c r="A683" s="5144" t="s">
        <v>2177</v>
      </c>
      <c r="B683" s="5144" t="s">
        <v>14</v>
      </c>
      <c r="C683" s="5144" t="s">
        <v>3732</v>
      </c>
      <c r="D683" s="5144" t="s">
        <v>3733</v>
      </c>
      <c r="E683" s="5144" t="s">
        <v>3734</v>
      </c>
      <c r="F683" s="5144" t="s">
        <v>3514</v>
      </c>
      <c r="G683" s="5144" t="s">
        <v>24</v>
      </c>
      <c r="H683" s="5144" t="s">
        <v>24</v>
      </c>
      <c r="I683" s="5144" t="s">
        <v>756</v>
      </c>
    </row>
    <row customHeight="1" ht="11.25">
      <c r="A684" s="5144" t="s">
        <v>2177</v>
      </c>
      <c r="B684" s="5144" t="s">
        <v>14</v>
      </c>
      <c r="C684" s="5144" t="s">
        <v>3735</v>
      </c>
      <c r="D684" s="5144" t="s">
        <v>3736</v>
      </c>
      <c r="E684" s="5144" t="s">
        <v>3737</v>
      </c>
      <c r="F684" s="5144" t="s">
        <v>2520</v>
      </c>
      <c r="G684" s="5144" t="s">
        <v>3738</v>
      </c>
      <c r="H684" s="5144" t="s">
        <v>24</v>
      </c>
      <c r="I684" s="5144" t="s">
        <v>756</v>
      </c>
    </row>
    <row customHeight="1" ht="11.25">
      <c r="A685" s="5144" t="s">
        <v>2177</v>
      </c>
      <c r="B685" s="5144" t="s">
        <v>14</v>
      </c>
      <c r="C685" s="5144" t="s">
        <v>2498</v>
      </c>
      <c r="D685" s="5144" t="s">
        <v>2499</v>
      </c>
      <c r="E685" s="5144" t="s">
        <v>2500</v>
      </c>
      <c r="F685" s="5144" t="s">
        <v>2467</v>
      </c>
      <c r="G685" s="5144" t="s">
        <v>2501</v>
      </c>
      <c r="H685" s="5144" t="s">
        <v>24</v>
      </c>
      <c r="I685" s="5144" t="s">
        <v>756</v>
      </c>
    </row>
    <row customHeight="1" ht="11.25">
      <c r="A686" s="5144" t="s">
        <v>2177</v>
      </c>
      <c r="B686" s="5144" t="s">
        <v>14</v>
      </c>
      <c r="C686" s="5144" t="s">
        <v>2502</v>
      </c>
      <c r="D686" s="5144" t="s">
        <v>2503</v>
      </c>
      <c r="E686" s="5144" t="s">
        <v>2504</v>
      </c>
      <c r="F686" s="5144" t="s">
        <v>2505</v>
      </c>
      <c r="G686" s="5144" t="s">
        <v>2506</v>
      </c>
      <c r="H686" s="5144" t="s">
        <v>24</v>
      </c>
      <c r="I686" s="5144" t="s">
        <v>756</v>
      </c>
    </row>
    <row customHeight="1" ht="11.25">
      <c r="A687" s="5144" t="s">
        <v>2177</v>
      </c>
      <c r="B687" s="5144" t="s">
        <v>14</v>
      </c>
      <c r="C687" s="5144" t="s">
        <v>2507</v>
      </c>
      <c r="D687" s="5144" t="s">
        <v>2508</v>
      </c>
      <c r="E687" s="5144" t="s">
        <v>2509</v>
      </c>
      <c r="F687" s="5144" t="s">
        <v>2510</v>
      </c>
      <c r="G687" s="5144" t="s">
        <v>2511</v>
      </c>
      <c r="H687" s="5144" t="s">
        <v>24</v>
      </c>
      <c r="I687" s="5144" t="s">
        <v>756</v>
      </c>
    </row>
    <row customHeight="1" ht="11.25">
      <c r="A688" s="5144" t="s">
        <v>2177</v>
      </c>
      <c r="B688" s="5144" t="s">
        <v>14</v>
      </c>
      <c r="C688" s="5144" t="s">
        <v>3739</v>
      </c>
      <c r="D688" s="5144" t="s">
        <v>3740</v>
      </c>
      <c r="E688" s="5144" t="s">
        <v>3741</v>
      </c>
      <c r="F688" s="5144" t="s">
        <v>51</v>
      </c>
      <c r="G688" s="5144" t="s">
        <v>3742</v>
      </c>
      <c r="H688" s="5144" t="s">
        <v>24</v>
      </c>
      <c r="I688" s="5144" t="s">
        <v>756</v>
      </c>
    </row>
    <row customHeight="1" ht="11.25">
      <c r="A689" s="5144" t="s">
        <v>2177</v>
      </c>
      <c r="B689" s="5144" t="s">
        <v>14</v>
      </c>
      <c r="C689" s="5144" t="s">
        <v>2512</v>
      </c>
      <c r="D689" s="5144" t="s">
        <v>2513</v>
      </c>
      <c r="E689" s="5144" t="s">
        <v>2514</v>
      </c>
      <c r="F689" s="5144" t="s">
        <v>2515</v>
      </c>
      <c r="G689" s="5144" t="s">
        <v>2516</v>
      </c>
      <c r="H689" s="5144" t="s">
        <v>24</v>
      </c>
      <c r="I689" s="5144" t="s">
        <v>756</v>
      </c>
    </row>
    <row customHeight="1" ht="11.25">
      <c r="A690" s="5144" t="s">
        <v>2177</v>
      </c>
      <c r="B690" s="5144" t="s">
        <v>14</v>
      </c>
      <c r="C690" s="5144" t="s">
        <v>3743</v>
      </c>
      <c r="D690" s="5144" t="s">
        <v>3744</v>
      </c>
      <c r="E690" s="5144" t="s">
        <v>3745</v>
      </c>
      <c r="F690" s="5144" t="s">
        <v>2183</v>
      </c>
      <c r="G690" s="5144" t="s">
        <v>24</v>
      </c>
      <c r="H690" s="5144" t="s">
        <v>24</v>
      </c>
      <c r="I690" s="5144" t="s">
        <v>756</v>
      </c>
    </row>
    <row customHeight="1" ht="11.25">
      <c r="A691" s="5144" t="s">
        <v>2177</v>
      </c>
      <c r="B691" s="5144" t="s">
        <v>14</v>
      </c>
      <c r="C691" s="5144" t="s">
        <v>3746</v>
      </c>
      <c r="D691" s="5144" t="s">
        <v>3747</v>
      </c>
      <c r="E691" s="5144" t="s">
        <v>3748</v>
      </c>
      <c r="F691" s="5144" t="s">
        <v>2183</v>
      </c>
      <c r="G691" s="5144" t="s">
        <v>3749</v>
      </c>
      <c r="H691" s="5144" t="s">
        <v>24</v>
      </c>
      <c r="I691" s="5144" t="s">
        <v>756</v>
      </c>
    </row>
    <row customHeight="1" ht="11.25">
      <c r="A692" s="5144" t="s">
        <v>2177</v>
      </c>
      <c r="B692" s="5144" t="s">
        <v>14</v>
      </c>
      <c r="C692" s="5144" t="s">
        <v>2517</v>
      </c>
      <c r="D692" s="5144" t="s">
        <v>2518</v>
      </c>
      <c r="E692" s="5144" t="s">
        <v>2519</v>
      </c>
      <c r="F692" s="5144" t="s">
        <v>2520</v>
      </c>
      <c r="G692" s="5144" t="s">
        <v>2521</v>
      </c>
      <c r="H692" s="5144" t="s">
        <v>24</v>
      </c>
      <c r="I692" s="5144" t="s">
        <v>756</v>
      </c>
    </row>
    <row customHeight="1" ht="11.25">
      <c r="A693" s="5144" t="s">
        <v>2177</v>
      </c>
      <c r="B693" s="5144" t="s">
        <v>14</v>
      </c>
      <c r="C693" s="5144" t="s">
        <v>3750</v>
      </c>
      <c r="D693" s="5144" t="s">
        <v>3751</v>
      </c>
      <c r="E693" s="5144" t="s">
        <v>3752</v>
      </c>
      <c r="F693" s="5144" t="s">
        <v>2505</v>
      </c>
      <c r="G693" s="5144" t="s">
        <v>24</v>
      </c>
      <c r="H693" s="5144" t="s">
        <v>24</v>
      </c>
      <c r="I693" s="5144" t="s">
        <v>756</v>
      </c>
    </row>
    <row customHeight="1" ht="11.25">
      <c r="A694" s="5144" t="s">
        <v>2177</v>
      </c>
      <c r="B694" s="5144" t="s">
        <v>14</v>
      </c>
      <c r="C694" s="5144" t="s">
        <v>3753</v>
      </c>
      <c r="D694" s="5144" t="s">
        <v>3754</v>
      </c>
      <c r="E694" s="5144" t="s">
        <v>3755</v>
      </c>
      <c r="F694" s="5144" t="s">
        <v>2520</v>
      </c>
      <c r="G694" s="5144" t="s">
        <v>3756</v>
      </c>
      <c r="H694" s="5144" t="s">
        <v>24</v>
      </c>
      <c r="I694" s="5144" t="s">
        <v>756</v>
      </c>
    </row>
    <row customHeight="1" ht="11.25">
      <c r="A695" s="5144" t="s">
        <v>2177</v>
      </c>
      <c r="B695" s="5144" t="s">
        <v>14</v>
      </c>
      <c r="C695" s="5144" t="s">
        <v>2522</v>
      </c>
      <c r="D695" s="5144" t="s">
        <v>2523</v>
      </c>
      <c r="E695" s="5144" t="s">
        <v>2524</v>
      </c>
      <c r="F695" s="5144" t="s">
        <v>2202</v>
      </c>
      <c r="G695" s="5144" t="s">
        <v>2525</v>
      </c>
      <c r="H695" s="5144" t="s">
        <v>24</v>
      </c>
      <c r="I695" s="5144" t="s">
        <v>756</v>
      </c>
    </row>
    <row customHeight="1" ht="11.25">
      <c r="A696" s="5144" t="s">
        <v>2177</v>
      </c>
      <c r="B696" s="5144" t="s">
        <v>14</v>
      </c>
      <c r="C696" s="5144" t="s">
        <v>2526</v>
      </c>
      <c r="D696" s="5144" t="s">
        <v>2527</v>
      </c>
      <c r="E696" s="5144" t="s">
        <v>2528</v>
      </c>
      <c r="F696" s="5144" t="s">
        <v>2505</v>
      </c>
      <c r="G696" s="5144" t="s">
        <v>2529</v>
      </c>
      <c r="H696" s="5144" t="s">
        <v>24</v>
      </c>
      <c r="I696" s="5144" t="s">
        <v>756</v>
      </c>
    </row>
    <row customHeight="1" ht="11.25">
      <c r="A697" s="5144" t="s">
        <v>2177</v>
      </c>
      <c r="B697" s="5144" t="s">
        <v>14</v>
      </c>
      <c r="C697" s="5144" t="s">
        <v>2530</v>
      </c>
      <c r="D697" s="5144" t="s">
        <v>2531</v>
      </c>
      <c r="E697" s="5144" t="s">
        <v>2532</v>
      </c>
      <c r="F697" s="5144" t="s">
        <v>2252</v>
      </c>
      <c r="G697" s="5144" t="s">
        <v>2533</v>
      </c>
      <c r="H697" s="5144" t="s">
        <v>24</v>
      </c>
      <c r="I697" s="5144" t="s">
        <v>756</v>
      </c>
    </row>
    <row customHeight="1" ht="11.25">
      <c r="A698" s="5144" t="s">
        <v>2177</v>
      </c>
      <c r="B698" s="5144" t="s">
        <v>14</v>
      </c>
      <c r="C698" s="5144" t="s">
        <v>2534</v>
      </c>
      <c r="D698" s="5144" t="s">
        <v>2535</v>
      </c>
      <c r="E698" s="5144" t="s">
        <v>2536</v>
      </c>
      <c r="F698" s="5144" t="s">
        <v>2277</v>
      </c>
      <c r="G698" s="5144" t="s">
        <v>2537</v>
      </c>
      <c r="H698" s="5144" t="s">
        <v>24</v>
      </c>
      <c r="I698" s="5144" t="s">
        <v>756</v>
      </c>
    </row>
    <row customHeight="1" ht="11.25">
      <c r="A699" s="5144" t="s">
        <v>2177</v>
      </c>
      <c r="B699" s="5144" t="s">
        <v>14</v>
      </c>
      <c r="C699" s="5144" t="s">
        <v>2538</v>
      </c>
      <c r="D699" s="5144" t="s">
        <v>2539</v>
      </c>
      <c r="E699" s="5144" t="s">
        <v>2540</v>
      </c>
      <c r="F699" s="5144" t="s">
        <v>2288</v>
      </c>
      <c r="G699" s="5144" t="s">
        <v>2541</v>
      </c>
      <c r="H699" s="5144" t="s">
        <v>24</v>
      </c>
      <c r="I699" s="5144" t="s">
        <v>756</v>
      </c>
    </row>
    <row customHeight="1" ht="11.25">
      <c r="A700" s="5144" t="s">
        <v>2177</v>
      </c>
      <c r="B700" s="5144" t="s">
        <v>14</v>
      </c>
      <c r="C700" s="5144" t="s">
        <v>2542</v>
      </c>
      <c r="D700" s="5144" t="s">
        <v>2543</v>
      </c>
      <c r="E700" s="5144" t="s">
        <v>2544</v>
      </c>
      <c r="F700" s="5144" t="s">
        <v>2505</v>
      </c>
      <c r="G700" s="5144" t="s">
        <v>2545</v>
      </c>
      <c r="H700" s="5144" t="s">
        <v>24</v>
      </c>
      <c r="I700" s="5144" t="s">
        <v>756</v>
      </c>
    </row>
    <row customHeight="1" ht="11.25">
      <c r="A701" s="5144" t="s">
        <v>2177</v>
      </c>
      <c r="B701" s="5144" t="s">
        <v>14</v>
      </c>
      <c r="C701" s="5144" t="s">
        <v>2546</v>
      </c>
      <c r="D701" s="5144" t="s">
        <v>2547</v>
      </c>
      <c r="E701" s="5144" t="s">
        <v>2548</v>
      </c>
      <c r="F701" s="5144" t="s">
        <v>2202</v>
      </c>
      <c r="G701" s="5144" t="s">
        <v>2549</v>
      </c>
      <c r="H701" s="5144" t="s">
        <v>24</v>
      </c>
      <c r="I701" s="5144" t="s">
        <v>756</v>
      </c>
    </row>
    <row customHeight="1" ht="11.25">
      <c r="A702" s="5144" t="s">
        <v>2177</v>
      </c>
      <c r="B702" s="5144" t="s">
        <v>14</v>
      </c>
      <c r="C702" s="5144" t="s">
        <v>2550</v>
      </c>
      <c r="D702" s="5144" t="s">
        <v>2551</v>
      </c>
      <c r="E702" s="5144" t="s">
        <v>2552</v>
      </c>
      <c r="F702" s="5144" t="s">
        <v>2186</v>
      </c>
      <c r="G702" s="5144" t="s">
        <v>2553</v>
      </c>
      <c r="H702" s="5144" t="s">
        <v>24</v>
      </c>
      <c r="I702" s="5144" t="s">
        <v>756</v>
      </c>
    </row>
    <row customHeight="1" ht="11.25">
      <c r="A703" s="5144" t="s">
        <v>2177</v>
      </c>
      <c r="B703" s="5144" t="s">
        <v>14</v>
      </c>
      <c r="C703" s="5144" t="s">
        <v>2554</v>
      </c>
      <c r="D703" s="5144" t="s">
        <v>2555</v>
      </c>
      <c r="E703" s="5144" t="s">
        <v>2556</v>
      </c>
      <c r="F703" s="5144" t="s">
        <v>2505</v>
      </c>
      <c r="G703" s="5144" t="s">
        <v>2557</v>
      </c>
      <c r="H703" s="5144" t="s">
        <v>24</v>
      </c>
      <c r="I703" s="5144" t="s">
        <v>756</v>
      </c>
    </row>
    <row customHeight="1" ht="11.25">
      <c r="A704" s="5144" t="s">
        <v>2177</v>
      </c>
      <c r="B704" s="5144" t="s">
        <v>14</v>
      </c>
      <c r="C704" s="5144" t="s">
        <v>3757</v>
      </c>
      <c r="D704" s="5144" t="s">
        <v>3758</v>
      </c>
      <c r="E704" s="5144" t="s">
        <v>3759</v>
      </c>
      <c r="F704" s="5144" t="s">
        <v>2183</v>
      </c>
      <c r="G704" s="5144" t="s">
        <v>3760</v>
      </c>
      <c r="H704" s="5144" t="s">
        <v>24</v>
      </c>
      <c r="I704" s="5144" t="s">
        <v>756</v>
      </c>
    </row>
    <row customHeight="1" ht="11.25">
      <c r="A705" s="5144" t="s">
        <v>2177</v>
      </c>
      <c r="B705" s="5144" t="s">
        <v>14</v>
      </c>
      <c r="C705" s="5144" t="s">
        <v>2558</v>
      </c>
      <c r="D705" s="5144" t="s">
        <v>2559</v>
      </c>
      <c r="E705" s="5144" t="s">
        <v>2560</v>
      </c>
      <c r="F705" s="5144" t="s">
        <v>2221</v>
      </c>
      <c r="G705" s="5144" t="s">
        <v>2561</v>
      </c>
      <c r="H705" s="5144" t="s">
        <v>24</v>
      </c>
      <c r="I705" s="5144" t="s">
        <v>756</v>
      </c>
    </row>
    <row customHeight="1" ht="11.25">
      <c r="A706" s="5144" t="s">
        <v>2177</v>
      </c>
      <c r="B706" s="5144" t="s">
        <v>14</v>
      </c>
      <c r="C706" s="5144" t="s">
        <v>2562</v>
      </c>
      <c r="D706" s="5144" t="s">
        <v>2563</v>
      </c>
      <c r="E706" s="5144" t="s">
        <v>2564</v>
      </c>
      <c r="F706" s="5144" t="s">
        <v>2202</v>
      </c>
      <c r="G706" s="5144" t="s">
        <v>2565</v>
      </c>
      <c r="H706" s="5144" t="s">
        <v>24</v>
      </c>
      <c r="I706" s="5144" t="s">
        <v>756</v>
      </c>
    </row>
    <row customHeight="1" ht="11.25">
      <c r="A707" s="5144" t="s">
        <v>2177</v>
      </c>
      <c r="B707" s="5144" t="s">
        <v>14</v>
      </c>
      <c r="C707" s="5144" t="s">
        <v>2566</v>
      </c>
      <c r="D707" s="5144" t="s">
        <v>2567</v>
      </c>
      <c r="E707" s="5144" t="s">
        <v>2568</v>
      </c>
      <c r="F707" s="5144" t="s">
        <v>2288</v>
      </c>
      <c r="G707" s="5144" t="s">
        <v>2569</v>
      </c>
      <c r="H707" s="5144" t="s">
        <v>24</v>
      </c>
      <c r="I707" s="5144" t="s">
        <v>756</v>
      </c>
    </row>
    <row customHeight="1" ht="11.25">
      <c r="A708" s="5144" t="s">
        <v>2177</v>
      </c>
      <c r="B708" s="5144" t="s">
        <v>14</v>
      </c>
      <c r="C708" s="5144" t="s">
        <v>2570</v>
      </c>
      <c r="D708" s="5144" t="s">
        <v>2571</v>
      </c>
      <c r="E708" s="5144" t="s">
        <v>2572</v>
      </c>
      <c r="F708" s="5144" t="s">
        <v>2221</v>
      </c>
      <c r="G708" s="5144" t="s">
        <v>2573</v>
      </c>
      <c r="H708" s="5144" t="s">
        <v>24</v>
      </c>
      <c r="I708" s="5144" t="s">
        <v>756</v>
      </c>
    </row>
    <row customHeight="1" ht="11.25">
      <c r="A709" s="5144" t="s">
        <v>2177</v>
      </c>
      <c r="B709" s="5144" t="s">
        <v>14</v>
      </c>
      <c r="C709" s="5144" t="s">
        <v>2574</v>
      </c>
      <c r="D709" s="5144" t="s">
        <v>2575</v>
      </c>
      <c r="E709" s="5144" t="s">
        <v>2576</v>
      </c>
      <c r="F709" s="5144" t="s">
        <v>2252</v>
      </c>
      <c r="G709" s="5144" t="s">
        <v>2577</v>
      </c>
      <c r="H709" s="5144" t="s">
        <v>24</v>
      </c>
      <c r="I709" s="5144" t="s">
        <v>756</v>
      </c>
    </row>
    <row customHeight="1" ht="11.25">
      <c r="A710" s="5144" t="s">
        <v>2177</v>
      </c>
      <c r="B710" s="5144" t="s">
        <v>14</v>
      </c>
      <c r="C710" s="5144" t="s">
        <v>2578</v>
      </c>
      <c r="D710" s="5144" t="s">
        <v>2579</v>
      </c>
      <c r="E710" s="5144" t="s">
        <v>2580</v>
      </c>
      <c r="F710" s="5144" t="s">
        <v>2288</v>
      </c>
      <c r="G710" s="5144" t="s">
        <v>2581</v>
      </c>
      <c r="H710" s="5144" t="s">
        <v>2582</v>
      </c>
      <c r="I710" s="5144" t="s">
        <v>756</v>
      </c>
    </row>
    <row customHeight="1" ht="11.25">
      <c r="A711" s="5144" t="s">
        <v>2177</v>
      </c>
      <c r="B711" s="5144" t="s">
        <v>14</v>
      </c>
      <c r="C711" s="5144" t="s">
        <v>3761</v>
      </c>
      <c r="D711" s="5144" t="s">
        <v>3762</v>
      </c>
      <c r="E711" s="5144" t="s">
        <v>3763</v>
      </c>
      <c r="F711" s="5144" t="s">
        <v>2520</v>
      </c>
      <c r="G711" s="5144" t="s">
        <v>3764</v>
      </c>
      <c r="H711" s="5144" t="s">
        <v>24</v>
      </c>
      <c r="I711" s="5144" t="s">
        <v>756</v>
      </c>
    </row>
    <row customHeight="1" ht="11.25">
      <c r="A712" s="5144" t="s">
        <v>2177</v>
      </c>
      <c r="B712" s="5144" t="s">
        <v>14</v>
      </c>
      <c r="C712" s="5144" t="s">
        <v>2583</v>
      </c>
      <c r="D712" s="5144" t="s">
        <v>2584</v>
      </c>
      <c r="E712" s="5144" t="s">
        <v>2585</v>
      </c>
      <c r="F712" s="5144" t="s">
        <v>2231</v>
      </c>
      <c r="G712" s="5144" t="s">
        <v>2586</v>
      </c>
      <c r="H712" s="5144" t="s">
        <v>24</v>
      </c>
      <c r="I712" s="5144" t="s">
        <v>756</v>
      </c>
    </row>
    <row customHeight="1" ht="11.25">
      <c r="A713" s="5144" t="s">
        <v>2177</v>
      </c>
      <c r="B713" s="5144" t="s">
        <v>14</v>
      </c>
      <c r="C713" s="5144" t="s">
        <v>3765</v>
      </c>
      <c r="D713" s="5144" t="s">
        <v>3766</v>
      </c>
      <c r="E713" s="5144" t="s">
        <v>3767</v>
      </c>
      <c r="F713" s="5144" t="s">
        <v>51</v>
      </c>
      <c r="G713" s="5144" t="s">
        <v>3768</v>
      </c>
      <c r="H713" s="5144" t="s">
        <v>24</v>
      </c>
      <c r="I713" s="5144" t="s">
        <v>756</v>
      </c>
    </row>
    <row customHeight="1" ht="11.25">
      <c r="A714" s="5144" t="s">
        <v>2177</v>
      </c>
      <c r="B714" s="5144" t="s">
        <v>14</v>
      </c>
      <c r="C714" s="5144" t="s">
        <v>2587</v>
      </c>
      <c r="D714" s="5144" t="s">
        <v>2588</v>
      </c>
      <c r="E714" s="5144" t="s">
        <v>2589</v>
      </c>
      <c r="F714" s="5144" t="s">
        <v>2505</v>
      </c>
      <c r="G714" s="5144" t="s">
        <v>2590</v>
      </c>
      <c r="H714" s="5144" t="s">
        <v>24</v>
      </c>
      <c r="I714" s="5144" t="s">
        <v>756</v>
      </c>
    </row>
    <row customHeight="1" ht="11.25">
      <c r="A715" s="5144" t="s">
        <v>2177</v>
      </c>
      <c r="B715" s="5144" t="s">
        <v>14</v>
      </c>
      <c r="C715" s="5144" t="s">
        <v>2591</v>
      </c>
      <c r="D715" s="5144" t="s">
        <v>2592</v>
      </c>
      <c r="E715" s="5144" t="s">
        <v>2593</v>
      </c>
      <c r="F715" s="5144" t="s">
        <v>2192</v>
      </c>
      <c r="G715" s="5144" t="s">
        <v>2594</v>
      </c>
      <c r="H715" s="5144" t="s">
        <v>24</v>
      </c>
      <c r="I715" s="5144" t="s">
        <v>756</v>
      </c>
    </row>
    <row customHeight="1" ht="11.25">
      <c r="A716" s="5144" t="s">
        <v>2177</v>
      </c>
      <c r="B716" s="5144" t="s">
        <v>14</v>
      </c>
      <c r="C716" s="5144" t="s">
        <v>3769</v>
      </c>
      <c r="D716" s="5144" t="s">
        <v>3770</v>
      </c>
      <c r="E716" s="5144" t="s">
        <v>3771</v>
      </c>
      <c r="F716" s="5144" t="s">
        <v>2277</v>
      </c>
      <c r="G716" s="5144" t="s">
        <v>3772</v>
      </c>
      <c r="H716" s="5144" t="s">
        <v>24</v>
      </c>
      <c r="I716" s="5144" t="s">
        <v>756</v>
      </c>
    </row>
    <row customHeight="1" ht="11.25">
      <c r="A717" s="5144" t="s">
        <v>2177</v>
      </c>
      <c r="B717" s="5144" t="s">
        <v>14</v>
      </c>
      <c r="C717" s="5144" t="s">
        <v>3773</v>
      </c>
      <c r="D717" s="5144" t="s">
        <v>3774</v>
      </c>
      <c r="E717" s="5144" t="s">
        <v>3775</v>
      </c>
      <c r="F717" s="5144" t="s">
        <v>2199</v>
      </c>
      <c r="G717" s="5144" t="s">
        <v>3776</v>
      </c>
      <c r="H717" s="5144" t="s">
        <v>24</v>
      </c>
      <c r="I717" s="5144" t="s">
        <v>756</v>
      </c>
    </row>
    <row customHeight="1" ht="11.25">
      <c r="A718" s="5144" t="s">
        <v>2177</v>
      </c>
      <c r="B718" s="5144" t="s">
        <v>14</v>
      </c>
      <c r="C718" s="5144" t="s">
        <v>2595</v>
      </c>
      <c r="D718" s="5144" t="s">
        <v>2596</v>
      </c>
      <c r="E718" s="5144" t="s">
        <v>2597</v>
      </c>
      <c r="F718" s="5144" t="s">
        <v>2505</v>
      </c>
      <c r="G718" s="5144" t="s">
        <v>2598</v>
      </c>
      <c r="H718" s="5144" t="s">
        <v>24</v>
      </c>
      <c r="I718" s="5144" t="s">
        <v>756</v>
      </c>
    </row>
    <row customHeight="1" ht="11.25">
      <c r="A719" s="5144" t="s">
        <v>2177</v>
      </c>
      <c r="B719" s="5144" t="s">
        <v>14</v>
      </c>
      <c r="C719" s="5144" t="s">
        <v>2599</v>
      </c>
      <c r="D719" s="5144" t="s">
        <v>2600</v>
      </c>
      <c r="E719" s="5144" t="s">
        <v>2601</v>
      </c>
      <c r="F719" s="5144" t="s">
        <v>2602</v>
      </c>
      <c r="G719" s="5144" t="s">
        <v>2603</v>
      </c>
      <c r="H719" s="5144" t="s">
        <v>2604</v>
      </c>
      <c r="I719" s="5144" t="s">
        <v>756</v>
      </c>
    </row>
    <row customHeight="1" ht="11.25">
      <c r="A720" s="5144" t="s">
        <v>2177</v>
      </c>
      <c r="B720" s="5144" t="s">
        <v>14</v>
      </c>
      <c r="C720" s="5144" t="s">
        <v>2605</v>
      </c>
      <c r="D720" s="5144" t="s">
        <v>2606</v>
      </c>
      <c r="E720" s="5144" t="s">
        <v>2607</v>
      </c>
      <c r="F720" s="5144" t="s">
        <v>2252</v>
      </c>
      <c r="G720" s="5144" t="s">
        <v>2608</v>
      </c>
      <c r="H720" s="5144" t="s">
        <v>24</v>
      </c>
      <c r="I720" s="5144" t="s">
        <v>756</v>
      </c>
    </row>
    <row customHeight="1" ht="11.25">
      <c r="A721" s="5144" t="s">
        <v>2177</v>
      </c>
      <c r="B721" s="5144" t="s">
        <v>14</v>
      </c>
      <c r="C721" s="5144" t="s">
        <v>3777</v>
      </c>
      <c r="D721" s="5144" t="s">
        <v>3778</v>
      </c>
      <c r="E721" s="5144" t="s">
        <v>3779</v>
      </c>
      <c r="F721" s="5144" t="s">
        <v>2183</v>
      </c>
      <c r="G721" s="5144" t="s">
        <v>3780</v>
      </c>
      <c r="H721" s="5144" t="s">
        <v>24</v>
      </c>
      <c r="I721" s="5144" t="s">
        <v>756</v>
      </c>
    </row>
    <row customHeight="1" ht="11.25">
      <c r="A722" s="5144" t="s">
        <v>2177</v>
      </c>
      <c r="B722" s="5144" t="s">
        <v>14</v>
      </c>
      <c r="C722" s="5144" t="s">
        <v>2609</v>
      </c>
      <c r="D722" s="5144" t="s">
        <v>2610</v>
      </c>
      <c r="E722" s="5144" t="s">
        <v>2611</v>
      </c>
      <c r="F722" s="5144" t="s">
        <v>2505</v>
      </c>
      <c r="G722" s="5144" t="s">
        <v>2612</v>
      </c>
      <c r="H722" s="5144" t="s">
        <v>2613</v>
      </c>
      <c r="I722" s="5144" t="s">
        <v>756</v>
      </c>
    </row>
    <row customHeight="1" ht="11.25">
      <c r="A723" s="5144" t="s">
        <v>2177</v>
      </c>
      <c r="B723" s="5144" t="s">
        <v>14</v>
      </c>
      <c r="C723" s="5144" t="s">
        <v>2614</v>
      </c>
      <c r="D723" s="5144" t="s">
        <v>2615</v>
      </c>
      <c r="E723" s="5144" t="s">
        <v>2616</v>
      </c>
      <c r="F723" s="5144" t="s">
        <v>2505</v>
      </c>
      <c r="G723" s="5144" t="s">
        <v>2617</v>
      </c>
      <c r="H723" s="5144" t="s">
        <v>24</v>
      </c>
      <c r="I723" s="5144" t="s">
        <v>756</v>
      </c>
    </row>
    <row customHeight="1" ht="11.25">
      <c r="A724" s="5144" t="s">
        <v>2177</v>
      </c>
      <c r="B724" s="5144" t="s">
        <v>14</v>
      </c>
      <c r="C724" s="5144" t="s">
        <v>2618</v>
      </c>
      <c r="D724" s="5144" t="s">
        <v>2619</v>
      </c>
      <c r="E724" s="5144" t="s">
        <v>2620</v>
      </c>
      <c r="F724" s="5144" t="s">
        <v>2505</v>
      </c>
      <c r="G724" s="5144" t="s">
        <v>2621</v>
      </c>
      <c r="H724" s="5144" t="s">
        <v>24</v>
      </c>
      <c r="I724" s="5144" t="s">
        <v>756</v>
      </c>
    </row>
    <row customHeight="1" ht="11.25">
      <c r="A725" s="5144" t="s">
        <v>2177</v>
      </c>
      <c r="B725" s="5144" t="s">
        <v>14</v>
      </c>
      <c r="C725" s="5144" t="s">
        <v>2622</v>
      </c>
      <c r="D725" s="5144" t="s">
        <v>2623</v>
      </c>
      <c r="E725" s="5144" t="s">
        <v>2624</v>
      </c>
      <c r="F725" s="5144" t="s">
        <v>2183</v>
      </c>
      <c r="G725" s="5144" t="s">
        <v>2625</v>
      </c>
      <c r="H725" s="5144" t="s">
        <v>24</v>
      </c>
      <c r="I725" s="5144" t="s">
        <v>756</v>
      </c>
    </row>
    <row customHeight="1" ht="11.25">
      <c r="A726" s="5144" t="s">
        <v>2177</v>
      </c>
      <c r="B726" s="5144" t="s">
        <v>14</v>
      </c>
      <c r="C726" s="5144" t="s">
        <v>3781</v>
      </c>
      <c r="D726" s="5144" t="s">
        <v>3782</v>
      </c>
      <c r="E726" s="5144" t="s">
        <v>3783</v>
      </c>
      <c r="F726" s="5144" t="s">
        <v>3364</v>
      </c>
      <c r="G726" s="5144" t="s">
        <v>3784</v>
      </c>
      <c r="H726" s="5144" t="s">
        <v>24</v>
      </c>
      <c r="I726" s="5144" t="s">
        <v>756</v>
      </c>
    </row>
    <row customHeight="1" ht="11.25">
      <c r="A727" s="5144" t="s">
        <v>2177</v>
      </c>
      <c r="B727" s="5144" t="s">
        <v>14</v>
      </c>
      <c r="C727" s="5144" t="s">
        <v>3785</v>
      </c>
      <c r="D727" s="5144" t="s">
        <v>3782</v>
      </c>
      <c r="E727" s="5144" t="s">
        <v>3786</v>
      </c>
      <c r="F727" s="5144" t="s">
        <v>2183</v>
      </c>
      <c r="G727" s="5144" t="s">
        <v>3787</v>
      </c>
      <c r="H727" s="5144" t="s">
        <v>24</v>
      </c>
      <c r="I727" s="5144" t="s">
        <v>756</v>
      </c>
    </row>
    <row customHeight="1" ht="11.25">
      <c r="A728" s="5144" t="s">
        <v>2177</v>
      </c>
      <c r="B728" s="5144" t="s">
        <v>14</v>
      </c>
      <c r="C728" s="5144" t="s">
        <v>2626</v>
      </c>
      <c r="D728" s="5144" t="s">
        <v>2627</v>
      </c>
      <c r="E728" s="5144" t="s">
        <v>2628</v>
      </c>
      <c r="F728" s="5144" t="s">
        <v>2183</v>
      </c>
      <c r="G728" s="5144" t="s">
        <v>2629</v>
      </c>
      <c r="H728" s="5144" t="s">
        <v>24</v>
      </c>
      <c r="I728" s="5144" t="s">
        <v>756</v>
      </c>
    </row>
    <row customHeight="1" ht="11.25">
      <c r="A729" s="5144" t="s">
        <v>2177</v>
      </c>
      <c r="B729" s="5144" t="s">
        <v>14</v>
      </c>
      <c r="C729" s="5144" t="s">
        <v>2633</v>
      </c>
      <c r="D729" s="5144" t="s">
        <v>2634</v>
      </c>
      <c r="E729" s="5144" t="s">
        <v>2635</v>
      </c>
      <c r="F729" s="5144" t="s">
        <v>2231</v>
      </c>
      <c r="G729" s="5144" t="s">
        <v>24</v>
      </c>
      <c r="H729" s="5144" t="s">
        <v>24</v>
      </c>
      <c r="I729" s="5144" t="s">
        <v>756</v>
      </c>
    </row>
    <row customHeight="1" ht="11.25">
      <c r="A730" s="5144" t="s">
        <v>2177</v>
      </c>
      <c r="B730" s="5144" t="s">
        <v>14</v>
      </c>
      <c r="C730" s="5144" t="s">
        <v>3788</v>
      </c>
      <c r="D730" s="5144" t="s">
        <v>3789</v>
      </c>
      <c r="E730" s="5144" t="s">
        <v>3790</v>
      </c>
      <c r="F730" s="5144" t="s">
        <v>2520</v>
      </c>
      <c r="G730" s="5144" t="s">
        <v>24</v>
      </c>
      <c r="H730" s="5144" t="s">
        <v>24</v>
      </c>
      <c r="I730" s="5144" t="s">
        <v>756</v>
      </c>
    </row>
    <row customHeight="1" ht="11.25">
      <c r="A731" s="5144" t="s">
        <v>2177</v>
      </c>
      <c r="B731" s="5144" t="s">
        <v>14</v>
      </c>
      <c r="C731" s="5144" t="s">
        <v>2636</v>
      </c>
      <c r="D731" s="5144" t="s">
        <v>2637</v>
      </c>
      <c r="E731" s="5144" t="s">
        <v>2638</v>
      </c>
      <c r="F731" s="5144" t="s">
        <v>2186</v>
      </c>
      <c r="G731" s="5144" t="s">
        <v>2639</v>
      </c>
      <c r="H731" s="5144" t="s">
        <v>24</v>
      </c>
      <c r="I731" s="5144" t="s">
        <v>756</v>
      </c>
    </row>
    <row customHeight="1" ht="11.25">
      <c r="A732" s="5144" t="s">
        <v>2177</v>
      </c>
      <c r="B732" s="5144" t="s">
        <v>14</v>
      </c>
      <c r="C732" s="5144" t="s">
        <v>2644</v>
      </c>
      <c r="D732" s="5144" t="s">
        <v>2645</v>
      </c>
      <c r="E732" s="5144" t="s">
        <v>2646</v>
      </c>
      <c r="F732" s="5144" t="s">
        <v>2505</v>
      </c>
      <c r="G732" s="5144" t="s">
        <v>24</v>
      </c>
      <c r="H732" s="5144" t="s">
        <v>24</v>
      </c>
      <c r="I732" s="5144" t="s">
        <v>756</v>
      </c>
    </row>
    <row customHeight="1" ht="11.25">
      <c r="A733" s="5144" t="s">
        <v>2177</v>
      </c>
      <c r="B733" s="5144" t="s">
        <v>14</v>
      </c>
      <c r="C733" s="5144" t="s">
        <v>2647</v>
      </c>
      <c r="D733" s="5144" t="s">
        <v>2648</v>
      </c>
      <c r="E733" s="5144" t="s">
        <v>2649</v>
      </c>
      <c r="F733" s="5144" t="s">
        <v>2186</v>
      </c>
      <c r="G733" s="5144" t="s">
        <v>2650</v>
      </c>
      <c r="H733" s="5144" t="s">
        <v>24</v>
      </c>
      <c r="I733" s="5144" t="s">
        <v>756</v>
      </c>
    </row>
    <row customHeight="1" ht="11.25">
      <c r="A734" s="5144" t="s">
        <v>2177</v>
      </c>
      <c r="B734" s="5144" t="s">
        <v>14</v>
      </c>
      <c r="C734" s="5144" t="s">
        <v>3791</v>
      </c>
      <c r="D734" s="5144" t="s">
        <v>3792</v>
      </c>
      <c r="E734" s="5144" t="s">
        <v>3793</v>
      </c>
      <c r="F734" s="5144" t="s">
        <v>2231</v>
      </c>
      <c r="G734" s="5144" t="s">
        <v>3794</v>
      </c>
      <c r="H734" s="5144" t="s">
        <v>3795</v>
      </c>
      <c r="I734" s="5144" t="s">
        <v>756</v>
      </c>
    </row>
    <row customHeight="1" ht="11.25">
      <c r="A735" s="5144" t="s">
        <v>2177</v>
      </c>
      <c r="B735" s="5144" t="s">
        <v>14</v>
      </c>
      <c r="C735" s="5144" t="s">
        <v>2651</v>
      </c>
      <c r="D735" s="5144" t="s">
        <v>2652</v>
      </c>
      <c r="E735" s="5144" t="s">
        <v>2653</v>
      </c>
      <c r="F735" s="5144" t="s">
        <v>2186</v>
      </c>
      <c r="G735" s="5144" t="s">
        <v>2654</v>
      </c>
      <c r="H735" s="5144" t="s">
        <v>24</v>
      </c>
      <c r="I735" s="5144" t="s">
        <v>756</v>
      </c>
    </row>
    <row customHeight="1" ht="11.25">
      <c r="A736" s="5144" t="s">
        <v>2177</v>
      </c>
      <c r="B736" s="5144" t="s">
        <v>14</v>
      </c>
      <c r="C736" s="5144" t="s">
        <v>2659</v>
      </c>
      <c r="D736" s="5144" t="s">
        <v>2660</v>
      </c>
      <c r="E736" s="5144" t="s">
        <v>2661</v>
      </c>
      <c r="F736" s="5144" t="s">
        <v>2252</v>
      </c>
      <c r="G736" s="5144" t="s">
        <v>2662</v>
      </c>
      <c r="H736" s="5144" t="s">
        <v>24</v>
      </c>
      <c r="I736" s="5144" t="s">
        <v>756</v>
      </c>
    </row>
    <row customHeight="1" ht="11.25">
      <c r="A737" s="5144" t="s">
        <v>2177</v>
      </c>
      <c r="B737" s="5144" t="s">
        <v>14</v>
      </c>
      <c r="C737" s="5144" t="s">
        <v>2666</v>
      </c>
      <c r="D737" s="5144" t="s">
        <v>2667</v>
      </c>
      <c r="E737" s="5144" t="s">
        <v>2668</v>
      </c>
      <c r="F737" s="5144" t="s">
        <v>2669</v>
      </c>
      <c r="G737" s="5144" t="s">
        <v>24</v>
      </c>
      <c r="H737" s="5144" t="s">
        <v>24</v>
      </c>
      <c r="I737" s="5144" t="s">
        <v>756</v>
      </c>
    </row>
    <row customHeight="1" ht="11.25">
      <c r="A738" s="5144" t="s">
        <v>2177</v>
      </c>
      <c r="B738" s="5144" t="s">
        <v>14</v>
      </c>
      <c r="C738" s="5144" t="s">
        <v>3796</v>
      </c>
      <c r="D738" s="5144" t="s">
        <v>3797</v>
      </c>
      <c r="E738" s="5144" t="s">
        <v>3798</v>
      </c>
      <c r="F738" s="5144" t="s">
        <v>2231</v>
      </c>
      <c r="G738" s="5144" t="s">
        <v>3799</v>
      </c>
      <c r="H738" s="5144" t="s">
        <v>24</v>
      </c>
      <c r="I738" s="5144" t="s">
        <v>756</v>
      </c>
    </row>
    <row customHeight="1" ht="11.25">
      <c r="A739" s="5144" t="s">
        <v>2177</v>
      </c>
      <c r="B739" s="5144" t="s">
        <v>14</v>
      </c>
      <c r="C739" s="5144" t="s">
        <v>3800</v>
      </c>
      <c r="D739" s="5144" t="s">
        <v>3801</v>
      </c>
      <c r="E739" s="5144" t="s">
        <v>3802</v>
      </c>
      <c r="F739" s="5144" t="s">
        <v>2520</v>
      </c>
      <c r="G739" s="5144" t="s">
        <v>3803</v>
      </c>
      <c r="H739" s="5144" t="s">
        <v>24</v>
      </c>
      <c r="I739" s="5144" t="s">
        <v>756</v>
      </c>
    </row>
    <row customHeight="1" ht="11.25">
      <c r="A740" s="5144" t="s">
        <v>2177</v>
      </c>
      <c r="B740" s="5144" t="s">
        <v>14</v>
      </c>
      <c r="C740" s="5144" t="s">
        <v>3804</v>
      </c>
      <c r="D740" s="5144" t="s">
        <v>3805</v>
      </c>
      <c r="E740" s="5144" t="s">
        <v>3806</v>
      </c>
      <c r="F740" s="5144" t="s">
        <v>2520</v>
      </c>
      <c r="G740" s="5144" t="s">
        <v>3807</v>
      </c>
      <c r="H740" s="5144" t="s">
        <v>24</v>
      </c>
      <c r="I740" s="5144" t="s">
        <v>756</v>
      </c>
    </row>
    <row customHeight="1" ht="11.25">
      <c r="A741" s="5144" t="s">
        <v>2177</v>
      </c>
      <c r="B741" s="5144" t="s">
        <v>14</v>
      </c>
      <c r="C741" s="5144" t="s">
        <v>2670</v>
      </c>
      <c r="D741" s="5144" t="s">
        <v>2671</v>
      </c>
      <c r="E741" s="5144" t="s">
        <v>2672</v>
      </c>
      <c r="F741" s="5144" t="s">
        <v>2673</v>
      </c>
      <c r="G741" s="5144" t="s">
        <v>2674</v>
      </c>
      <c r="H741" s="5144" t="s">
        <v>24</v>
      </c>
      <c r="I741" s="5144" t="s">
        <v>756</v>
      </c>
    </row>
    <row customHeight="1" ht="11.25">
      <c r="A742" s="5144" t="s">
        <v>2177</v>
      </c>
      <c r="B742" s="5144" t="s">
        <v>14</v>
      </c>
      <c r="C742" s="5144" t="s">
        <v>3808</v>
      </c>
      <c r="D742" s="5144" t="s">
        <v>3809</v>
      </c>
      <c r="E742" s="5144" t="s">
        <v>3810</v>
      </c>
      <c r="F742" s="5144" t="s">
        <v>2520</v>
      </c>
      <c r="G742" s="5144" t="s">
        <v>24</v>
      </c>
      <c r="H742" s="5144" t="s">
        <v>24</v>
      </c>
      <c r="I742" s="5144" t="s">
        <v>756</v>
      </c>
    </row>
    <row customHeight="1" ht="11.25">
      <c r="A743" s="5144" t="s">
        <v>2177</v>
      </c>
      <c r="B743" s="5144" t="s">
        <v>14</v>
      </c>
      <c r="C743" s="5144" t="s">
        <v>3811</v>
      </c>
      <c r="D743" s="5144" t="s">
        <v>3812</v>
      </c>
      <c r="E743" s="5144" t="s">
        <v>3813</v>
      </c>
      <c r="F743" s="5144" t="s">
        <v>2239</v>
      </c>
      <c r="G743" s="5144" t="s">
        <v>3814</v>
      </c>
      <c r="H743" s="5144" t="s">
        <v>24</v>
      </c>
      <c r="I743" s="5144" t="s">
        <v>756</v>
      </c>
    </row>
    <row customHeight="1" ht="11.25">
      <c r="A744" s="5144" t="s">
        <v>2177</v>
      </c>
      <c r="B744" s="5144" t="s">
        <v>14</v>
      </c>
      <c r="C744" s="5144" t="s">
        <v>3815</v>
      </c>
      <c r="D744" s="5144" t="s">
        <v>3816</v>
      </c>
      <c r="E744" s="5144" t="s">
        <v>3817</v>
      </c>
      <c r="F744" s="5144" t="s">
        <v>2199</v>
      </c>
      <c r="G744" s="5144" t="s">
        <v>3818</v>
      </c>
      <c r="H744" s="5144" t="s">
        <v>24</v>
      </c>
      <c r="I744" s="5144" t="s">
        <v>756</v>
      </c>
    </row>
    <row customHeight="1" ht="11.25">
      <c r="A745" s="5144" t="s">
        <v>2177</v>
      </c>
      <c r="B745" s="5144" t="s">
        <v>14</v>
      </c>
      <c r="C745" s="5144" t="s">
        <v>2683</v>
      </c>
      <c r="D745" s="5144" t="s">
        <v>2684</v>
      </c>
      <c r="E745" s="5144" t="s">
        <v>2685</v>
      </c>
      <c r="F745" s="5144" t="s">
        <v>2231</v>
      </c>
      <c r="G745" s="5144" t="s">
        <v>2686</v>
      </c>
      <c r="H745" s="5144" t="s">
        <v>24</v>
      </c>
      <c r="I745" s="5144" t="s">
        <v>756</v>
      </c>
    </row>
    <row customHeight="1" ht="11.25">
      <c r="A746" s="5144" t="s">
        <v>2177</v>
      </c>
      <c r="B746" s="5144" t="s">
        <v>14</v>
      </c>
      <c r="C746" s="5144" t="s">
        <v>2687</v>
      </c>
      <c r="D746" s="5144" t="s">
        <v>2688</v>
      </c>
      <c r="E746" s="5144" t="s">
        <v>2689</v>
      </c>
      <c r="F746" s="5144" t="s">
        <v>2252</v>
      </c>
      <c r="G746" s="5144" t="s">
        <v>2613</v>
      </c>
      <c r="H746" s="5144" t="s">
        <v>24</v>
      </c>
      <c r="I746" s="5144" t="s">
        <v>756</v>
      </c>
    </row>
    <row customHeight="1" ht="11.25">
      <c r="A747" s="5144" t="s">
        <v>2177</v>
      </c>
      <c r="B747" s="5144" t="s">
        <v>14</v>
      </c>
      <c r="C747" s="5144" t="s">
        <v>2690</v>
      </c>
      <c r="D747" s="5144" t="s">
        <v>2688</v>
      </c>
      <c r="E747" s="5144" t="s">
        <v>2691</v>
      </c>
      <c r="F747" s="5144" t="s">
        <v>2505</v>
      </c>
      <c r="G747" s="5144" t="s">
        <v>2692</v>
      </c>
      <c r="H747" s="5144" t="s">
        <v>24</v>
      </c>
      <c r="I747" s="5144" t="s">
        <v>756</v>
      </c>
    </row>
    <row customHeight="1" ht="11.25">
      <c r="A748" s="5144" t="s">
        <v>2177</v>
      </c>
      <c r="B748" s="5144" t="s">
        <v>14</v>
      </c>
      <c r="C748" s="5144" t="s">
        <v>2703</v>
      </c>
      <c r="D748" s="5144" t="s">
        <v>2704</v>
      </c>
      <c r="E748" s="5144" t="s">
        <v>2705</v>
      </c>
      <c r="F748" s="5144" t="s">
        <v>2180</v>
      </c>
      <c r="G748" s="5144" t="s">
        <v>2706</v>
      </c>
      <c r="H748" s="5144" t="s">
        <v>24</v>
      </c>
      <c r="I748" s="5144" t="s">
        <v>756</v>
      </c>
    </row>
    <row customHeight="1" ht="11.25">
      <c r="A749" s="5144" t="s">
        <v>2177</v>
      </c>
      <c r="B749" s="5144" t="s">
        <v>14</v>
      </c>
      <c r="C749" s="5144" t="s">
        <v>3819</v>
      </c>
      <c r="D749" s="5144" t="s">
        <v>3820</v>
      </c>
      <c r="E749" s="5144" t="s">
        <v>3821</v>
      </c>
      <c r="F749" s="5144" t="s">
        <v>2199</v>
      </c>
      <c r="G749" s="5144" t="s">
        <v>3822</v>
      </c>
      <c r="H749" s="5144" t="s">
        <v>24</v>
      </c>
      <c r="I749" s="5144" t="s">
        <v>756</v>
      </c>
    </row>
    <row customHeight="1" ht="11.25">
      <c r="A750" s="5144" t="s">
        <v>2177</v>
      </c>
      <c r="B750" s="5144" t="s">
        <v>14</v>
      </c>
      <c r="C750" s="5144" t="s">
        <v>2707</v>
      </c>
      <c r="D750" s="5144" t="s">
        <v>2708</v>
      </c>
      <c r="E750" s="5144" t="s">
        <v>2709</v>
      </c>
      <c r="F750" s="5144" t="s">
        <v>2505</v>
      </c>
      <c r="G750" s="5144" t="s">
        <v>2710</v>
      </c>
      <c r="H750" s="5144" t="s">
        <v>24</v>
      </c>
      <c r="I750" s="5144" t="s">
        <v>756</v>
      </c>
    </row>
    <row customHeight="1" ht="11.25">
      <c r="A751" s="5144" t="s">
        <v>2177</v>
      </c>
      <c r="B751" s="5144" t="s">
        <v>14</v>
      </c>
      <c r="C751" s="5144" t="s">
        <v>2715</v>
      </c>
      <c r="D751" s="5144" t="s">
        <v>2716</v>
      </c>
      <c r="E751" s="5144" t="s">
        <v>2717</v>
      </c>
      <c r="F751" s="5144" t="s">
        <v>2252</v>
      </c>
      <c r="G751" s="5144" t="s">
        <v>2718</v>
      </c>
      <c r="H751" s="5144" t="s">
        <v>24</v>
      </c>
      <c r="I751" s="5144" t="s">
        <v>756</v>
      </c>
    </row>
    <row customHeight="1" ht="11.25">
      <c r="A752" s="5144" t="s">
        <v>2177</v>
      </c>
      <c r="B752" s="5144" t="s">
        <v>14</v>
      </c>
      <c r="C752" s="5144" t="s">
        <v>2719</v>
      </c>
      <c r="D752" s="5144" t="s">
        <v>2720</v>
      </c>
      <c r="E752" s="5144" t="s">
        <v>2721</v>
      </c>
      <c r="F752" s="5144" t="s">
        <v>2207</v>
      </c>
      <c r="G752" s="5144" t="s">
        <v>2722</v>
      </c>
      <c r="H752" s="5144" t="s">
        <v>24</v>
      </c>
      <c r="I752" s="5144" t="s">
        <v>756</v>
      </c>
    </row>
    <row customHeight="1" ht="11.25">
      <c r="A753" s="5144" t="s">
        <v>2177</v>
      </c>
      <c r="B753" s="5144" t="s">
        <v>14</v>
      </c>
      <c r="C753" s="5144" t="s">
        <v>2723</v>
      </c>
      <c r="D753" s="5144" t="s">
        <v>2724</v>
      </c>
      <c r="E753" s="5144" t="s">
        <v>2725</v>
      </c>
      <c r="F753" s="5144" t="s">
        <v>2192</v>
      </c>
      <c r="G753" s="5144" t="s">
        <v>2726</v>
      </c>
      <c r="H753" s="5144" t="s">
        <v>24</v>
      </c>
      <c r="I753" s="5144" t="s">
        <v>756</v>
      </c>
    </row>
    <row customHeight="1" ht="11.25">
      <c r="A754" s="5144" t="s">
        <v>2177</v>
      </c>
      <c r="B754" s="5144" t="s">
        <v>14</v>
      </c>
      <c r="C754" s="5144" t="s">
        <v>3823</v>
      </c>
      <c r="D754" s="5144" t="s">
        <v>3824</v>
      </c>
      <c r="E754" s="5144" t="s">
        <v>3825</v>
      </c>
      <c r="F754" s="5144" t="s">
        <v>2505</v>
      </c>
      <c r="G754" s="5144" t="s">
        <v>3826</v>
      </c>
      <c r="H754" s="5144" t="s">
        <v>24</v>
      </c>
      <c r="I754" s="5144" t="s">
        <v>756</v>
      </c>
    </row>
    <row customHeight="1" ht="11.25">
      <c r="A755" s="5144" t="s">
        <v>2177</v>
      </c>
      <c r="B755" s="5144" t="s">
        <v>14</v>
      </c>
      <c r="C755" s="5144" t="s">
        <v>2727</v>
      </c>
      <c r="D755" s="5144" t="s">
        <v>2728</v>
      </c>
      <c r="E755" s="5144" t="s">
        <v>2729</v>
      </c>
      <c r="F755" s="5144" t="s">
        <v>2467</v>
      </c>
      <c r="G755" s="5144" t="s">
        <v>24</v>
      </c>
      <c r="H755" s="5144" t="s">
        <v>24</v>
      </c>
      <c r="I755" s="5144" t="s">
        <v>756</v>
      </c>
    </row>
    <row customHeight="1" ht="11.25">
      <c r="A756" s="5144" t="s">
        <v>2177</v>
      </c>
      <c r="B756" s="5144" t="s">
        <v>14</v>
      </c>
      <c r="C756" s="5144" t="s">
        <v>2730</v>
      </c>
      <c r="D756" s="5144" t="s">
        <v>2731</v>
      </c>
      <c r="E756" s="5144" t="s">
        <v>2732</v>
      </c>
      <c r="F756" s="5144" t="s">
        <v>2505</v>
      </c>
      <c r="G756" s="5144" t="s">
        <v>24</v>
      </c>
      <c r="H756" s="5144" t="s">
        <v>24</v>
      </c>
      <c r="I756" s="5144" t="s">
        <v>756</v>
      </c>
    </row>
    <row customHeight="1" ht="11.25">
      <c r="A757" s="5144" t="s">
        <v>2177</v>
      </c>
      <c r="B757" s="5144" t="s">
        <v>14</v>
      </c>
      <c r="C757" s="5144" t="s">
        <v>3827</v>
      </c>
      <c r="D757" s="5144" t="s">
        <v>3828</v>
      </c>
      <c r="E757" s="5144" t="s">
        <v>3829</v>
      </c>
      <c r="F757" s="5144" t="s">
        <v>2186</v>
      </c>
      <c r="G757" s="5144" t="s">
        <v>3830</v>
      </c>
      <c r="H757" s="5144" t="s">
        <v>24</v>
      </c>
      <c r="I757" s="5144" t="s">
        <v>756</v>
      </c>
    </row>
    <row customHeight="1" ht="11.25">
      <c r="A758" s="5144" t="s">
        <v>2177</v>
      </c>
      <c r="B758" s="5144" t="s">
        <v>14</v>
      </c>
      <c r="C758" s="5144" t="s">
        <v>3831</v>
      </c>
      <c r="D758" s="5144" t="s">
        <v>3832</v>
      </c>
      <c r="E758" s="5144" t="s">
        <v>3833</v>
      </c>
      <c r="F758" s="5144" t="s">
        <v>2202</v>
      </c>
      <c r="G758" s="5144" t="s">
        <v>24</v>
      </c>
      <c r="H758" s="5144" t="s">
        <v>24</v>
      </c>
      <c r="I758" s="5144" t="s">
        <v>756</v>
      </c>
    </row>
    <row customHeight="1" ht="11.25">
      <c r="A759" s="5144" t="s">
        <v>2177</v>
      </c>
      <c r="B759" s="5144" t="s">
        <v>14</v>
      </c>
      <c r="C759" s="5144" t="s">
        <v>3834</v>
      </c>
      <c r="D759" s="5144" t="s">
        <v>3835</v>
      </c>
      <c r="E759" s="5144" t="s">
        <v>3836</v>
      </c>
      <c r="F759" s="5144" t="s">
        <v>3364</v>
      </c>
      <c r="G759" s="5144" t="s">
        <v>24</v>
      </c>
      <c r="H759" s="5144" t="s">
        <v>3837</v>
      </c>
      <c r="I759" s="5144" t="s">
        <v>756</v>
      </c>
    </row>
    <row customHeight="1" ht="11.25">
      <c r="A760" s="5144" t="s">
        <v>2177</v>
      </c>
      <c r="B760" s="5144" t="s">
        <v>14</v>
      </c>
      <c r="C760" s="5144" t="s">
        <v>3838</v>
      </c>
      <c r="D760" s="5144" t="s">
        <v>3839</v>
      </c>
      <c r="E760" s="5144" t="s">
        <v>3840</v>
      </c>
      <c r="F760" s="5144" t="s">
        <v>2183</v>
      </c>
      <c r="G760" s="5144" t="s">
        <v>3841</v>
      </c>
      <c r="H760" s="5144" t="s">
        <v>24</v>
      </c>
      <c r="I760" s="5144" t="s">
        <v>756</v>
      </c>
    </row>
    <row customHeight="1" ht="11.25">
      <c r="A761" s="5144" t="s">
        <v>2177</v>
      </c>
      <c r="B761" s="5144" t="s">
        <v>14</v>
      </c>
      <c r="C761" s="5144" t="s">
        <v>3842</v>
      </c>
      <c r="D761" s="5144" t="s">
        <v>3843</v>
      </c>
      <c r="E761" s="5144" t="s">
        <v>3844</v>
      </c>
      <c r="F761" s="5144" t="s">
        <v>2520</v>
      </c>
      <c r="G761" s="5144" t="s">
        <v>3845</v>
      </c>
      <c r="H761" s="5144" t="s">
        <v>24</v>
      </c>
      <c r="I761" s="5144" t="s">
        <v>756</v>
      </c>
    </row>
    <row customHeight="1" ht="11.25">
      <c r="A762" s="5144" t="s">
        <v>2177</v>
      </c>
      <c r="B762" s="5144" t="s">
        <v>14</v>
      </c>
      <c r="C762" s="5144" t="s">
        <v>2737</v>
      </c>
      <c r="D762" s="5144" t="s">
        <v>2738</v>
      </c>
      <c r="E762" s="5144" t="s">
        <v>2739</v>
      </c>
      <c r="F762" s="5144" t="s">
        <v>2740</v>
      </c>
      <c r="G762" s="5144" t="s">
        <v>2741</v>
      </c>
      <c r="H762" s="5144" t="s">
        <v>24</v>
      </c>
      <c r="I762" s="5144" t="s">
        <v>756</v>
      </c>
    </row>
    <row customHeight="1" ht="11.25">
      <c r="A763" s="5144" t="s">
        <v>2177</v>
      </c>
      <c r="B763" s="5144" t="s">
        <v>14</v>
      </c>
      <c r="C763" s="5144" t="s">
        <v>2746</v>
      </c>
      <c r="D763" s="5144" t="s">
        <v>2747</v>
      </c>
      <c r="E763" s="5144" t="s">
        <v>2748</v>
      </c>
      <c r="F763" s="5144" t="s">
        <v>2749</v>
      </c>
      <c r="G763" s="5144" t="s">
        <v>2750</v>
      </c>
      <c r="H763" s="5144" t="s">
        <v>24</v>
      </c>
      <c r="I763" s="5144" t="s">
        <v>756</v>
      </c>
    </row>
    <row customHeight="1" ht="11.25">
      <c r="A764" s="5144" t="s">
        <v>2177</v>
      </c>
      <c r="B764" s="5144" t="s">
        <v>14</v>
      </c>
      <c r="C764" s="5144" t="s">
        <v>3846</v>
      </c>
      <c r="D764" s="5144" t="s">
        <v>3847</v>
      </c>
      <c r="E764" s="5144" t="s">
        <v>3848</v>
      </c>
      <c r="F764" s="5144" t="s">
        <v>2183</v>
      </c>
      <c r="G764" s="5144" t="s">
        <v>3849</v>
      </c>
      <c r="H764" s="5144" t="s">
        <v>24</v>
      </c>
      <c r="I764" s="5144" t="s">
        <v>756</v>
      </c>
    </row>
    <row customHeight="1" ht="11.25">
      <c r="A765" s="5144" t="s">
        <v>2177</v>
      </c>
      <c r="B765" s="5144" t="s">
        <v>14</v>
      </c>
      <c r="C765" s="5144" t="s">
        <v>3850</v>
      </c>
      <c r="D765" s="5144" t="s">
        <v>3851</v>
      </c>
      <c r="E765" s="5144" t="s">
        <v>3852</v>
      </c>
      <c r="F765" s="5144" t="s">
        <v>2231</v>
      </c>
      <c r="G765" s="5144" t="s">
        <v>3853</v>
      </c>
      <c r="H765" s="5144" t="s">
        <v>24</v>
      </c>
      <c r="I765" s="5144" t="s">
        <v>756</v>
      </c>
    </row>
    <row customHeight="1" ht="11.25">
      <c r="A766" s="5144" t="s">
        <v>2177</v>
      </c>
      <c r="B766" s="5144" t="s">
        <v>14</v>
      </c>
      <c r="C766" s="5144" t="s">
        <v>2751</v>
      </c>
      <c r="D766" s="5144" t="s">
        <v>2752</v>
      </c>
      <c r="E766" s="5144" t="s">
        <v>2753</v>
      </c>
      <c r="F766" s="5144" t="s">
        <v>2520</v>
      </c>
      <c r="G766" s="5144" t="s">
        <v>2754</v>
      </c>
      <c r="H766" s="5144" t="s">
        <v>24</v>
      </c>
      <c r="I766" s="5144" t="s">
        <v>756</v>
      </c>
    </row>
    <row customHeight="1" ht="11.25">
      <c r="A767" s="5144" t="s">
        <v>2177</v>
      </c>
      <c r="B767" s="5144" t="s">
        <v>14</v>
      </c>
      <c r="C767" s="5144" t="s">
        <v>3508</v>
      </c>
      <c r="D767" s="5144" t="s">
        <v>3509</v>
      </c>
      <c r="E767" s="5144" t="s">
        <v>2363</v>
      </c>
      <c r="F767" s="5144" t="s">
        <v>3510</v>
      </c>
      <c r="G767" s="5144" t="s">
        <v>2365</v>
      </c>
      <c r="H767" s="5144" t="s">
        <v>24</v>
      </c>
      <c r="I767" s="5144" t="s">
        <v>756</v>
      </c>
    </row>
    <row customHeight="1" ht="11.25">
      <c r="A768" s="5144" t="s">
        <v>2177</v>
      </c>
      <c r="B768" s="5144" t="s">
        <v>14</v>
      </c>
      <c r="C768" s="5144" t="s">
        <v>2759</v>
      </c>
      <c r="D768" s="5144" t="s">
        <v>2760</v>
      </c>
      <c r="E768" s="5144" t="s">
        <v>2761</v>
      </c>
      <c r="F768" s="5144" t="s">
        <v>2505</v>
      </c>
      <c r="G768" s="5144" t="s">
        <v>2762</v>
      </c>
      <c r="H768" s="5144" t="s">
        <v>24</v>
      </c>
      <c r="I768" s="5144" t="s">
        <v>756</v>
      </c>
    </row>
    <row customHeight="1" ht="11.25">
      <c r="A769" s="5144" t="s">
        <v>2177</v>
      </c>
      <c r="B769" s="5144" t="s">
        <v>14</v>
      </c>
      <c r="C769" s="5144" t="s">
        <v>2763</v>
      </c>
      <c r="D769" s="5144" t="s">
        <v>2764</v>
      </c>
      <c r="E769" s="5144" t="s">
        <v>2765</v>
      </c>
      <c r="F769" s="5144" t="s">
        <v>2183</v>
      </c>
      <c r="G769" s="5144" t="s">
        <v>2766</v>
      </c>
      <c r="H769" s="5144" t="s">
        <v>24</v>
      </c>
      <c r="I769" s="5144" t="s">
        <v>756</v>
      </c>
    </row>
    <row customHeight="1" ht="11.25">
      <c r="A770" s="5144" t="s">
        <v>2177</v>
      </c>
      <c r="B770" s="5144" t="s">
        <v>14</v>
      </c>
      <c r="C770" s="5144" t="s">
        <v>2784</v>
      </c>
      <c r="D770" s="5144" t="s">
        <v>2785</v>
      </c>
      <c r="E770" s="5144" t="s">
        <v>2786</v>
      </c>
      <c r="F770" s="5144" t="s">
        <v>2463</v>
      </c>
      <c r="G770" s="5144" t="s">
        <v>2787</v>
      </c>
      <c r="H770" s="5144" t="s">
        <v>24</v>
      </c>
      <c r="I770" s="5144" t="s">
        <v>756</v>
      </c>
    </row>
    <row customHeight="1" ht="11.25">
      <c r="A771" s="5144" t="s">
        <v>2177</v>
      </c>
      <c r="B771" s="5144" t="s">
        <v>14</v>
      </c>
      <c r="C771" s="5144" t="s">
        <v>2803</v>
      </c>
      <c r="D771" s="5144" t="s">
        <v>2804</v>
      </c>
      <c r="E771" s="5144" t="s">
        <v>2805</v>
      </c>
      <c r="F771" s="5144" t="s">
        <v>2467</v>
      </c>
      <c r="G771" s="5144" t="s">
        <v>2806</v>
      </c>
      <c r="H771" s="5144" t="s">
        <v>24</v>
      </c>
      <c r="I771" s="5144" t="s">
        <v>756</v>
      </c>
    </row>
    <row customHeight="1" ht="11.25">
      <c r="A772" s="5144" t="s">
        <v>2177</v>
      </c>
      <c r="B772" s="5144" t="s">
        <v>14</v>
      </c>
      <c r="C772" s="5144" t="s">
        <v>2807</v>
      </c>
      <c r="D772" s="5144" t="s">
        <v>2808</v>
      </c>
      <c r="E772" s="5144" t="s">
        <v>2809</v>
      </c>
      <c r="F772" s="5144" t="s">
        <v>2810</v>
      </c>
      <c r="G772" s="5144" t="s">
        <v>2811</v>
      </c>
      <c r="H772" s="5144" t="s">
        <v>24</v>
      </c>
      <c r="I772" s="5144" t="s">
        <v>756</v>
      </c>
    </row>
    <row customHeight="1" ht="11.25">
      <c r="A773" s="5144" t="s">
        <v>2177</v>
      </c>
      <c r="B773" s="5144" t="s">
        <v>14</v>
      </c>
      <c r="C773" s="5144" t="s">
        <v>3854</v>
      </c>
      <c r="D773" s="5144" t="s">
        <v>3855</v>
      </c>
      <c r="E773" s="5144" t="s">
        <v>3856</v>
      </c>
      <c r="F773" s="5144" t="s">
        <v>2505</v>
      </c>
      <c r="G773" s="5144" t="s">
        <v>3857</v>
      </c>
      <c r="H773" s="5144" t="s">
        <v>24</v>
      </c>
      <c r="I773" s="5144" t="s">
        <v>756</v>
      </c>
    </row>
    <row customHeight="1" ht="11.25">
      <c r="A774" s="5144" t="s">
        <v>2177</v>
      </c>
      <c r="B774" s="5144" t="s">
        <v>14</v>
      </c>
      <c r="C774" s="5144" t="s">
        <v>3858</v>
      </c>
      <c r="D774" s="5144" t="s">
        <v>3859</v>
      </c>
      <c r="E774" s="5144" t="s">
        <v>3860</v>
      </c>
      <c r="F774" s="5144" t="s">
        <v>2202</v>
      </c>
      <c r="G774" s="5144" t="s">
        <v>3861</v>
      </c>
      <c r="H774" s="5144" t="s">
        <v>24</v>
      </c>
      <c r="I774" s="5144" t="s">
        <v>756</v>
      </c>
    </row>
    <row customHeight="1" ht="11.25">
      <c r="A775" s="5144" t="s">
        <v>2177</v>
      </c>
      <c r="B775" s="5144" t="s">
        <v>14</v>
      </c>
      <c r="C775" s="5144" t="s">
        <v>3862</v>
      </c>
      <c r="D775" s="5144" t="s">
        <v>3863</v>
      </c>
      <c r="E775" s="5144" t="s">
        <v>3864</v>
      </c>
      <c r="F775" s="5144" t="s">
        <v>2467</v>
      </c>
      <c r="G775" s="5144" t="s">
        <v>3865</v>
      </c>
      <c r="H775" s="5144" t="s">
        <v>24</v>
      </c>
      <c r="I775" s="5144" t="s">
        <v>756</v>
      </c>
    </row>
    <row customHeight="1" ht="11.25">
      <c r="A776" s="5144" t="s">
        <v>2177</v>
      </c>
      <c r="B776" s="5144" t="s">
        <v>14</v>
      </c>
      <c r="C776" s="5144" t="s">
        <v>3866</v>
      </c>
      <c r="D776" s="5144" t="s">
        <v>3867</v>
      </c>
      <c r="E776" s="5144" t="s">
        <v>3868</v>
      </c>
      <c r="F776" s="5144" t="s">
        <v>2231</v>
      </c>
      <c r="G776" s="5144" t="s">
        <v>3869</v>
      </c>
      <c r="H776" s="5144" t="s">
        <v>24</v>
      </c>
      <c r="I776" s="5144" t="s">
        <v>756</v>
      </c>
    </row>
    <row customHeight="1" ht="11.25">
      <c r="A777" s="5144" t="s">
        <v>2177</v>
      </c>
      <c r="B777" s="5144" t="s">
        <v>14</v>
      </c>
      <c r="C777" s="5144" t="s">
        <v>2820</v>
      </c>
      <c r="D777" s="5144" t="s">
        <v>2821</v>
      </c>
      <c r="E777" s="5144" t="s">
        <v>2822</v>
      </c>
      <c r="F777" s="5144" t="s">
        <v>2467</v>
      </c>
      <c r="G777" s="5144" t="s">
        <v>2823</v>
      </c>
      <c r="H777" s="5144" t="s">
        <v>24</v>
      </c>
      <c r="I777" s="5144" t="s">
        <v>756</v>
      </c>
    </row>
    <row customHeight="1" ht="11.25">
      <c r="A778" s="5144" t="s">
        <v>2177</v>
      </c>
      <c r="B778" s="5144" t="s">
        <v>14</v>
      </c>
      <c r="C778" s="5144" t="s">
        <v>3870</v>
      </c>
      <c r="D778" s="5144" t="s">
        <v>3871</v>
      </c>
      <c r="E778" s="5144" t="s">
        <v>3872</v>
      </c>
      <c r="F778" s="5144" t="s">
        <v>3364</v>
      </c>
      <c r="G778" s="5144" t="s">
        <v>3873</v>
      </c>
      <c r="H778" s="5144" t="s">
        <v>24</v>
      </c>
      <c r="I778" s="5144" t="s">
        <v>756</v>
      </c>
    </row>
    <row customHeight="1" ht="11.25">
      <c r="A779" s="5144" t="s">
        <v>2177</v>
      </c>
      <c r="B779" s="5144" t="s">
        <v>14</v>
      </c>
      <c r="C779" s="5144" t="s">
        <v>3874</v>
      </c>
      <c r="D779" s="5144" t="s">
        <v>3875</v>
      </c>
      <c r="E779" s="5144" t="s">
        <v>3876</v>
      </c>
      <c r="F779" s="5144" t="s">
        <v>2202</v>
      </c>
      <c r="G779" s="5144" t="s">
        <v>3877</v>
      </c>
      <c r="H779" s="5144" t="s">
        <v>24</v>
      </c>
      <c r="I779" s="5144" t="s">
        <v>756</v>
      </c>
    </row>
    <row customHeight="1" ht="11.25">
      <c r="A780" s="5144" t="s">
        <v>2177</v>
      </c>
      <c r="B780" s="5144" t="s">
        <v>14</v>
      </c>
      <c r="C780" s="5144" t="s">
        <v>2824</v>
      </c>
      <c r="D780" s="5144" t="s">
        <v>2825</v>
      </c>
      <c r="E780" s="5144" t="s">
        <v>2826</v>
      </c>
      <c r="F780" s="5144" t="s">
        <v>2183</v>
      </c>
      <c r="G780" s="5144" t="s">
        <v>2827</v>
      </c>
      <c r="H780" s="5144" t="s">
        <v>24</v>
      </c>
      <c r="I780" s="5144" t="s">
        <v>756</v>
      </c>
    </row>
    <row customHeight="1" ht="11.25">
      <c r="A781" s="5144" t="s">
        <v>2177</v>
      </c>
      <c r="B781" s="5144" t="s">
        <v>14</v>
      </c>
      <c r="C781" s="5144" t="s">
        <v>2828</v>
      </c>
      <c r="D781" s="5144" t="s">
        <v>2829</v>
      </c>
      <c r="E781" s="5144" t="s">
        <v>2830</v>
      </c>
      <c r="F781" s="5144" t="s">
        <v>2520</v>
      </c>
      <c r="G781" s="5144" t="s">
        <v>2831</v>
      </c>
      <c r="H781" s="5144" t="s">
        <v>24</v>
      </c>
      <c r="I781" s="5144" t="s">
        <v>756</v>
      </c>
    </row>
    <row customHeight="1" ht="11.25">
      <c r="A782" s="5144" t="s">
        <v>2177</v>
      </c>
      <c r="B782" s="5144" t="s">
        <v>14</v>
      </c>
      <c r="C782" s="5144" t="s">
        <v>3878</v>
      </c>
      <c r="D782" s="5144" t="s">
        <v>3879</v>
      </c>
      <c r="E782" s="5144" t="s">
        <v>3880</v>
      </c>
      <c r="F782" s="5144" t="s">
        <v>2669</v>
      </c>
      <c r="G782" s="5144" t="s">
        <v>24</v>
      </c>
      <c r="H782" s="5144" t="s">
        <v>24</v>
      </c>
      <c r="I782" s="5144" t="s">
        <v>756</v>
      </c>
    </row>
    <row customHeight="1" ht="11.25">
      <c r="A783" s="5144" t="s">
        <v>2177</v>
      </c>
      <c r="B783" s="5144" t="s">
        <v>14</v>
      </c>
      <c r="C783" s="5144" t="s">
        <v>2840</v>
      </c>
      <c r="D783" s="5144" t="s">
        <v>2841</v>
      </c>
      <c r="E783" s="5144" t="s">
        <v>2842</v>
      </c>
      <c r="F783" s="5144" t="s">
        <v>2207</v>
      </c>
      <c r="G783" s="5144" t="s">
        <v>24</v>
      </c>
      <c r="H783" s="5144" t="s">
        <v>24</v>
      </c>
      <c r="I783" s="5144" t="s">
        <v>756</v>
      </c>
    </row>
    <row customHeight="1" ht="11.25">
      <c r="A784" s="5144" t="s">
        <v>2177</v>
      </c>
      <c r="B784" s="5144" t="s">
        <v>14</v>
      </c>
      <c r="C784" s="5144" t="s">
        <v>2843</v>
      </c>
      <c r="D784" s="5144" t="s">
        <v>2844</v>
      </c>
      <c r="E784" s="5144" t="s">
        <v>2845</v>
      </c>
      <c r="F784" s="5144" t="s">
        <v>51</v>
      </c>
      <c r="G784" s="5144" t="s">
        <v>2846</v>
      </c>
      <c r="H784" s="5144" t="s">
        <v>24</v>
      </c>
      <c r="I784" s="5144" t="s">
        <v>756</v>
      </c>
    </row>
    <row customHeight="1" ht="11.25">
      <c r="A785" s="5144" t="s">
        <v>2177</v>
      </c>
      <c r="B785" s="5144" t="s">
        <v>14</v>
      </c>
      <c r="C785" s="5144" t="s">
        <v>3881</v>
      </c>
      <c r="D785" s="5144" t="s">
        <v>3882</v>
      </c>
      <c r="E785" s="5144" t="s">
        <v>3883</v>
      </c>
      <c r="F785" s="5144" t="s">
        <v>2288</v>
      </c>
      <c r="G785" s="5144" t="s">
        <v>3884</v>
      </c>
      <c r="H785" s="5144" t="s">
        <v>24</v>
      </c>
      <c r="I785" s="5144" t="s">
        <v>756</v>
      </c>
    </row>
    <row customHeight="1" ht="11.25">
      <c r="A786" s="5144" t="s">
        <v>2177</v>
      </c>
      <c r="B786" s="5144" t="s">
        <v>14</v>
      </c>
      <c r="C786" s="5144" t="s">
        <v>2847</v>
      </c>
      <c r="D786" s="5144" t="s">
        <v>2848</v>
      </c>
      <c r="E786" s="5144" t="s">
        <v>2849</v>
      </c>
      <c r="F786" s="5144" t="s">
        <v>2226</v>
      </c>
      <c r="G786" s="5144" t="s">
        <v>2850</v>
      </c>
      <c r="H786" s="5144" t="s">
        <v>24</v>
      </c>
      <c r="I786" s="5144" t="s">
        <v>756</v>
      </c>
    </row>
    <row customHeight="1" ht="11.25">
      <c r="A787" s="5144" t="s">
        <v>2177</v>
      </c>
      <c r="B787" s="5144" t="s">
        <v>14</v>
      </c>
      <c r="C787" s="5144" t="s">
        <v>3885</v>
      </c>
      <c r="D787" s="5144" t="s">
        <v>2852</v>
      </c>
      <c r="E787" s="5144" t="s">
        <v>3886</v>
      </c>
      <c r="F787" s="5144" t="s">
        <v>2912</v>
      </c>
      <c r="G787" s="5144" t="s">
        <v>3887</v>
      </c>
      <c r="H787" s="5144" t="s">
        <v>24</v>
      </c>
      <c r="I787" s="5144" t="s">
        <v>756</v>
      </c>
    </row>
    <row customHeight="1" ht="11.25">
      <c r="A788" s="5144" t="s">
        <v>2177</v>
      </c>
      <c r="B788" s="5144" t="s">
        <v>14</v>
      </c>
      <c r="C788" s="5144" t="s">
        <v>2851</v>
      </c>
      <c r="D788" s="5144" t="s">
        <v>2852</v>
      </c>
      <c r="E788" s="5144" t="s">
        <v>2853</v>
      </c>
      <c r="F788" s="5144" t="s">
        <v>2183</v>
      </c>
      <c r="G788" s="5144" t="s">
        <v>2854</v>
      </c>
      <c r="H788" s="5144" t="s">
        <v>24</v>
      </c>
      <c r="I788" s="5144" t="s">
        <v>756</v>
      </c>
    </row>
    <row customHeight="1" ht="11.25">
      <c r="A789" s="5144" t="s">
        <v>2177</v>
      </c>
      <c r="B789" s="5144" t="s">
        <v>14</v>
      </c>
      <c r="C789" s="5144" t="s">
        <v>3888</v>
      </c>
      <c r="D789" s="5144" t="s">
        <v>3889</v>
      </c>
      <c r="E789" s="5144" t="s">
        <v>3890</v>
      </c>
      <c r="F789" s="5144" t="s">
        <v>2231</v>
      </c>
      <c r="G789" s="5144" t="s">
        <v>3891</v>
      </c>
      <c r="H789" s="5144" t="s">
        <v>24</v>
      </c>
      <c r="I789" s="5144" t="s">
        <v>756</v>
      </c>
    </row>
    <row customHeight="1" ht="11.25">
      <c r="A790" s="5144" t="s">
        <v>2177</v>
      </c>
      <c r="B790" s="5144" t="s">
        <v>14</v>
      </c>
      <c r="C790" s="5144" t="s">
        <v>3892</v>
      </c>
      <c r="D790" s="5144" t="s">
        <v>3893</v>
      </c>
      <c r="E790" s="5144" t="s">
        <v>3894</v>
      </c>
      <c r="F790" s="5144" t="s">
        <v>51</v>
      </c>
      <c r="G790" s="5144" t="s">
        <v>3096</v>
      </c>
      <c r="H790" s="5144" t="s">
        <v>24</v>
      </c>
      <c r="I790" s="5144" t="s">
        <v>756</v>
      </c>
    </row>
    <row customHeight="1" ht="11.25">
      <c r="A791" s="5144" t="s">
        <v>2177</v>
      </c>
      <c r="B791" s="5144" t="s">
        <v>14</v>
      </c>
      <c r="C791" s="5144" t="s">
        <v>3895</v>
      </c>
      <c r="D791" s="5144" t="s">
        <v>3896</v>
      </c>
      <c r="E791" s="5144" t="s">
        <v>3897</v>
      </c>
      <c r="F791" s="5144" t="s">
        <v>2520</v>
      </c>
      <c r="G791" s="5144" t="s">
        <v>3898</v>
      </c>
      <c r="H791" s="5144" t="s">
        <v>24</v>
      </c>
      <c r="I791" s="5144" t="s">
        <v>756</v>
      </c>
    </row>
    <row customHeight="1" ht="11.25">
      <c r="A792" s="5144" t="s">
        <v>2177</v>
      </c>
      <c r="B792" s="5144" t="s">
        <v>14</v>
      </c>
      <c r="C792" s="5144" t="s">
        <v>3899</v>
      </c>
      <c r="D792" s="5144" t="s">
        <v>3900</v>
      </c>
      <c r="E792" s="5144" t="s">
        <v>3901</v>
      </c>
      <c r="F792" s="5144" t="s">
        <v>2467</v>
      </c>
      <c r="G792" s="5144" t="s">
        <v>3902</v>
      </c>
      <c r="H792" s="5144" t="s">
        <v>24</v>
      </c>
      <c r="I792" s="5144" t="s">
        <v>756</v>
      </c>
    </row>
    <row customHeight="1" ht="11.25">
      <c r="A793" s="5144" t="s">
        <v>2177</v>
      </c>
      <c r="B793" s="5144" t="s">
        <v>14</v>
      </c>
      <c r="C793" s="5144" t="s">
        <v>3903</v>
      </c>
      <c r="D793" s="5144" t="s">
        <v>3904</v>
      </c>
      <c r="E793" s="5144" t="s">
        <v>3905</v>
      </c>
      <c r="F793" s="5144" t="s">
        <v>2673</v>
      </c>
      <c r="G793" s="5144" t="s">
        <v>3906</v>
      </c>
      <c r="H793" s="5144" t="s">
        <v>24</v>
      </c>
      <c r="I793" s="5144" t="s">
        <v>756</v>
      </c>
    </row>
    <row customHeight="1" ht="11.25">
      <c r="A794" s="5144" t="s">
        <v>2177</v>
      </c>
      <c r="B794" s="5144" t="s">
        <v>14</v>
      </c>
      <c r="C794" s="5144" t="s">
        <v>3907</v>
      </c>
      <c r="D794" s="5144" t="s">
        <v>3908</v>
      </c>
      <c r="E794" s="5144" t="s">
        <v>3909</v>
      </c>
      <c r="F794" s="5144" t="s">
        <v>2207</v>
      </c>
      <c r="G794" s="5144" t="s">
        <v>3910</v>
      </c>
      <c r="H794" s="5144" t="s">
        <v>24</v>
      </c>
      <c r="I794" s="5144" t="s">
        <v>756</v>
      </c>
    </row>
    <row customHeight="1" ht="11.25">
      <c r="A795" s="5144" t="s">
        <v>2177</v>
      </c>
      <c r="B795" s="5144" t="s">
        <v>14</v>
      </c>
      <c r="C795" s="5144" t="s">
        <v>2863</v>
      </c>
      <c r="D795" s="5144" t="s">
        <v>2864</v>
      </c>
      <c r="E795" s="5144" t="s">
        <v>2865</v>
      </c>
      <c r="F795" s="5144" t="s">
        <v>2189</v>
      </c>
      <c r="G795" s="5144" t="s">
        <v>2866</v>
      </c>
      <c r="H795" s="5144" t="s">
        <v>24</v>
      </c>
      <c r="I795" s="5144" t="s">
        <v>756</v>
      </c>
    </row>
    <row customHeight="1" ht="11.25">
      <c r="A796" s="5144" t="s">
        <v>2177</v>
      </c>
      <c r="B796" s="5144" t="s">
        <v>14</v>
      </c>
      <c r="C796" s="5144" t="s">
        <v>3911</v>
      </c>
      <c r="D796" s="5144" t="s">
        <v>2864</v>
      </c>
      <c r="E796" s="5144" t="s">
        <v>3912</v>
      </c>
      <c r="F796" s="5144" t="s">
        <v>2467</v>
      </c>
      <c r="G796" s="5144" t="s">
        <v>3913</v>
      </c>
      <c r="H796" s="5144" t="s">
        <v>24</v>
      </c>
      <c r="I796" s="5144" t="s">
        <v>756</v>
      </c>
    </row>
    <row customHeight="1" ht="11.25">
      <c r="A797" s="5144" t="s">
        <v>2177</v>
      </c>
      <c r="B797" s="5144" t="s">
        <v>14</v>
      </c>
      <c r="C797" s="5144" t="s">
        <v>2867</v>
      </c>
      <c r="D797" s="5144" t="s">
        <v>2868</v>
      </c>
      <c r="E797" s="5144" t="s">
        <v>2869</v>
      </c>
      <c r="F797" s="5144" t="s">
        <v>2673</v>
      </c>
      <c r="G797" s="5144" t="s">
        <v>2870</v>
      </c>
      <c r="H797" s="5144" t="s">
        <v>24</v>
      </c>
      <c r="I797" s="5144" t="s">
        <v>756</v>
      </c>
    </row>
    <row customHeight="1" ht="11.25">
      <c r="A798" s="5144" t="s">
        <v>2177</v>
      </c>
      <c r="B798" s="5144" t="s">
        <v>14</v>
      </c>
      <c r="C798" s="5144" t="s">
        <v>3914</v>
      </c>
      <c r="D798" s="5144" t="s">
        <v>3915</v>
      </c>
      <c r="E798" s="5144" t="s">
        <v>3916</v>
      </c>
      <c r="F798" s="5144" t="s">
        <v>2231</v>
      </c>
      <c r="G798" s="5144" t="s">
        <v>3917</v>
      </c>
      <c r="H798" s="5144" t="s">
        <v>24</v>
      </c>
      <c r="I798" s="5144" t="s">
        <v>756</v>
      </c>
    </row>
    <row customHeight="1" ht="11.25">
      <c r="A799" s="5144" t="s">
        <v>2177</v>
      </c>
      <c r="B799" s="5144" t="s">
        <v>14</v>
      </c>
      <c r="C799" s="5144" t="s">
        <v>3918</v>
      </c>
      <c r="D799" s="5144" t="s">
        <v>3919</v>
      </c>
      <c r="E799" s="5144" t="s">
        <v>3920</v>
      </c>
      <c r="F799" s="5144" t="s">
        <v>2467</v>
      </c>
      <c r="G799" s="5144" t="s">
        <v>3921</v>
      </c>
      <c r="H799" s="5144" t="s">
        <v>24</v>
      </c>
      <c r="I799" s="5144" t="s">
        <v>756</v>
      </c>
    </row>
    <row customHeight="1" ht="11.25">
      <c r="A800" s="5144" t="s">
        <v>2177</v>
      </c>
      <c r="B800" s="5144" t="s">
        <v>14</v>
      </c>
      <c r="C800" s="5144" t="s">
        <v>3922</v>
      </c>
      <c r="D800" s="5144" t="s">
        <v>3923</v>
      </c>
      <c r="E800" s="5144" t="s">
        <v>3924</v>
      </c>
      <c r="F800" s="5144" t="s">
        <v>2189</v>
      </c>
      <c r="G800" s="5144" t="s">
        <v>24</v>
      </c>
      <c r="H800" s="5144" t="s">
        <v>24</v>
      </c>
      <c r="I800" s="5144" t="s">
        <v>756</v>
      </c>
    </row>
    <row customHeight="1" ht="11.25">
      <c r="A801" s="5144" t="s">
        <v>2177</v>
      </c>
      <c r="B801" s="5144" t="s">
        <v>14</v>
      </c>
      <c r="C801" s="5144" t="s">
        <v>3925</v>
      </c>
      <c r="D801" s="5144" t="s">
        <v>3923</v>
      </c>
      <c r="E801" s="5144" t="s">
        <v>3926</v>
      </c>
      <c r="F801" s="5144" t="s">
        <v>2183</v>
      </c>
      <c r="G801" s="5144" t="s">
        <v>3927</v>
      </c>
      <c r="H801" s="5144" t="s">
        <v>24</v>
      </c>
      <c r="I801" s="5144" t="s">
        <v>756</v>
      </c>
    </row>
    <row customHeight="1" ht="11.25">
      <c r="A802" s="5144" t="s">
        <v>2177</v>
      </c>
      <c r="B802" s="5144" t="s">
        <v>14</v>
      </c>
      <c r="C802" s="5144" t="s">
        <v>2875</v>
      </c>
      <c r="D802" s="5144" t="s">
        <v>2876</v>
      </c>
      <c r="E802" s="5144" t="s">
        <v>2877</v>
      </c>
      <c r="F802" s="5144" t="s">
        <v>2673</v>
      </c>
      <c r="G802" s="5144" t="s">
        <v>2878</v>
      </c>
      <c r="H802" s="5144" t="s">
        <v>24</v>
      </c>
      <c r="I802" s="5144" t="s">
        <v>756</v>
      </c>
    </row>
    <row customHeight="1" ht="11.25">
      <c r="A803" s="5144" t="s">
        <v>2177</v>
      </c>
      <c r="B803" s="5144" t="s">
        <v>14</v>
      </c>
      <c r="C803" s="5144" t="s">
        <v>2883</v>
      </c>
      <c r="D803" s="5144" t="s">
        <v>2884</v>
      </c>
      <c r="E803" s="5144" t="s">
        <v>2885</v>
      </c>
      <c r="F803" s="5144" t="s">
        <v>2221</v>
      </c>
      <c r="G803" s="5144" t="s">
        <v>2886</v>
      </c>
      <c r="H803" s="5144" t="s">
        <v>24</v>
      </c>
      <c r="I803" s="5144" t="s">
        <v>756</v>
      </c>
    </row>
    <row customHeight="1" ht="11.25">
      <c r="A804" s="5144" t="s">
        <v>2177</v>
      </c>
      <c r="B804" s="5144" t="s">
        <v>14</v>
      </c>
      <c r="C804" s="5144" t="s">
        <v>2887</v>
      </c>
      <c r="D804" s="5144" t="s">
        <v>2888</v>
      </c>
      <c r="E804" s="5144" t="s">
        <v>2889</v>
      </c>
      <c r="F804" s="5144" t="s">
        <v>2520</v>
      </c>
      <c r="G804" s="5144" t="s">
        <v>24</v>
      </c>
      <c r="H804" s="5144" t="s">
        <v>24</v>
      </c>
      <c r="I804" s="5144" t="s">
        <v>756</v>
      </c>
    </row>
    <row customHeight="1" ht="11.25">
      <c r="A805" s="5144" t="s">
        <v>2177</v>
      </c>
      <c r="B805" s="5144" t="s">
        <v>14</v>
      </c>
      <c r="C805" s="5144" t="s">
        <v>2890</v>
      </c>
      <c r="D805" s="5144" t="s">
        <v>2888</v>
      </c>
      <c r="E805" s="5144" t="s">
        <v>2891</v>
      </c>
      <c r="F805" s="5144" t="s">
        <v>2231</v>
      </c>
      <c r="G805" s="5144" t="s">
        <v>2892</v>
      </c>
      <c r="H805" s="5144" t="s">
        <v>24</v>
      </c>
      <c r="I805" s="5144" t="s">
        <v>756</v>
      </c>
    </row>
    <row customHeight="1" ht="11.25">
      <c r="A806" s="5144" t="s">
        <v>2177</v>
      </c>
      <c r="B806" s="5144" t="s">
        <v>14</v>
      </c>
      <c r="C806" s="5144" t="s">
        <v>2893</v>
      </c>
      <c r="D806" s="5144" t="s">
        <v>2894</v>
      </c>
      <c r="E806" s="5144" t="s">
        <v>2895</v>
      </c>
      <c r="F806" s="5144" t="s">
        <v>2207</v>
      </c>
      <c r="G806" s="5144" t="s">
        <v>2896</v>
      </c>
      <c r="H806" s="5144" t="s">
        <v>2897</v>
      </c>
      <c r="I806" s="5144" t="s">
        <v>756</v>
      </c>
    </row>
    <row customHeight="1" ht="11.25">
      <c r="A807" s="5144" t="s">
        <v>2177</v>
      </c>
      <c r="B807" s="5144" t="s">
        <v>14</v>
      </c>
      <c r="C807" s="5144" t="s">
        <v>2898</v>
      </c>
      <c r="D807" s="5144" t="s">
        <v>2899</v>
      </c>
      <c r="E807" s="5144" t="s">
        <v>2900</v>
      </c>
      <c r="F807" s="5144" t="s">
        <v>2192</v>
      </c>
      <c r="G807" s="5144" t="s">
        <v>2901</v>
      </c>
      <c r="H807" s="5144" t="s">
        <v>2902</v>
      </c>
      <c r="I807" s="5144" t="s">
        <v>756</v>
      </c>
    </row>
    <row customHeight="1" ht="11.25">
      <c r="A808" s="5144" t="s">
        <v>2177</v>
      </c>
      <c r="B808" s="5144" t="s">
        <v>14</v>
      </c>
      <c r="C808" s="5144" t="s">
        <v>3928</v>
      </c>
      <c r="D808" s="5144" t="s">
        <v>3929</v>
      </c>
      <c r="E808" s="5144" t="s">
        <v>3930</v>
      </c>
      <c r="F808" s="5144" t="s">
        <v>51</v>
      </c>
      <c r="G808" s="5144" t="s">
        <v>3931</v>
      </c>
      <c r="H808" s="5144" t="s">
        <v>24</v>
      </c>
      <c r="I808" s="5144" t="s">
        <v>756</v>
      </c>
    </row>
    <row customHeight="1" ht="11.25">
      <c r="A809" s="5144" t="s">
        <v>2177</v>
      </c>
      <c r="B809" s="5144" t="s">
        <v>14</v>
      </c>
      <c r="C809" s="5144" t="s">
        <v>3932</v>
      </c>
      <c r="D809" s="5144" t="s">
        <v>3933</v>
      </c>
      <c r="E809" s="5144" t="s">
        <v>3934</v>
      </c>
      <c r="F809" s="5144" t="s">
        <v>2183</v>
      </c>
      <c r="G809" s="5144" t="s">
        <v>3935</v>
      </c>
      <c r="H809" s="5144" t="s">
        <v>24</v>
      </c>
      <c r="I809" s="5144" t="s">
        <v>756</v>
      </c>
    </row>
    <row customHeight="1" ht="11.25">
      <c r="A810" s="5144" t="s">
        <v>2177</v>
      </c>
      <c r="B810" s="5144" t="s">
        <v>14</v>
      </c>
      <c r="C810" s="5144" t="s">
        <v>3936</v>
      </c>
      <c r="D810" s="5144" t="s">
        <v>3937</v>
      </c>
      <c r="E810" s="5144" t="s">
        <v>3938</v>
      </c>
      <c r="F810" s="5144" t="s">
        <v>2505</v>
      </c>
      <c r="G810" s="5144" t="s">
        <v>3939</v>
      </c>
      <c r="H810" s="5144" t="s">
        <v>24</v>
      </c>
      <c r="I810" s="5144" t="s">
        <v>756</v>
      </c>
    </row>
    <row customHeight="1" ht="11.25">
      <c r="A811" s="5144" t="s">
        <v>2177</v>
      </c>
      <c r="B811" s="5144" t="s">
        <v>14</v>
      </c>
      <c r="C811" s="5144" t="s">
        <v>3940</v>
      </c>
      <c r="D811" s="5144" t="s">
        <v>3941</v>
      </c>
      <c r="E811" s="5144" t="s">
        <v>3942</v>
      </c>
      <c r="F811" s="5144" t="s">
        <v>2467</v>
      </c>
      <c r="G811" s="5144" t="s">
        <v>24</v>
      </c>
      <c r="H811" s="5144" t="s">
        <v>24</v>
      </c>
      <c r="I811" s="5144" t="s">
        <v>756</v>
      </c>
    </row>
    <row customHeight="1" ht="11.25">
      <c r="A812" s="5144" t="s">
        <v>2177</v>
      </c>
      <c r="B812" s="5144" t="s">
        <v>14</v>
      </c>
      <c r="C812" s="5144" t="s">
        <v>3943</v>
      </c>
      <c r="D812" s="5144" t="s">
        <v>3944</v>
      </c>
      <c r="E812" s="5144" t="s">
        <v>3945</v>
      </c>
      <c r="F812" s="5144" t="s">
        <v>2520</v>
      </c>
      <c r="G812" s="5144" t="s">
        <v>3946</v>
      </c>
      <c r="H812" s="5144" t="s">
        <v>24</v>
      </c>
      <c r="I812" s="5144" t="s">
        <v>756</v>
      </c>
    </row>
    <row customHeight="1" ht="11.25">
      <c r="A813" s="5144" t="s">
        <v>2177</v>
      </c>
      <c r="B813" s="5144" t="s">
        <v>14</v>
      </c>
      <c r="C813" s="5144" t="s">
        <v>3947</v>
      </c>
      <c r="D813" s="5144" t="s">
        <v>3948</v>
      </c>
      <c r="E813" s="5144" t="s">
        <v>3949</v>
      </c>
      <c r="F813" s="5144" t="s">
        <v>2912</v>
      </c>
      <c r="G813" s="5144" t="s">
        <v>3950</v>
      </c>
      <c r="H813" s="5144" t="s">
        <v>24</v>
      </c>
      <c r="I813" s="5144" t="s">
        <v>756</v>
      </c>
    </row>
    <row customHeight="1" ht="11.25">
      <c r="A814" s="5144" t="s">
        <v>2177</v>
      </c>
      <c r="B814" s="5144" t="s">
        <v>14</v>
      </c>
      <c r="C814" s="5144" t="s">
        <v>2925</v>
      </c>
      <c r="D814" s="5144" t="s">
        <v>2926</v>
      </c>
      <c r="E814" s="5144" t="s">
        <v>2927</v>
      </c>
      <c r="F814" s="5144" t="s">
        <v>2673</v>
      </c>
      <c r="G814" s="5144" t="s">
        <v>2928</v>
      </c>
      <c r="H814" s="5144" t="s">
        <v>24</v>
      </c>
      <c r="I814" s="5144" t="s">
        <v>756</v>
      </c>
    </row>
    <row customHeight="1" ht="11.25">
      <c r="A815" s="5144" t="s">
        <v>2177</v>
      </c>
      <c r="B815" s="5144" t="s">
        <v>14</v>
      </c>
      <c r="C815" s="5144" t="s">
        <v>3951</v>
      </c>
      <c r="D815" s="5144" t="s">
        <v>3952</v>
      </c>
      <c r="E815" s="5144" t="s">
        <v>3953</v>
      </c>
      <c r="F815" s="5144" t="s">
        <v>2207</v>
      </c>
      <c r="G815" s="5144" t="s">
        <v>3954</v>
      </c>
      <c r="H815" s="5144" t="s">
        <v>24</v>
      </c>
      <c r="I815" s="5144" t="s">
        <v>756</v>
      </c>
    </row>
    <row customHeight="1" ht="11.25">
      <c r="A816" s="5144" t="s">
        <v>2177</v>
      </c>
      <c r="B816" s="5144" t="s">
        <v>14</v>
      </c>
      <c r="C816" s="5144" t="s">
        <v>2936</v>
      </c>
      <c r="D816" s="5144" t="s">
        <v>2937</v>
      </c>
      <c r="E816" s="5144" t="s">
        <v>2938</v>
      </c>
      <c r="F816" s="5144" t="s">
        <v>51</v>
      </c>
      <c r="G816" s="5144" t="s">
        <v>24</v>
      </c>
      <c r="H816" s="5144" t="s">
        <v>24</v>
      </c>
      <c r="I816" s="5144" t="s">
        <v>756</v>
      </c>
    </row>
    <row customHeight="1" ht="11.25">
      <c r="A817" s="5144" t="s">
        <v>2177</v>
      </c>
      <c r="B817" s="5144" t="s">
        <v>14</v>
      </c>
      <c r="C817" s="5144" t="s">
        <v>2942</v>
      </c>
      <c r="D817" s="5144" t="s">
        <v>2943</v>
      </c>
      <c r="E817" s="5144" t="s">
        <v>2944</v>
      </c>
      <c r="F817" s="5144" t="s">
        <v>2221</v>
      </c>
      <c r="G817" s="5144" t="s">
        <v>2945</v>
      </c>
      <c r="H817" s="5144" t="s">
        <v>24</v>
      </c>
      <c r="I817" s="5144" t="s">
        <v>756</v>
      </c>
    </row>
    <row customHeight="1" ht="11.25">
      <c r="A818" s="5144" t="s">
        <v>2177</v>
      </c>
      <c r="B818" s="5144" t="s">
        <v>14</v>
      </c>
      <c r="C818" s="5144" t="s">
        <v>2946</v>
      </c>
      <c r="D818" s="5144" t="s">
        <v>2947</v>
      </c>
      <c r="E818" s="5144" t="s">
        <v>2948</v>
      </c>
      <c r="F818" s="5144" t="s">
        <v>2467</v>
      </c>
      <c r="G818" s="5144" t="s">
        <v>2949</v>
      </c>
      <c r="H818" s="5144" t="s">
        <v>24</v>
      </c>
      <c r="I818" s="5144" t="s">
        <v>756</v>
      </c>
    </row>
    <row customHeight="1" ht="11.25">
      <c r="A819" s="5144" t="s">
        <v>2177</v>
      </c>
      <c r="B819" s="5144" t="s">
        <v>14</v>
      </c>
      <c r="C819" s="5144" t="s">
        <v>2950</v>
      </c>
      <c r="D819" s="5144" t="s">
        <v>2951</v>
      </c>
      <c r="E819" s="5144" t="s">
        <v>2952</v>
      </c>
      <c r="F819" s="5144" t="s">
        <v>2953</v>
      </c>
      <c r="G819" s="5144" t="s">
        <v>2954</v>
      </c>
      <c r="H819" s="5144" t="s">
        <v>24</v>
      </c>
      <c r="I819" s="5144" t="s">
        <v>756</v>
      </c>
    </row>
    <row customHeight="1" ht="11.25">
      <c r="A820" s="5144" t="s">
        <v>2177</v>
      </c>
      <c r="B820" s="5144" t="s">
        <v>14</v>
      </c>
      <c r="C820" s="5144" t="s">
        <v>2955</v>
      </c>
      <c r="D820" s="5144" t="s">
        <v>2956</v>
      </c>
      <c r="E820" s="5144" t="s">
        <v>2957</v>
      </c>
      <c r="F820" s="5144" t="s">
        <v>2226</v>
      </c>
      <c r="G820" s="5144" t="s">
        <v>2958</v>
      </c>
      <c r="H820" s="5144" t="s">
        <v>24</v>
      </c>
      <c r="I820" s="5144" t="s">
        <v>756</v>
      </c>
    </row>
    <row customHeight="1" ht="11.25">
      <c r="A821" s="5144" t="s">
        <v>2177</v>
      </c>
      <c r="B821" s="5144" t="s">
        <v>14</v>
      </c>
      <c r="C821" s="5144" t="s">
        <v>2959</v>
      </c>
      <c r="D821" s="5144" t="s">
        <v>2960</v>
      </c>
      <c r="E821" s="5144" t="s">
        <v>2961</v>
      </c>
      <c r="F821" s="5144" t="s">
        <v>2505</v>
      </c>
      <c r="G821" s="5144" t="s">
        <v>2962</v>
      </c>
      <c r="H821" s="5144" t="s">
        <v>24</v>
      </c>
      <c r="I821" s="5144" t="s">
        <v>756</v>
      </c>
    </row>
    <row customHeight="1" ht="11.25">
      <c r="A822" s="5144" t="s">
        <v>2177</v>
      </c>
      <c r="B822" s="5144" t="s">
        <v>14</v>
      </c>
      <c r="C822" s="5144" t="s">
        <v>2967</v>
      </c>
      <c r="D822" s="5144" t="s">
        <v>2968</v>
      </c>
      <c r="E822" s="5144" t="s">
        <v>2969</v>
      </c>
      <c r="F822" s="5144" t="s">
        <v>2970</v>
      </c>
      <c r="G822" s="5144" t="s">
        <v>24</v>
      </c>
      <c r="H822" s="5144" t="s">
        <v>2971</v>
      </c>
      <c r="I822" s="5144" t="s">
        <v>756</v>
      </c>
    </row>
    <row customHeight="1" ht="11.25">
      <c r="A823" s="5144" t="s">
        <v>2177</v>
      </c>
      <c r="B823" s="5144" t="s">
        <v>14</v>
      </c>
      <c r="C823" s="5144" t="s">
        <v>3955</v>
      </c>
      <c r="D823" s="5144" t="s">
        <v>3956</v>
      </c>
      <c r="E823" s="5144" t="s">
        <v>3957</v>
      </c>
      <c r="F823" s="5144" t="s">
        <v>2231</v>
      </c>
      <c r="G823" s="5144" t="s">
        <v>2766</v>
      </c>
      <c r="H823" s="5144" t="s">
        <v>24</v>
      </c>
      <c r="I823" s="5144" t="s">
        <v>756</v>
      </c>
    </row>
    <row customHeight="1" ht="11.25">
      <c r="A824" s="5144" t="s">
        <v>2177</v>
      </c>
      <c r="B824" s="5144" t="s">
        <v>14</v>
      </c>
      <c r="C824" s="5144" t="s">
        <v>2984</v>
      </c>
      <c r="D824" s="5144" t="s">
        <v>2985</v>
      </c>
      <c r="E824" s="5144" t="s">
        <v>2986</v>
      </c>
      <c r="F824" s="5144" t="s">
        <v>2277</v>
      </c>
      <c r="G824" s="5144" t="s">
        <v>24</v>
      </c>
      <c r="H824" s="5144" t="s">
        <v>24</v>
      </c>
      <c r="I824" s="5144" t="s">
        <v>756</v>
      </c>
    </row>
    <row customHeight="1" ht="11.25">
      <c r="A825" s="5144" t="s">
        <v>2177</v>
      </c>
      <c r="B825" s="5144" t="s">
        <v>14</v>
      </c>
      <c r="C825" s="5144" t="s">
        <v>2991</v>
      </c>
      <c r="D825" s="5144" t="s">
        <v>2992</v>
      </c>
      <c r="E825" s="5144" t="s">
        <v>2993</v>
      </c>
      <c r="F825" s="5144" t="s">
        <v>2277</v>
      </c>
      <c r="G825" s="5144" t="s">
        <v>2994</v>
      </c>
      <c r="H825" s="5144" t="s">
        <v>24</v>
      </c>
      <c r="I825" s="5144" t="s">
        <v>756</v>
      </c>
    </row>
    <row customHeight="1" ht="11.25">
      <c r="A826" s="5144" t="s">
        <v>2177</v>
      </c>
      <c r="B826" s="5144" t="s">
        <v>14</v>
      </c>
      <c r="C826" s="5144" t="s">
        <v>2995</v>
      </c>
      <c r="D826" s="5144" t="s">
        <v>2996</v>
      </c>
      <c r="E826" s="5144" t="s">
        <v>2997</v>
      </c>
      <c r="F826" s="5144" t="s">
        <v>2183</v>
      </c>
      <c r="G826" s="5144" t="s">
        <v>24</v>
      </c>
      <c r="H826" s="5144" t="s">
        <v>24</v>
      </c>
      <c r="I826" s="5144" t="s">
        <v>756</v>
      </c>
    </row>
    <row customHeight="1" ht="11.25">
      <c r="A827" s="5144" t="s">
        <v>2177</v>
      </c>
      <c r="B827" s="5144" t="s">
        <v>14</v>
      </c>
      <c r="C827" s="5144" t="s">
        <v>3958</v>
      </c>
      <c r="D827" s="5144" t="s">
        <v>2996</v>
      </c>
      <c r="E827" s="5144" t="s">
        <v>2997</v>
      </c>
      <c r="F827" s="5144" t="s">
        <v>3959</v>
      </c>
      <c r="G827" s="5144" t="s">
        <v>3960</v>
      </c>
      <c r="H827" s="5144" t="s">
        <v>24</v>
      </c>
      <c r="I827" s="5144" t="s">
        <v>756</v>
      </c>
    </row>
    <row customHeight="1" ht="11.25">
      <c r="A828" s="5144" t="s">
        <v>2177</v>
      </c>
      <c r="B828" s="5144" t="s">
        <v>14</v>
      </c>
      <c r="C828" s="5144" t="s">
        <v>3961</v>
      </c>
      <c r="D828" s="5144" t="s">
        <v>3962</v>
      </c>
      <c r="E828" s="5144" t="s">
        <v>3963</v>
      </c>
      <c r="F828" s="5144" t="s">
        <v>2505</v>
      </c>
      <c r="G828" s="5144" t="s">
        <v>3964</v>
      </c>
      <c r="H828" s="5144" t="s">
        <v>24</v>
      </c>
      <c r="I828" s="5144" t="s">
        <v>756</v>
      </c>
    </row>
    <row customHeight="1" ht="11.25">
      <c r="A829" s="5144" t="s">
        <v>2177</v>
      </c>
      <c r="B829" s="5144" t="s">
        <v>14</v>
      </c>
      <c r="C829" s="5144" t="s">
        <v>3965</v>
      </c>
      <c r="D829" s="5144" t="s">
        <v>3966</v>
      </c>
      <c r="E829" s="5144" t="s">
        <v>3004</v>
      </c>
      <c r="F829" s="5144" t="s">
        <v>3967</v>
      </c>
      <c r="G829" s="5144" t="s">
        <v>3005</v>
      </c>
      <c r="H829" s="5144" t="s">
        <v>24</v>
      </c>
      <c r="I829" s="5144" t="s">
        <v>756</v>
      </c>
    </row>
    <row customHeight="1" ht="11.25">
      <c r="A830" s="5144" t="s">
        <v>2177</v>
      </c>
      <c r="B830" s="5144" t="s">
        <v>14</v>
      </c>
      <c r="C830" s="5144" t="s">
        <v>3968</v>
      </c>
      <c r="D830" s="5144" t="s">
        <v>3969</v>
      </c>
      <c r="E830" s="5144" t="s">
        <v>3970</v>
      </c>
      <c r="F830" s="5144" t="s">
        <v>2183</v>
      </c>
      <c r="G830" s="5144" t="s">
        <v>3971</v>
      </c>
      <c r="H830" s="5144" t="s">
        <v>24</v>
      </c>
      <c r="I830" s="5144" t="s">
        <v>756</v>
      </c>
    </row>
    <row customHeight="1" ht="11.25">
      <c r="A831" s="5144" t="s">
        <v>2177</v>
      </c>
      <c r="B831" s="5144" t="s">
        <v>14</v>
      </c>
      <c r="C831" s="5144" t="s">
        <v>3009</v>
      </c>
      <c r="D831" s="5144" t="s">
        <v>3010</v>
      </c>
      <c r="E831" s="5144" t="s">
        <v>3011</v>
      </c>
      <c r="F831" s="5144" t="s">
        <v>51</v>
      </c>
      <c r="G831" s="5144" t="s">
        <v>3012</v>
      </c>
      <c r="H831" s="5144" t="s">
        <v>24</v>
      </c>
      <c r="I831" s="5144" t="s">
        <v>756</v>
      </c>
    </row>
    <row customHeight="1" ht="11.25">
      <c r="A832" s="5144" t="s">
        <v>2177</v>
      </c>
      <c r="B832" s="5144" t="s">
        <v>14</v>
      </c>
      <c r="C832" s="5144" t="s">
        <v>3972</v>
      </c>
      <c r="D832" s="5144" t="s">
        <v>3973</v>
      </c>
      <c r="E832" s="5144" t="s">
        <v>3974</v>
      </c>
      <c r="F832" s="5144" t="s">
        <v>2192</v>
      </c>
      <c r="G832" s="5144" t="s">
        <v>3975</v>
      </c>
      <c r="H832" s="5144" t="s">
        <v>24</v>
      </c>
      <c r="I832" s="5144" t="s">
        <v>756</v>
      </c>
    </row>
    <row customHeight="1" ht="11.25">
      <c r="A833" s="5144" t="s">
        <v>2177</v>
      </c>
      <c r="B833" s="5144" t="s">
        <v>14</v>
      </c>
      <c r="C833" s="5144" t="s">
        <v>3017</v>
      </c>
      <c r="D833" s="5144" t="s">
        <v>3018</v>
      </c>
      <c r="E833" s="5144" t="s">
        <v>3019</v>
      </c>
      <c r="F833" s="5144" t="s">
        <v>2467</v>
      </c>
      <c r="G833" s="5144" t="s">
        <v>3020</v>
      </c>
      <c r="H833" s="5144" t="s">
        <v>24</v>
      </c>
      <c r="I833" s="5144" t="s">
        <v>756</v>
      </c>
    </row>
    <row customHeight="1" ht="11.25">
      <c r="A834" s="5144" t="s">
        <v>2177</v>
      </c>
      <c r="B834" s="5144" t="s">
        <v>14</v>
      </c>
      <c r="C834" s="5144" t="s">
        <v>3976</v>
      </c>
      <c r="D834" s="5144" t="s">
        <v>3977</v>
      </c>
      <c r="E834" s="5144" t="s">
        <v>3978</v>
      </c>
      <c r="F834" s="5144" t="s">
        <v>2202</v>
      </c>
      <c r="G834" s="5144" t="s">
        <v>3979</v>
      </c>
      <c r="H834" s="5144" t="s">
        <v>24</v>
      </c>
      <c r="I834" s="5144" t="s">
        <v>756</v>
      </c>
    </row>
    <row customHeight="1" ht="11.25">
      <c r="A835" s="5144" t="s">
        <v>2177</v>
      </c>
      <c r="B835" s="5144" t="s">
        <v>14</v>
      </c>
      <c r="C835" s="5144" t="s">
        <v>3021</v>
      </c>
      <c r="D835" s="5144" t="s">
        <v>3022</v>
      </c>
      <c r="E835" s="5144" t="s">
        <v>3023</v>
      </c>
      <c r="F835" s="5144" t="s">
        <v>2602</v>
      </c>
      <c r="G835" s="5144" t="s">
        <v>3024</v>
      </c>
      <c r="H835" s="5144" t="s">
        <v>24</v>
      </c>
      <c r="I835" s="5144" t="s">
        <v>756</v>
      </c>
    </row>
    <row customHeight="1" ht="11.25">
      <c r="A836" s="5144" t="s">
        <v>2177</v>
      </c>
      <c r="B836" s="5144" t="s">
        <v>14</v>
      </c>
      <c r="C836" s="5144" t="s">
        <v>3033</v>
      </c>
      <c r="D836" s="5144" t="s">
        <v>3034</v>
      </c>
      <c r="E836" s="5144" t="s">
        <v>3035</v>
      </c>
      <c r="F836" s="5144" t="s">
        <v>2252</v>
      </c>
      <c r="G836" s="5144" t="s">
        <v>3036</v>
      </c>
      <c r="H836" s="5144" t="s">
        <v>24</v>
      </c>
      <c r="I836" s="5144" t="s">
        <v>756</v>
      </c>
    </row>
    <row customHeight="1" ht="11.25">
      <c r="A837" s="5144" t="s">
        <v>2177</v>
      </c>
      <c r="B837" s="5144" t="s">
        <v>14</v>
      </c>
      <c r="C837" s="5144" t="s">
        <v>3037</v>
      </c>
      <c r="D837" s="5144" t="s">
        <v>3038</v>
      </c>
      <c r="E837" s="5144" t="s">
        <v>3039</v>
      </c>
      <c r="F837" s="5144" t="s">
        <v>2520</v>
      </c>
      <c r="G837" s="5144" t="s">
        <v>3040</v>
      </c>
      <c r="H837" s="5144" t="s">
        <v>24</v>
      </c>
      <c r="I837" s="5144" t="s">
        <v>756</v>
      </c>
    </row>
    <row customHeight="1" ht="11.25">
      <c r="A838" s="5144" t="s">
        <v>2177</v>
      </c>
      <c r="B838" s="5144" t="s">
        <v>14</v>
      </c>
      <c r="C838" s="5144" t="s">
        <v>3980</v>
      </c>
      <c r="D838" s="5144" t="s">
        <v>3981</v>
      </c>
      <c r="E838" s="5144" t="s">
        <v>3982</v>
      </c>
      <c r="F838" s="5144" t="s">
        <v>2288</v>
      </c>
      <c r="G838" s="5144" t="s">
        <v>3983</v>
      </c>
      <c r="H838" s="5144" t="s">
        <v>24</v>
      </c>
      <c r="I838" s="5144" t="s">
        <v>756</v>
      </c>
    </row>
    <row customHeight="1" ht="11.25">
      <c r="A839" s="5144" t="s">
        <v>2177</v>
      </c>
      <c r="B839" s="5144" t="s">
        <v>14</v>
      </c>
      <c r="C839" s="5144" t="s">
        <v>3045</v>
      </c>
      <c r="D839" s="5144" t="s">
        <v>3046</v>
      </c>
      <c r="E839" s="5144" t="s">
        <v>3047</v>
      </c>
      <c r="F839" s="5144" t="s">
        <v>2505</v>
      </c>
      <c r="G839" s="5144" t="s">
        <v>3048</v>
      </c>
      <c r="H839" s="5144" t="s">
        <v>24</v>
      </c>
      <c r="I839" s="5144" t="s">
        <v>756</v>
      </c>
    </row>
    <row customHeight="1" ht="11.25">
      <c r="A840" s="5144" t="s">
        <v>2177</v>
      </c>
      <c r="B840" s="5144" t="s">
        <v>14</v>
      </c>
      <c r="C840" s="5144" t="s">
        <v>3053</v>
      </c>
      <c r="D840" s="5144" t="s">
        <v>3054</v>
      </c>
      <c r="E840" s="5144" t="s">
        <v>3055</v>
      </c>
      <c r="F840" s="5144" t="s">
        <v>2207</v>
      </c>
      <c r="G840" s="5144" t="s">
        <v>3056</v>
      </c>
      <c r="H840" s="5144" t="s">
        <v>24</v>
      </c>
      <c r="I840" s="5144" t="s">
        <v>756</v>
      </c>
    </row>
    <row customHeight="1" ht="11.25">
      <c r="A841" s="5144" t="s">
        <v>2177</v>
      </c>
      <c r="B841" s="5144" t="s">
        <v>14</v>
      </c>
      <c r="C841" s="5144" t="s">
        <v>3065</v>
      </c>
      <c r="D841" s="5144" t="s">
        <v>3066</v>
      </c>
      <c r="E841" s="5144" t="s">
        <v>3067</v>
      </c>
      <c r="F841" s="5144" t="s">
        <v>2505</v>
      </c>
      <c r="G841" s="5144" t="s">
        <v>3068</v>
      </c>
      <c r="H841" s="5144" t="s">
        <v>24</v>
      </c>
      <c r="I841" s="5144" t="s">
        <v>756</v>
      </c>
    </row>
    <row customHeight="1" ht="11.25">
      <c r="A842" s="5144" t="s">
        <v>2177</v>
      </c>
      <c r="B842" s="5144" t="s">
        <v>14</v>
      </c>
      <c r="C842" s="5144" t="s">
        <v>3069</v>
      </c>
      <c r="D842" s="5144" t="s">
        <v>3070</v>
      </c>
      <c r="E842" s="5144" t="s">
        <v>3071</v>
      </c>
      <c r="F842" s="5144" t="s">
        <v>2207</v>
      </c>
      <c r="G842" s="5144" t="s">
        <v>3072</v>
      </c>
      <c r="H842" s="5144" t="s">
        <v>24</v>
      </c>
      <c r="I842" s="5144" t="s">
        <v>756</v>
      </c>
    </row>
    <row customHeight="1" ht="11.25">
      <c r="A843" s="5144" t="s">
        <v>2177</v>
      </c>
      <c r="B843" s="5144" t="s">
        <v>14</v>
      </c>
      <c r="C843" s="5144" t="s">
        <v>3984</v>
      </c>
      <c r="D843" s="5144" t="s">
        <v>3985</v>
      </c>
      <c r="E843" s="5144" t="s">
        <v>3986</v>
      </c>
      <c r="F843" s="5144" t="s">
        <v>2192</v>
      </c>
      <c r="G843" s="5144" t="s">
        <v>3553</v>
      </c>
      <c r="H843" s="5144" t="s">
        <v>24</v>
      </c>
      <c r="I843" s="5144" t="s">
        <v>756</v>
      </c>
    </row>
    <row customHeight="1" ht="11.25">
      <c r="A844" s="5144" t="s">
        <v>2177</v>
      </c>
      <c r="B844" s="5144" t="s">
        <v>14</v>
      </c>
      <c r="C844" s="5144" t="s">
        <v>3073</v>
      </c>
      <c r="D844" s="5144" t="s">
        <v>3074</v>
      </c>
      <c r="E844" s="5144" t="s">
        <v>3075</v>
      </c>
      <c r="F844" s="5144" t="s">
        <v>2207</v>
      </c>
      <c r="G844" s="5144" t="s">
        <v>3076</v>
      </c>
      <c r="H844" s="5144" t="s">
        <v>3077</v>
      </c>
      <c r="I844" s="5144" t="s">
        <v>756</v>
      </c>
    </row>
    <row customHeight="1" ht="11.25">
      <c r="A845" s="5144" t="s">
        <v>2177</v>
      </c>
      <c r="B845" s="5144" t="s">
        <v>14</v>
      </c>
      <c r="C845" s="5144" t="s">
        <v>3078</v>
      </c>
      <c r="D845" s="5144" t="s">
        <v>3074</v>
      </c>
      <c r="E845" s="5144" t="s">
        <v>3079</v>
      </c>
      <c r="F845" s="5144" t="s">
        <v>2467</v>
      </c>
      <c r="G845" s="5144" t="s">
        <v>3080</v>
      </c>
      <c r="H845" s="5144" t="s">
        <v>24</v>
      </c>
      <c r="I845" s="5144" t="s">
        <v>756</v>
      </c>
    </row>
    <row customHeight="1" ht="11.25">
      <c r="A846" s="5144" t="s">
        <v>2177</v>
      </c>
      <c r="B846" s="5144" t="s">
        <v>14</v>
      </c>
      <c r="C846" s="5144" t="s">
        <v>3987</v>
      </c>
      <c r="D846" s="5144" t="s">
        <v>3988</v>
      </c>
      <c r="E846" s="5144" t="s">
        <v>3989</v>
      </c>
      <c r="F846" s="5144" t="s">
        <v>2505</v>
      </c>
      <c r="G846" s="5144" t="s">
        <v>3641</v>
      </c>
      <c r="H846" s="5144" t="s">
        <v>24</v>
      </c>
      <c r="I846" s="5144" t="s">
        <v>756</v>
      </c>
    </row>
    <row customHeight="1" ht="11.25">
      <c r="A847" s="5144" t="s">
        <v>2177</v>
      </c>
      <c r="B847" s="5144" t="s">
        <v>14</v>
      </c>
      <c r="C847" s="5144" t="s">
        <v>3990</v>
      </c>
      <c r="D847" s="5144" t="s">
        <v>3991</v>
      </c>
      <c r="E847" s="5144" t="s">
        <v>3992</v>
      </c>
      <c r="F847" s="5144" t="s">
        <v>2520</v>
      </c>
      <c r="G847" s="5144" t="s">
        <v>3993</v>
      </c>
      <c r="H847" s="5144" t="s">
        <v>24</v>
      </c>
      <c r="I847" s="5144" t="s">
        <v>756</v>
      </c>
    </row>
    <row customHeight="1" ht="11.25">
      <c r="A848" s="5144" t="s">
        <v>2177</v>
      </c>
      <c r="B848" s="5144" t="s">
        <v>14</v>
      </c>
      <c r="C848" s="5144" t="s">
        <v>3093</v>
      </c>
      <c r="D848" s="5144" t="s">
        <v>3094</v>
      </c>
      <c r="E848" s="5144" t="s">
        <v>3095</v>
      </c>
      <c r="F848" s="5144" t="s">
        <v>51</v>
      </c>
      <c r="G848" s="5144" t="s">
        <v>3096</v>
      </c>
      <c r="H848" s="5144" t="s">
        <v>24</v>
      </c>
      <c r="I848" s="5144" t="s">
        <v>756</v>
      </c>
    </row>
    <row customHeight="1" ht="11.25">
      <c r="A849" s="5144" t="s">
        <v>2177</v>
      </c>
      <c r="B849" s="5144" t="s">
        <v>14</v>
      </c>
      <c r="C849" s="5144" t="s">
        <v>3101</v>
      </c>
      <c r="D849" s="5144" t="s">
        <v>3102</v>
      </c>
      <c r="E849" s="5144" t="s">
        <v>3103</v>
      </c>
      <c r="F849" s="5144" t="s">
        <v>2221</v>
      </c>
      <c r="G849" s="5144" t="s">
        <v>3104</v>
      </c>
      <c r="H849" s="5144" t="s">
        <v>2971</v>
      </c>
      <c r="I849" s="5144" t="s">
        <v>756</v>
      </c>
    </row>
    <row customHeight="1" ht="11.25">
      <c r="A850" s="5144" t="s">
        <v>2177</v>
      </c>
      <c r="B850" s="5144" t="s">
        <v>14</v>
      </c>
      <c r="C850" s="5144" t="s">
        <v>3994</v>
      </c>
      <c r="D850" s="5144" t="s">
        <v>3995</v>
      </c>
      <c r="E850" s="5144" t="s">
        <v>3996</v>
      </c>
      <c r="F850" s="5144" t="s">
        <v>2207</v>
      </c>
      <c r="G850" s="5144" t="s">
        <v>3997</v>
      </c>
      <c r="H850" s="5144" t="s">
        <v>24</v>
      </c>
      <c r="I850" s="5144" t="s">
        <v>756</v>
      </c>
    </row>
    <row customHeight="1" ht="11.25">
      <c r="A851" s="5144" t="s">
        <v>2177</v>
      </c>
      <c r="B851" s="5144" t="s">
        <v>14</v>
      </c>
      <c r="C851" s="5144" t="s">
        <v>3109</v>
      </c>
      <c r="D851" s="5144" t="s">
        <v>3110</v>
      </c>
      <c r="E851" s="5144" t="s">
        <v>3111</v>
      </c>
      <c r="F851" s="5144" t="s">
        <v>51</v>
      </c>
      <c r="G851" s="5144" t="s">
        <v>3112</v>
      </c>
      <c r="H851" s="5144" t="s">
        <v>24</v>
      </c>
      <c r="I851" s="5144" t="s">
        <v>756</v>
      </c>
    </row>
    <row customHeight="1" ht="11.25">
      <c r="A852" s="5144" t="s">
        <v>2177</v>
      </c>
      <c r="B852" s="5144" t="s">
        <v>14</v>
      </c>
      <c r="C852" s="5144" t="s">
        <v>3113</v>
      </c>
      <c r="D852" s="5144" t="s">
        <v>3114</v>
      </c>
      <c r="E852" s="5144" t="s">
        <v>3115</v>
      </c>
      <c r="F852" s="5144" t="s">
        <v>2226</v>
      </c>
      <c r="G852" s="5144" t="s">
        <v>3116</v>
      </c>
      <c r="H852" s="5144" t="s">
        <v>24</v>
      </c>
      <c r="I852" s="5144" t="s">
        <v>756</v>
      </c>
    </row>
    <row customHeight="1" ht="11.25">
      <c r="A853" s="5144" t="s">
        <v>2177</v>
      </c>
      <c r="B853" s="5144" t="s">
        <v>14</v>
      </c>
      <c r="C853" s="5144" t="s">
        <v>3121</v>
      </c>
      <c r="D853" s="5144" t="s">
        <v>3122</v>
      </c>
      <c r="E853" s="5144" t="s">
        <v>3123</v>
      </c>
      <c r="F853" s="5144" t="s">
        <v>2183</v>
      </c>
      <c r="G853" s="5144" t="s">
        <v>3124</v>
      </c>
      <c r="H853" s="5144" t="s">
        <v>24</v>
      </c>
      <c r="I853" s="5144" t="s">
        <v>756</v>
      </c>
    </row>
    <row customHeight="1" ht="11.25">
      <c r="A854" s="5144" t="s">
        <v>2177</v>
      </c>
      <c r="B854" s="5144" t="s">
        <v>14</v>
      </c>
      <c r="C854" s="5144" t="s">
        <v>3125</v>
      </c>
      <c r="D854" s="5144" t="s">
        <v>3126</v>
      </c>
      <c r="E854" s="5144" t="s">
        <v>3127</v>
      </c>
      <c r="F854" s="5144" t="s">
        <v>2226</v>
      </c>
      <c r="G854" s="5144" t="s">
        <v>3128</v>
      </c>
      <c r="H854" s="5144" t="s">
        <v>24</v>
      </c>
      <c r="I854" s="5144" t="s">
        <v>756</v>
      </c>
    </row>
    <row customHeight="1" ht="11.25">
      <c r="A855" s="5144" t="s">
        <v>2177</v>
      </c>
      <c r="B855" s="5144" t="s">
        <v>14</v>
      </c>
      <c r="C855" s="5144" t="s">
        <v>3129</v>
      </c>
      <c r="D855" s="5144" t="s">
        <v>3130</v>
      </c>
      <c r="E855" s="5144" t="s">
        <v>3131</v>
      </c>
      <c r="F855" s="5144" t="s">
        <v>2673</v>
      </c>
      <c r="G855" s="5144" t="s">
        <v>3132</v>
      </c>
      <c r="H855" s="5144" t="s">
        <v>24</v>
      </c>
      <c r="I855" s="5144" t="s">
        <v>756</v>
      </c>
    </row>
    <row customHeight="1" ht="11.25">
      <c r="A856" s="5144" t="s">
        <v>2177</v>
      </c>
      <c r="B856" s="5144" t="s">
        <v>14</v>
      </c>
      <c r="C856" s="5144" t="s">
        <v>3998</v>
      </c>
      <c r="D856" s="5144" t="s">
        <v>3999</v>
      </c>
      <c r="E856" s="5144" t="s">
        <v>4000</v>
      </c>
      <c r="F856" s="5144" t="s">
        <v>2520</v>
      </c>
      <c r="G856" s="5144" t="s">
        <v>4001</v>
      </c>
      <c r="H856" s="5144" t="s">
        <v>24</v>
      </c>
      <c r="I856" s="5144" t="s">
        <v>756</v>
      </c>
    </row>
    <row customHeight="1" ht="11.25">
      <c r="A857" s="5144" t="s">
        <v>2177</v>
      </c>
      <c r="B857" s="5144" t="s">
        <v>14</v>
      </c>
      <c r="C857" s="5144" t="s">
        <v>3137</v>
      </c>
      <c r="D857" s="5144" t="s">
        <v>3138</v>
      </c>
      <c r="E857" s="5144" t="s">
        <v>3139</v>
      </c>
      <c r="F857" s="5144" t="s">
        <v>2912</v>
      </c>
      <c r="G857" s="5144" t="s">
        <v>3140</v>
      </c>
      <c r="H857" s="5144" t="s">
        <v>24</v>
      </c>
      <c r="I857" s="5144" t="s">
        <v>756</v>
      </c>
    </row>
    <row customHeight="1" ht="11.25">
      <c r="A858" s="5144" t="s">
        <v>2177</v>
      </c>
      <c r="B858" s="5144" t="s">
        <v>14</v>
      </c>
      <c r="C858" s="5144" t="s">
        <v>3141</v>
      </c>
      <c r="D858" s="5144" t="s">
        <v>3142</v>
      </c>
      <c r="E858" s="5144" t="s">
        <v>3143</v>
      </c>
      <c r="F858" s="5144" t="s">
        <v>2192</v>
      </c>
      <c r="G858" s="5144" t="s">
        <v>3144</v>
      </c>
      <c r="H858" s="5144" t="s">
        <v>24</v>
      </c>
      <c r="I858" s="5144" t="s">
        <v>756</v>
      </c>
    </row>
    <row customHeight="1" ht="11.25">
      <c r="A859" s="5144" t="s">
        <v>2177</v>
      </c>
      <c r="B859" s="5144" t="s">
        <v>14</v>
      </c>
      <c r="C859" s="5144" t="s">
        <v>4002</v>
      </c>
      <c r="D859" s="5144" t="s">
        <v>4003</v>
      </c>
      <c r="E859" s="5144" t="s">
        <v>4004</v>
      </c>
      <c r="F859" s="5144" t="s">
        <v>2673</v>
      </c>
      <c r="G859" s="5144" t="s">
        <v>4005</v>
      </c>
      <c r="H859" s="5144" t="s">
        <v>24</v>
      </c>
      <c r="I859" s="5144" t="s">
        <v>756</v>
      </c>
    </row>
    <row customHeight="1" ht="11.25">
      <c r="A860" s="5144" t="s">
        <v>2177</v>
      </c>
      <c r="B860" s="5144" t="s">
        <v>14</v>
      </c>
      <c r="C860" s="5144" t="s">
        <v>3145</v>
      </c>
      <c r="D860" s="5144" t="s">
        <v>3146</v>
      </c>
      <c r="E860" s="5144" t="s">
        <v>3147</v>
      </c>
      <c r="F860" s="5144" t="s">
        <v>2199</v>
      </c>
      <c r="G860" s="5144" t="s">
        <v>3148</v>
      </c>
      <c r="H860" s="5144" t="s">
        <v>24</v>
      </c>
      <c r="I860" s="5144" t="s">
        <v>756</v>
      </c>
    </row>
    <row customHeight="1" ht="11.25">
      <c r="A861" s="5144" t="s">
        <v>2177</v>
      </c>
      <c r="B861" s="5144" t="s">
        <v>14</v>
      </c>
      <c r="C861" s="5144" t="s">
        <v>3149</v>
      </c>
      <c r="D861" s="5144" t="s">
        <v>3150</v>
      </c>
      <c r="E861" s="5144" t="s">
        <v>3151</v>
      </c>
      <c r="F861" s="5144" t="s">
        <v>2231</v>
      </c>
      <c r="G861" s="5144" t="s">
        <v>3152</v>
      </c>
      <c r="H861" s="5144" t="s">
        <v>24</v>
      </c>
      <c r="I861" s="5144" t="s">
        <v>756</v>
      </c>
    </row>
    <row customHeight="1" ht="11.25">
      <c r="A862" s="5144" t="s">
        <v>2177</v>
      </c>
      <c r="B862" s="5144" t="s">
        <v>14</v>
      </c>
      <c r="C862" s="5144" t="s">
        <v>3153</v>
      </c>
      <c r="D862" s="5144" t="s">
        <v>3154</v>
      </c>
      <c r="E862" s="5144" t="s">
        <v>3155</v>
      </c>
      <c r="F862" s="5144" t="s">
        <v>3156</v>
      </c>
      <c r="G862" s="5144" t="s">
        <v>3157</v>
      </c>
      <c r="H862" s="5144" t="s">
        <v>24</v>
      </c>
      <c r="I862" s="5144" t="s">
        <v>756</v>
      </c>
    </row>
    <row customHeight="1" ht="11.25">
      <c r="A863" s="5144" t="s">
        <v>2177</v>
      </c>
      <c r="B863" s="5144" t="s">
        <v>14</v>
      </c>
      <c r="C863" s="5144" t="s">
        <v>4006</v>
      </c>
      <c r="D863" s="5144" t="s">
        <v>4007</v>
      </c>
      <c r="E863" s="5144" t="s">
        <v>4008</v>
      </c>
      <c r="F863" s="5144" t="s">
        <v>2277</v>
      </c>
      <c r="G863" s="5144" t="s">
        <v>4009</v>
      </c>
      <c r="H863" s="5144" t="s">
        <v>24</v>
      </c>
      <c r="I863" s="5144" t="s">
        <v>756</v>
      </c>
    </row>
    <row customHeight="1" ht="11.25">
      <c r="A864" s="5144" t="s">
        <v>2177</v>
      </c>
      <c r="B864" s="5144" t="s">
        <v>14</v>
      </c>
      <c r="C864" s="5144" t="s">
        <v>3165</v>
      </c>
      <c r="D864" s="5144" t="s">
        <v>3166</v>
      </c>
      <c r="E864" s="5144" t="s">
        <v>3167</v>
      </c>
      <c r="F864" s="5144" t="s">
        <v>2186</v>
      </c>
      <c r="G864" s="5144" t="s">
        <v>3168</v>
      </c>
      <c r="H864" s="5144" t="s">
        <v>24</v>
      </c>
      <c r="I864" s="5144" t="s">
        <v>756</v>
      </c>
    </row>
    <row customHeight="1" ht="11.25">
      <c r="A865" s="5144" t="s">
        <v>2177</v>
      </c>
      <c r="B865" s="5144" t="s">
        <v>14</v>
      </c>
      <c r="C865" s="5144" t="s">
        <v>4010</v>
      </c>
      <c r="D865" s="5144" t="s">
        <v>3170</v>
      </c>
      <c r="E865" s="5144" t="s">
        <v>4011</v>
      </c>
      <c r="F865" s="5144" t="s">
        <v>2202</v>
      </c>
      <c r="G865" s="5144" t="s">
        <v>4012</v>
      </c>
      <c r="H865" s="5144" t="s">
        <v>24</v>
      </c>
      <c r="I865" s="5144" t="s">
        <v>756</v>
      </c>
    </row>
    <row customHeight="1" ht="11.25">
      <c r="A866" s="5144" t="s">
        <v>2177</v>
      </c>
      <c r="B866" s="5144" t="s">
        <v>14</v>
      </c>
      <c r="C866" s="5144" t="s">
        <v>3169</v>
      </c>
      <c r="D866" s="5144" t="s">
        <v>3170</v>
      </c>
      <c r="E866" s="5144" t="s">
        <v>3171</v>
      </c>
      <c r="F866" s="5144" t="s">
        <v>51</v>
      </c>
      <c r="G866" s="5144" t="s">
        <v>3148</v>
      </c>
      <c r="H866" s="5144" t="s">
        <v>24</v>
      </c>
      <c r="I866" s="5144" t="s">
        <v>756</v>
      </c>
    </row>
    <row customHeight="1" ht="11.25">
      <c r="A867" s="5144" t="s">
        <v>2177</v>
      </c>
      <c r="B867" s="5144" t="s">
        <v>14</v>
      </c>
      <c r="C867" s="5144" t="s">
        <v>3179</v>
      </c>
      <c r="D867" s="5144" t="s">
        <v>3180</v>
      </c>
      <c r="E867" s="5144" t="s">
        <v>3181</v>
      </c>
      <c r="F867" s="5144" t="s">
        <v>2288</v>
      </c>
      <c r="G867" s="5144" t="s">
        <v>3182</v>
      </c>
      <c r="H867" s="5144" t="s">
        <v>24</v>
      </c>
      <c r="I867" s="5144" t="s">
        <v>756</v>
      </c>
    </row>
    <row customHeight="1" ht="11.25">
      <c r="A868" s="5144" t="s">
        <v>2177</v>
      </c>
      <c r="B868" s="5144" t="s">
        <v>14</v>
      </c>
      <c r="C868" s="5144" t="s">
        <v>4013</v>
      </c>
      <c r="D868" s="5144" t="s">
        <v>4014</v>
      </c>
      <c r="E868" s="5144" t="s">
        <v>4015</v>
      </c>
      <c r="F868" s="5144" t="s">
        <v>2202</v>
      </c>
      <c r="G868" s="5144" t="s">
        <v>24</v>
      </c>
      <c r="H868" s="5144" t="s">
        <v>24</v>
      </c>
      <c r="I868" s="5144" t="s">
        <v>756</v>
      </c>
    </row>
    <row customHeight="1" ht="11.25">
      <c r="A869" s="5144" t="s">
        <v>2177</v>
      </c>
      <c r="B869" s="5144" t="s">
        <v>14</v>
      </c>
      <c r="C869" s="5144" t="s">
        <v>3189</v>
      </c>
      <c r="D869" s="5144" t="s">
        <v>3190</v>
      </c>
      <c r="E869" s="5144" t="s">
        <v>3191</v>
      </c>
      <c r="F869" s="5144" t="s">
        <v>2202</v>
      </c>
      <c r="G869" s="5144" t="s">
        <v>3192</v>
      </c>
      <c r="H869" s="5144" t="s">
        <v>24</v>
      </c>
      <c r="I869" s="5144" t="s">
        <v>756</v>
      </c>
    </row>
    <row customHeight="1" ht="11.25">
      <c r="A870" s="5144" t="s">
        <v>2177</v>
      </c>
      <c r="B870" s="5144" t="s">
        <v>14</v>
      </c>
      <c r="C870" s="5144" t="s">
        <v>3193</v>
      </c>
      <c r="D870" s="5144" t="s">
        <v>3194</v>
      </c>
      <c r="E870" s="5144" t="s">
        <v>3195</v>
      </c>
      <c r="F870" s="5144" t="s">
        <v>3196</v>
      </c>
      <c r="G870" s="5144" t="s">
        <v>3197</v>
      </c>
      <c r="H870" s="5144" t="s">
        <v>24</v>
      </c>
      <c r="I870" s="5144" t="s">
        <v>756</v>
      </c>
    </row>
    <row customHeight="1" ht="11.25">
      <c r="A871" s="5144" t="s">
        <v>2177</v>
      </c>
      <c r="B871" s="5144" t="s">
        <v>14</v>
      </c>
      <c r="C871" s="5144" t="s">
        <v>3201</v>
      </c>
      <c r="D871" s="5144" t="s">
        <v>3202</v>
      </c>
      <c r="E871" s="5144" t="s">
        <v>3203</v>
      </c>
      <c r="F871" s="5144" t="s">
        <v>2505</v>
      </c>
      <c r="G871" s="5144" t="s">
        <v>24</v>
      </c>
      <c r="H871" s="5144" t="s">
        <v>24</v>
      </c>
      <c r="I871" s="5144" t="s">
        <v>756</v>
      </c>
    </row>
    <row customHeight="1" ht="11.25">
      <c r="A872" s="5144" t="s">
        <v>2177</v>
      </c>
      <c r="B872" s="5144" t="s">
        <v>14</v>
      </c>
      <c r="C872" s="5144" t="s">
        <v>3219</v>
      </c>
      <c r="D872" s="5144" t="s">
        <v>3213</v>
      </c>
      <c r="E872" s="5144" t="s">
        <v>3220</v>
      </c>
      <c r="F872" s="5144" t="s">
        <v>2467</v>
      </c>
      <c r="G872" s="5144" t="s">
        <v>3221</v>
      </c>
      <c r="H872" s="5144" t="s">
        <v>24</v>
      </c>
      <c r="I872" s="5144" t="s">
        <v>756</v>
      </c>
    </row>
    <row customHeight="1" ht="11.25">
      <c r="A873" s="5144" t="s">
        <v>2177</v>
      </c>
      <c r="B873" s="5144" t="s">
        <v>14</v>
      </c>
      <c r="C873" s="5144" t="s">
        <v>3224</v>
      </c>
      <c r="D873" s="5144" t="s">
        <v>3225</v>
      </c>
      <c r="E873" s="5144" t="s">
        <v>3226</v>
      </c>
      <c r="F873" s="5144" t="s">
        <v>2226</v>
      </c>
      <c r="G873" s="5144" t="s">
        <v>2612</v>
      </c>
      <c r="H873" s="5144" t="s">
        <v>24</v>
      </c>
      <c r="I873" s="5144" t="s">
        <v>756</v>
      </c>
    </row>
    <row customHeight="1" ht="11.25">
      <c r="A874" s="5144" t="s">
        <v>2177</v>
      </c>
      <c r="B874" s="5144" t="s">
        <v>14</v>
      </c>
      <c r="C874" s="5144" t="s">
        <v>3227</v>
      </c>
      <c r="D874" s="5144" t="s">
        <v>3225</v>
      </c>
      <c r="E874" s="5144" t="s">
        <v>3228</v>
      </c>
      <c r="F874" s="5144" t="s">
        <v>2226</v>
      </c>
      <c r="G874" s="5144" t="s">
        <v>3229</v>
      </c>
      <c r="H874" s="5144" t="s">
        <v>24</v>
      </c>
      <c r="I874" s="5144" t="s">
        <v>756</v>
      </c>
    </row>
    <row customHeight="1" ht="11.25">
      <c r="A875" s="5144" t="s">
        <v>2177</v>
      </c>
      <c r="B875" s="5144" t="s">
        <v>14</v>
      </c>
      <c r="C875" s="5144" t="s">
        <v>3239</v>
      </c>
      <c r="D875" s="5144" t="s">
        <v>3240</v>
      </c>
      <c r="E875" s="5144" t="s">
        <v>3241</v>
      </c>
      <c r="F875" s="5144" t="s">
        <v>2467</v>
      </c>
      <c r="G875" s="5144" t="s">
        <v>3242</v>
      </c>
      <c r="H875" s="5144" t="s">
        <v>24</v>
      </c>
      <c r="I875" s="5144" t="s">
        <v>756</v>
      </c>
    </row>
    <row customHeight="1" ht="11.25">
      <c r="A876" s="5144" t="s">
        <v>2177</v>
      </c>
      <c r="B876" s="5144" t="s">
        <v>14</v>
      </c>
      <c r="C876" s="5144" t="s">
        <v>3243</v>
      </c>
      <c r="D876" s="5144" t="s">
        <v>3244</v>
      </c>
      <c r="E876" s="5144" t="s">
        <v>3245</v>
      </c>
      <c r="F876" s="5144" t="s">
        <v>2505</v>
      </c>
      <c r="G876" s="5144" t="s">
        <v>24</v>
      </c>
      <c r="H876" s="5144" t="s">
        <v>24</v>
      </c>
      <c r="I876" s="5144" t="s">
        <v>756</v>
      </c>
    </row>
    <row customHeight="1" ht="11.25">
      <c r="A877" s="5144" t="s">
        <v>2177</v>
      </c>
      <c r="B877" s="5144" t="s">
        <v>14</v>
      </c>
      <c r="C877" s="5144" t="s">
        <v>3246</v>
      </c>
      <c r="D877" s="5144" t="s">
        <v>3247</v>
      </c>
      <c r="E877" s="5144" t="s">
        <v>3248</v>
      </c>
      <c r="F877" s="5144" t="s">
        <v>2207</v>
      </c>
      <c r="G877" s="5144" t="s">
        <v>3249</v>
      </c>
      <c r="H877" s="5144" t="s">
        <v>3250</v>
      </c>
      <c r="I877" s="5144" t="s">
        <v>756</v>
      </c>
    </row>
    <row customHeight="1" ht="11.25">
      <c r="A878" s="5144" t="s">
        <v>2177</v>
      </c>
      <c r="B878" s="5144" t="s">
        <v>14</v>
      </c>
      <c r="C878" s="5144" t="s">
        <v>3251</v>
      </c>
      <c r="D878" s="5144" t="s">
        <v>3252</v>
      </c>
      <c r="E878" s="5144" t="s">
        <v>3253</v>
      </c>
      <c r="F878" s="5144" t="s">
        <v>2183</v>
      </c>
      <c r="G878" s="5144" t="s">
        <v>3254</v>
      </c>
      <c r="H878" s="5144" t="s">
        <v>24</v>
      </c>
      <c r="I878" s="5144" t="s">
        <v>756</v>
      </c>
    </row>
    <row customHeight="1" ht="11.25">
      <c r="A879" s="5144" t="s">
        <v>2177</v>
      </c>
      <c r="B879" s="5144" t="s">
        <v>14</v>
      </c>
      <c r="C879" s="5144" t="s">
        <v>3255</v>
      </c>
      <c r="D879" s="5144" t="s">
        <v>3256</v>
      </c>
      <c r="E879" s="5144" t="s">
        <v>3257</v>
      </c>
      <c r="F879" s="5144" t="s">
        <v>2810</v>
      </c>
      <c r="G879" s="5144" t="s">
        <v>3258</v>
      </c>
      <c r="H879" s="5144" t="s">
        <v>24</v>
      </c>
      <c r="I879" s="5144" t="s">
        <v>756</v>
      </c>
    </row>
    <row customHeight="1" ht="11.25">
      <c r="A880" s="5144" t="s">
        <v>2177</v>
      </c>
      <c r="B880" s="5144" t="s">
        <v>14</v>
      </c>
      <c r="C880" s="5144" t="s">
        <v>3263</v>
      </c>
      <c r="D880" s="5144" t="s">
        <v>3264</v>
      </c>
      <c r="E880" s="5144" t="s">
        <v>3265</v>
      </c>
      <c r="F880" s="5144" t="s">
        <v>2288</v>
      </c>
      <c r="G880" s="5144" t="s">
        <v>3266</v>
      </c>
      <c r="H880" s="5144" t="s">
        <v>24</v>
      </c>
      <c r="I880" s="5144" t="s">
        <v>756</v>
      </c>
    </row>
    <row customHeight="1" ht="11.25">
      <c r="A881" s="5144" t="s">
        <v>2177</v>
      </c>
      <c r="B881" s="5144" t="s">
        <v>14</v>
      </c>
      <c r="C881" s="5144" t="s">
        <v>4016</v>
      </c>
      <c r="D881" s="5144" t="s">
        <v>4017</v>
      </c>
      <c r="E881" s="5144" t="s">
        <v>4018</v>
      </c>
      <c r="F881" s="5144" t="s">
        <v>2202</v>
      </c>
      <c r="G881" s="5144" t="s">
        <v>4019</v>
      </c>
      <c r="H881" s="5144" t="s">
        <v>24</v>
      </c>
      <c r="I881" s="5144" t="s">
        <v>756</v>
      </c>
    </row>
    <row customHeight="1" ht="11.25">
      <c r="A882" s="5144" t="s">
        <v>2177</v>
      </c>
      <c r="B882" s="5144" t="s">
        <v>14</v>
      </c>
      <c r="C882" s="5144" t="s">
        <v>3267</v>
      </c>
      <c r="D882" s="5144" t="s">
        <v>3268</v>
      </c>
      <c r="E882" s="5144" t="s">
        <v>3269</v>
      </c>
      <c r="F882" s="5144" t="s">
        <v>2192</v>
      </c>
      <c r="G882" s="5144" t="s">
        <v>24</v>
      </c>
      <c r="H882" s="5144" t="s">
        <v>24</v>
      </c>
      <c r="I882" s="5144" t="s">
        <v>756</v>
      </c>
    </row>
    <row customHeight="1" ht="11.25">
      <c r="A883" s="5144" t="s">
        <v>2177</v>
      </c>
      <c r="B883" s="5144" t="s">
        <v>14</v>
      </c>
      <c r="C883" s="5144" t="s">
        <v>3270</v>
      </c>
      <c r="D883" s="5144" t="s">
        <v>3271</v>
      </c>
      <c r="E883" s="5144" t="s">
        <v>3272</v>
      </c>
      <c r="F883" s="5144" t="s">
        <v>2226</v>
      </c>
      <c r="G883" s="5144" t="s">
        <v>3273</v>
      </c>
      <c r="H883" s="5144" t="s">
        <v>24</v>
      </c>
      <c r="I883" s="5144" t="s">
        <v>756</v>
      </c>
    </row>
    <row customHeight="1" ht="11.25">
      <c r="A884" s="5144" t="s">
        <v>2177</v>
      </c>
      <c r="B884" s="5144" t="s">
        <v>14</v>
      </c>
      <c r="C884" s="5144" t="s">
        <v>3274</v>
      </c>
      <c r="D884" s="5144" t="s">
        <v>3275</v>
      </c>
      <c r="E884" s="5144" t="s">
        <v>3276</v>
      </c>
      <c r="F884" s="5144" t="s">
        <v>2505</v>
      </c>
      <c r="G884" s="5144" t="s">
        <v>3277</v>
      </c>
      <c r="H884" s="5144" t="s">
        <v>24</v>
      </c>
      <c r="I884" s="5144" t="s">
        <v>756</v>
      </c>
    </row>
    <row customHeight="1" ht="11.25">
      <c r="A885" s="5144" t="s">
        <v>2177</v>
      </c>
      <c r="B885" s="5144" t="s">
        <v>14</v>
      </c>
      <c r="C885" s="5144" t="s">
        <v>3278</v>
      </c>
      <c r="D885" s="5144" t="s">
        <v>3279</v>
      </c>
      <c r="E885" s="5144" t="s">
        <v>3280</v>
      </c>
      <c r="F885" s="5144" t="s">
        <v>2226</v>
      </c>
      <c r="G885" s="5144" t="s">
        <v>3281</v>
      </c>
      <c r="H885" s="5144" t="s">
        <v>24</v>
      </c>
      <c r="I885" s="5144" t="s">
        <v>756</v>
      </c>
    </row>
    <row customHeight="1" ht="11.25">
      <c r="A886" s="5144" t="s">
        <v>2177</v>
      </c>
      <c r="B886" s="5144" t="s">
        <v>14</v>
      </c>
      <c r="C886" s="5144" t="s">
        <v>3282</v>
      </c>
      <c r="D886" s="5144" t="s">
        <v>3283</v>
      </c>
      <c r="E886" s="5144" t="s">
        <v>3284</v>
      </c>
      <c r="F886" s="5144" t="s">
        <v>2231</v>
      </c>
      <c r="G886" s="5144" t="s">
        <v>3285</v>
      </c>
      <c r="H886" s="5144" t="s">
        <v>24</v>
      </c>
      <c r="I886" s="5144" t="s">
        <v>756</v>
      </c>
    </row>
    <row customHeight="1" ht="11.25">
      <c r="A887" s="5144" t="s">
        <v>2177</v>
      </c>
      <c r="B887" s="5144" t="s">
        <v>14</v>
      </c>
      <c r="C887" s="5144" t="s">
        <v>4020</v>
      </c>
      <c r="D887" s="5144" t="s">
        <v>4021</v>
      </c>
      <c r="E887" s="5144" t="s">
        <v>4022</v>
      </c>
      <c r="F887" s="5144" t="s">
        <v>2226</v>
      </c>
      <c r="G887" s="5144" t="s">
        <v>4023</v>
      </c>
      <c r="H887" s="5144" t="s">
        <v>24</v>
      </c>
      <c r="I887" s="5144" t="s">
        <v>756</v>
      </c>
    </row>
    <row customHeight="1" ht="11.25">
      <c r="A888" s="5144" t="s">
        <v>2177</v>
      </c>
      <c r="B888" s="5144" t="s">
        <v>14</v>
      </c>
      <c r="C888" s="5144" t="s">
        <v>3286</v>
      </c>
      <c r="D888" s="5144" t="s">
        <v>3287</v>
      </c>
      <c r="E888" s="5144" t="s">
        <v>3288</v>
      </c>
      <c r="F888" s="5144" t="s">
        <v>2202</v>
      </c>
      <c r="G888" s="5144" t="s">
        <v>3289</v>
      </c>
      <c r="H888" s="5144" t="s">
        <v>24</v>
      </c>
      <c r="I888" s="5144" t="s">
        <v>756</v>
      </c>
    </row>
    <row customHeight="1" ht="11.25">
      <c r="A889" s="5144" t="s">
        <v>2177</v>
      </c>
      <c r="B889" s="5144" t="s">
        <v>14</v>
      </c>
      <c r="C889" s="5144" t="s">
        <v>3290</v>
      </c>
      <c r="D889" s="5144" t="s">
        <v>3291</v>
      </c>
      <c r="E889" s="5144" t="s">
        <v>3292</v>
      </c>
      <c r="F889" s="5144" t="s">
        <v>3293</v>
      </c>
      <c r="G889" s="5144" t="s">
        <v>3294</v>
      </c>
      <c r="H889" s="5144" t="s">
        <v>24</v>
      </c>
      <c r="I889" s="5144" t="s">
        <v>756</v>
      </c>
    </row>
    <row customHeight="1" ht="11.25">
      <c r="A890" s="5144" t="s">
        <v>2177</v>
      </c>
      <c r="B890" s="5144" t="s">
        <v>14</v>
      </c>
      <c r="C890" s="5144" t="s">
        <v>3299</v>
      </c>
      <c r="D890" s="5144" t="s">
        <v>3300</v>
      </c>
      <c r="E890" s="5144" t="s">
        <v>3301</v>
      </c>
      <c r="F890" s="5144" t="s">
        <v>2231</v>
      </c>
      <c r="G890" s="5144" t="s">
        <v>3302</v>
      </c>
      <c r="H890" s="5144" t="s">
        <v>24</v>
      </c>
      <c r="I890" s="5144" t="s">
        <v>756</v>
      </c>
    </row>
    <row customHeight="1" ht="11.25">
      <c r="A891" s="5144" t="s">
        <v>2177</v>
      </c>
      <c r="B891" s="5144" t="s">
        <v>14</v>
      </c>
      <c r="C891" s="5144" t="s">
        <v>3303</v>
      </c>
      <c r="D891" s="5144" t="s">
        <v>3304</v>
      </c>
      <c r="E891" s="5144" t="s">
        <v>3305</v>
      </c>
      <c r="F891" s="5144" t="s">
        <v>2231</v>
      </c>
      <c r="G891" s="5144" t="s">
        <v>3306</v>
      </c>
      <c r="H891" s="5144" t="s">
        <v>24</v>
      </c>
      <c r="I891" s="5144" t="s">
        <v>756</v>
      </c>
    </row>
    <row customHeight="1" ht="11.25">
      <c r="A892" s="5144" t="s">
        <v>2177</v>
      </c>
      <c r="B892" s="5144" t="s">
        <v>14</v>
      </c>
      <c r="C892" s="5144" t="s">
        <v>3307</v>
      </c>
      <c r="D892" s="5144" t="s">
        <v>3308</v>
      </c>
      <c r="E892" s="5144" t="s">
        <v>3309</v>
      </c>
      <c r="F892" s="5144" t="s">
        <v>2252</v>
      </c>
      <c r="G892" s="5144" t="s">
        <v>3310</v>
      </c>
      <c r="H892" s="5144" t="s">
        <v>24</v>
      </c>
      <c r="I892" s="5144" t="s">
        <v>756</v>
      </c>
    </row>
    <row customHeight="1" ht="11.25">
      <c r="A893" s="5144" t="s">
        <v>2177</v>
      </c>
      <c r="B893" s="5144" t="s">
        <v>14</v>
      </c>
      <c r="C893" s="5144" t="s">
        <v>3311</v>
      </c>
      <c r="D893" s="5144" t="s">
        <v>3312</v>
      </c>
      <c r="E893" s="5144" t="s">
        <v>3313</v>
      </c>
      <c r="F893" s="5144" t="s">
        <v>2207</v>
      </c>
      <c r="G893" s="5144" t="s">
        <v>3314</v>
      </c>
      <c r="H893" s="5144" t="s">
        <v>24</v>
      </c>
      <c r="I893" s="5144" t="s">
        <v>756</v>
      </c>
    </row>
    <row customHeight="1" ht="11.25">
      <c r="A894" s="5144" t="s">
        <v>2177</v>
      </c>
      <c r="B894" s="5144" t="s">
        <v>14</v>
      </c>
      <c r="C894" s="5144" t="s">
        <v>3319</v>
      </c>
      <c r="D894" s="5144" t="s">
        <v>3320</v>
      </c>
      <c r="E894" s="5144" t="s">
        <v>3321</v>
      </c>
      <c r="F894" s="5144" t="s">
        <v>2467</v>
      </c>
      <c r="G894" s="5144" t="s">
        <v>3322</v>
      </c>
      <c r="H894" s="5144" t="s">
        <v>24</v>
      </c>
      <c r="I894" s="5144" t="s">
        <v>756</v>
      </c>
    </row>
    <row customHeight="1" ht="11.25">
      <c r="A895" s="5144" t="s">
        <v>2177</v>
      </c>
      <c r="B895" s="5144" t="s">
        <v>14</v>
      </c>
      <c r="C895" s="5144" t="s">
        <v>4024</v>
      </c>
      <c r="D895" s="5144" t="s">
        <v>4025</v>
      </c>
      <c r="E895" s="5144" t="s">
        <v>4026</v>
      </c>
      <c r="F895" s="5144" t="s">
        <v>2231</v>
      </c>
      <c r="G895" s="5144" t="s">
        <v>4027</v>
      </c>
      <c r="H895" s="5144" t="s">
        <v>24</v>
      </c>
      <c r="I895" s="5144" t="s">
        <v>756</v>
      </c>
    </row>
    <row customHeight="1" ht="11.25">
      <c r="A896" s="5144" t="s">
        <v>2177</v>
      </c>
      <c r="B896" s="5144" t="s">
        <v>14</v>
      </c>
      <c r="C896" s="5144" t="s">
        <v>4028</v>
      </c>
      <c r="D896" s="5144" t="s">
        <v>4029</v>
      </c>
      <c r="E896" s="5144" t="s">
        <v>4030</v>
      </c>
      <c r="F896" s="5144" t="s">
        <v>2231</v>
      </c>
      <c r="G896" s="5144" t="s">
        <v>2438</v>
      </c>
      <c r="H896" s="5144" t="s">
        <v>24</v>
      </c>
      <c r="I896" s="5144" t="s">
        <v>756</v>
      </c>
    </row>
    <row customHeight="1" ht="11.25">
      <c r="A897" s="5144" t="s">
        <v>2177</v>
      </c>
      <c r="B897" s="5144" t="s">
        <v>14</v>
      </c>
      <c r="C897" s="5144" t="s">
        <v>3326</v>
      </c>
      <c r="D897" s="5144" t="s">
        <v>3327</v>
      </c>
      <c r="E897" s="5144" t="s">
        <v>3328</v>
      </c>
      <c r="F897" s="5144" t="s">
        <v>2288</v>
      </c>
      <c r="G897" s="5144" t="s">
        <v>3329</v>
      </c>
      <c r="H897" s="5144" t="s">
        <v>24</v>
      </c>
      <c r="I897" s="5144" t="s">
        <v>756</v>
      </c>
    </row>
    <row customHeight="1" ht="11.25">
      <c r="A898" s="5144" t="s">
        <v>2177</v>
      </c>
      <c r="B898" s="5144" t="s">
        <v>14</v>
      </c>
      <c r="C898" s="5144" t="s">
        <v>4031</v>
      </c>
      <c r="D898" s="5144" t="s">
        <v>3342</v>
      </c>
      <c r="E898" s="5144" t="s">
        <v>4032</v>
      </c>
      <c r="F898" s="5144" t="s">
        <v>2912</v>
      </c>
      <c r="G898" s="5144" t="s">
        <v>4033</v>
      </c>
      <c r="H898" s="5144" t="s">
        <v>24</v>
      </c>
      <c r="I898" s="5144" t="s">
        <v>756</v>
      </c>
    </row>
    <row customHeight="1" ht="11.25">
      <c r="A899" s="5144" t="s">
        <v>2177</v>
      </c>
      <c r="B899" s="5144" t="s">
        <v>14</v>
      </c>
      <c r="C899" s="5144" t="s">
        <v>3341</v>
      </c>
      <c r="D899" s="5144" t="s">
        <v>3342</v>
      </c>
      <c r="E899" s="5144" t="s">
        <v>3343</v>
      </c>
      <c r="F899" s="5144" t="s">
        <v>2520</v>
      </c>
      <c r="G899" s="5144" t="s">
        <v>3344</v>
      </c>
      <c r="H899" s="5144" t="s">
        <v>24</v>
      </c>
      <c r="I899" s="5144" t="s">
        <v>756</v>
      </c>
    </row>
    <row customHeight="1" ht="11.25">
      <c r="A900" s="5144" t="s">
        <v>2177</v>
      </c>
      <c r="B900" s="5144" t="s">
        <v>14</v>
      </c>
      <c r="C900" s="5144" t="s">
        <v>3345</v>
      </c>
      <c r="D900" s="5144" t="s">
        <v>3346</v>
      </c>
      <c r="E900" s="5144" t="s">
        <v>3347</v>
      </c>
      <c r="F900" s="5144" t="s">
        <v>2202</v>
      </c>
      <c r="G900" s="5144" t="s">
        <v>3348</v>
      </c>
      <c r="H900" s="5144" t="s">
        <v>24</v>
      </c>
      <c r="I900" s="5144" t="s">
        <v>756</v>
      </c>
    </row>
    <row customHeight="1" ht="11.25">
      <c r="A901" s="5144" t="s">
        <v>2177</v>
      </c>
      <c r="B901" s="5144" t="s">
        <v>14</v>
      </c>
      <c r="C901" s="5144" t="s">
        <v>3353</v>
      </c>
      <c r="D901" s="5144" t="s">
        <v>3354</v>
      </c>
      <c r="E901" s="5144" t="s">
        <v>3355</v>
      </c>
      <c r="F901" s="5144" t="s">
        <v>2277</v>
      </c>
      <c r="G901" s="5144" t="s">
        <v>3356</v>
      </c>
      <c r="H901" s="5144" t="s">
        <v>24</v>
      </c>
      <c r="I901" s="5144" t="s">
        <v>756</v>
      </c>
    </row>
    <row customHeight="1" ht="11.25">
      <c r="A902" s="5144" t="s">
        <v>2177</v>
      </c>
      <c r="B902" s="5144" t="s">
        <v>14</v>
      </c>
      <c r="C902" s="5144" t="s">
        <v>3357</v>
      </c>
      <c r="D902" s="5144" t="s">
        <v>3358</v>
      </c>
      <c r="E902" s="5144" t="s">
        <v>3359</v>
      </c>
      <c r="F902" s="5144" t="s">
        <v>2202</v>
      </c>
      <c r="G902" s="5144" t="s">
        <v>3360</v>
      </c>
      <c r="H902" s="5144" t="s">
        <v>24</v>
      </c>
      <c r="I902" s="5144" t="s">
        <v>756</v>
      </c>
    </row>
    <row customHeight="1" ht="11.25">
      <c r="A903" s="5144" t="s">
        <v>2177</v>
      </c>
      <c r="B903" s="5144" t="s">
        <v>14</v>
      </c>
      <c r="C903" s="5144" t="s">
        <v>3361</v>
      </c>
      <c r="D903" s="5144" t="s">
        <v>3362</v>
      </c>
      <c r="E903" s="5144" t="s">
        <v>3363</v>
      </c>
      <c r="F903" s="5144" t="s">
        <v>3364</v>
      </c>
      <c r="G903" s="5144" t="s">
        <v>24</v>
      </c>
      <c r="H903" s="5144" t="s">
        <v>24</v>
      </c>
      <c r="I903" s="5144" t="s">
        <v>756</v>
      </c>
    </row>
    <row customHeight="1" ht="11.25">
      <c r="A904" s="5144" t="s">
        <v>2177</v>
      </c>
      <c r="B904" s="5144" t="s">
        <v>14</v>
      </c>
      <c r="C904" s="5144" t="s">
        <v>4034</v>
      </c>
      <c r="D904" s="5144" t="s">
        <v>4035</v>
      </c>
      <c r="E904" s="5144" t="s">
        <v>4036</v>
      </c>
      <c r="F904" s="5144" t="s">
        <v>51</v>
      </c>
      <c r="G904" s="5144" t="s">
        <v>4037</v>
      </c>
      <c r="H904" s="5144" t="s">
        <v>24</v>
      </c>
      <c r="I904" s="5144" t="s">
        <v>756</v>
      </c>
    </row>
    <row customHeight="1" ht="11.25">
      <c r="A905" s="5144" t="s">
        <v>2177</v>
      </c>
      <c r="B905" s="5144" t="s">
        <v>14</v>
      </c>
      <c r="C905" s="5144" t="s">
        <v>3373</v>
      </c>
      <c r="D905" s="5144" t="s">
        <v>3374</v>
      </c>
      <c r="E905" s="5144" t="s">
        <v>3375</v>
      </c>
      <c r="F905" s="5144" t="s">
        <v>2231</v>
      </c>
      <c r="G905" s="5144" t="s">
        <v>3376</v>
      </c>
      <c r="H905" s="5144" t="s">
        <v>3377</v>
      </c>
      <c r="I905" s="5144" t="s">
        <v>756</v>
      </c>
    </row>
    <row customHeight="1" ht="11.25">
      <c r="A906" s="5144" t="s">
        <v>2177</v>
      </c>
      <c r="B906" s="5144" t="s">
        <v>14</v>
      </c>
      <c r="C906" s="5144" t="s">
        <v>4038</v>
      </c>
      <c r="D906" s="5144" t="s">
        <v>4039</v>
      </c>
      <c r="E906" s="5144" t="s">
        <v>4040</v>
      </c>
      <c r="F906" s="5144" t="s">
        <v>2467</v>
      </c>
      <c r="G906" s="5144" t="s">
        <v>4041</v>
      </c>
      <c r="H906" s="5144" t="s">
        <v>24</v>
      </c>
      <c r="I906" s="5144" t="s">
        <v>756</v>
      </c>
    </row>
    <row customHeight="1" ht="11.25">
      <c r="A907" s="5144" t="s">
        <v>2177</v>
      </c>
      <c r="B907" s="5144" t="s">
        <v>14</v>
      </c>
      <c r="C907" s="5144" t="s">
        <v>3395</v>
      </c>
      <c r="D907" s="5144" t="s">
        <v>3396</v>
      </c>
      <c r="E907" s="5144" t="s">
        <v>3397</v>
      </c>
      <c r="F907" s="5144" t="s">
        <v>2673</v>
      </c>
      <c r="G907" s="5144" t="s">
        <v>3398</v>
      </c>
      <c r="H907" s="5144" t="s">
        <v>24</v>
      </c>
      <c r="I907" s="5144" t="s">
        <v>756</v>
      </c>
    </row>
    <row customHeight="1" ht="11.25">
      <c r="A908" s="5144" t="s">
        <v>2177</v>
      </c>
      <c r="B908" s="5144" t="s">
        <v>14</v>
      </c>
      <c r="C908" s="5144" t="s">
        <v>4042</v>
      </c>
      <c r="D908" s="5144" t="s">
        <v>4043</v>
      </c>
      <c r="E908" s="5144" t="s">
        <v>4044</v>
      </c>
      <c r="F908" s="5144" t="s">
        <v>2802</v>
      </c>
      <c r="G908" s="5144" t="s">
        <v>24</v>
      </c>
      <c r="H908" s="5144" t="s">
        <v>24</v>
      </c>
      <c r="I908" s="5144" t="s">
        <v>756</v>
      </c>
    </row>
    <row customHeight="1" ht="11.25">
      <c r="A909" s="5144" t="s">
        <v>2177</v>
      </c>
      <c r="B909" s="5144" t="s">
        <v>14</v>
      </c>
      <c r="C909" s="5144" t="s">
        <v>3399</v>
      </c>
      <c r="D909" s="5144" t="s">
        <v>3400</v>
      </c>
      <c r="E909" s="5144" t="s">
        <v>3401</v>
      </c>
      <c r="F909" s="5144" t="s">
        <v>2231</v>
      </c>
      <c r="G909" s="5144" t="s">
        <v>3402</v>
      </c>
      <c r="H909" s="5144" t="s">
        <v>24</v>
      </c>
      <c r="I909" s="5144" t="s">
        <v>756</v>
      </c>
    </row>
    <row customHeight="1" ht="11.25">
      <c r="A910" s="5144" t="s">
        <v>2177</v>
      </c>
      <c r="B910" s="5144" t="s">
        <v>14</v>
      </c>
      <c r="C910" s="5144" t="s">
        <v>4045</v>
      </c>
      <c r="D910" s="5144" t="s">
        <v>4046</v>
      </c>
      <c r="E910" s="5144" t="s">
        <v>4047</v>
      </c>
      <c r="F910" s="5144" t="s">
        <v>2231</v>
      </c>
      <c r="G910" s="5144" t="s">
        <v>4048</v>
      </c>
      <c r="H910" s="5144" t="s">
        <v>24</v>
      </c>
      <c r="I910" s="5144" t="s">
        <v>756</v>
      </c>
    </row>
    <row customHeight="1" ht="11.25">
      <c r="A911" s="5144" t="s">
        <v>2177</v>
      </c>
      <c r="B911" s="5144" t="s">
        <v>14</v>
      </c>
      <c r="C911" s="5144" t="s">
        <v>4049</v>
      </c>
      <c r="D911" s="5144" t="s">
        <v>4050</v>
      </c>
      <c r="E911" s="5144" t="s">
        <v>4051</v>
      </c>
      <c r="F911" s="5144" t="s">
        <v>2231</v>
      </c>
      <c r="G911" s="5144" t="s">
        <v>4052</v>
      </c>
      <c r="H911" s="5144" t="s">
        <v>24</v>
      </c>
      <c r="I911" s="5144" t="s">
        <v>756</v>
      </c>
    </row>
    <row customHeight="1" ht="11.25">
      <c r="A912" s="5144" t="s">
        <v>2177</v>
      </c>
      <c r="B912" s="5144" t="s">
        <v>14</v>
      </c>
      <c r="C912" s="5144" t="s">
        <v>3410</v>
      </c>
      <c r="D912" s="5144" t="s">
        <v>3411</v>
      </c>
      <c r="E912" s="5144" t="s">
        <v>3412</v>
      </c>
      <c r="F912" s="5144" t="s">
        <v>2202</v>
      </c>
      <c r="G912" s="5144" t="s">
        <v>24</v>
      </c>
      <c r="H912" s="5144" t="s">
        <v>24</v>
      </c>
      <c r="I912" s="5144" t="s">
        <v>756</v>
      </c>
    </row>
    <row customHeight="1" ht="11.25">
      <c r="A913" s="5144" t="s">
        <v>2177</v>
      </c>
      <c r="B913" s="5144" t="s">
        <v>14</v>
      </c>
      <c r="C913" s="5144" t="s">
        <v>4053</v>
      </c>
      <c r="D913" s="5144" t="s">
        <v>4054</v>
      </c>
      <c r="E913" s="5144" t="s">
        <v>4055</v>
      </c>
      <c r="F913" s="5144" t="s">
        <v>2234</v>
      </c>
      <c r="G913" s="5144" t="s">
        <v>24</v>
      </c>
      <c r="H913" s="5144" t="s">
        <v>24</v>
      </c>
      <c r="I913" s="5144" t="s">
        <v>756</v>
      </c>
    </row>
    <row customHeight="1" ht="11.25">
      <c r="A914" s="5144" t="s">
        <v>2177</v>
      </c>
      <c r="B914" s="5144" t="s">
        <v>14</v>
      </c>
      <c r="C914" s="5144" t="s">
        <v>3415</v>
      </c>
      <c r="D914" s="5144" t="s">
        <v>3416</v>
      </c>
      <c r="E914" s="5144" t="s">
        <v>3417</v>
      </c>
      <c r="F914" s="5144" t="s">
        <v>2912</v>
      </c>
      <c r="G914" s="5144" t="s">
        <v>24</v>
      </c>
      <c r="H914" s="5144" t="s">
        <v>24</v>
      </c>
      <c r="I914" s="5144" t="s">
        <v>756</v>
      </c>
    </row>
    <row customHeight="1" ht="11.25">
      <c r="A915" s="5144" t="s">
        <v>2177</v>
      </c>
      <c r="B915" s="5144" t="s">
        <v>14</v>
      </c>
      <c r="C915" s="5144" t="s">
        <v>4056</v>
      </c>
      <c r="D915" s="5144" t="s">
        <v>4057</v>
      </c>
      <c r="E915" s="5144" t="s">
        <v>4058</v>
      </c>
      <c r="F915" s="5144" t="s">
        <v>2288</v>
      </c>
      <c r="G915" s="5144" t="s">
        <v>2442</v>
      </c>
      <c r="H915" s="5144" t="s">
        <v>24</v>
      </c>
      <c r="I915" s="5144" t="s">
        <v>756</v>
      </c>
    </row>
    <row customHeight="1" ht="11.25">
      <c r="A916" s="5144" t="s">
        <v>2177</v>
      </c>
      <c r="B916" s="5144" t="s">
        <v>14</v>
      </c>
      <c r="C916" s="5144" t="s">
        <v>4059</v>
      </c>
      <c r="D916" s="5144" t="s">
        <v>4060</v>
      </c>
      <c r="E916" s="5144" t="s">
        <v>4061</v>
      </c>
      <c r="F916" s="5144" t="s">
        <v>2231</v>
      </c>
      <c r="G916" s="5144" t="s">
        <v>24</v>
      </c>
      <c r="H916" s="5144" t="s">
        <v>24</v>
      </c>
      <c r="I916" s="5144" t="s">
        <v>756</v>
      </c>
    </row>
    <row customHeight="1" ht="11.25">
      <c r="A917" s="5144" t="s">
        <v>2177</v>
      </c>
      <c r="B917" s="5144" t="s">
        <v>14</v>
      </c>
      <c r="C917" s="5144" t="s">
        <v>4062</v>
      </c>
      <c r="D917" s="5144" t="s">
        <v>4063</v>
      </c>
      <c r="E917" s="5144" t="s">
        <v>4064</v>
      </c>
      <c r="F917" s="5144" t="s">
        <v>2226</v>
      </c>
      <c r="G917" s="5144" t="s">
        <v>4065</v>
      </c>
      <c r="H917" s="5144" t="s">
        <v>24</v>
      </c>
      <c r="I917" s="5144" t="s">
        <v>756</v>
      </c>
    </row>
    <row customHeight="1" ht="11.25">
      <c r="A918" s="5144" t="s">
        <v>2177</v>
      </c>
      <c r="B918" s="5144" t="s">
        <v>14</v>
      </c>
      <c r="C918" s="5144" t="s">
        <v>3422</v>
      </c>
      <c r="D918" s="5144" t="s">
        <v>3423</v>
      </c>
      <c r="E918" s="5144" t="s">
        <v>3424</v>
      </c>
      <c r="F918" s="5144" t="s">
        <v>3425</v>
      </c>
      <c r="G918" s="5144" t="s">
        <v>24</v>
      </c>
      <c r="H918" s="5144" t="s">
        <v>24</v>
      </c>
      <c r="I918" s="5144" t="s">
        <v>756</v>
      </c>
    </row>
    <row customHeight="1" ht="11.25">
      <c r="A919" s="5144" t="s">
        <v>2177</v>
      </c>
      <c r="B919" s="5144" t="s">
        <v>14</v>
      </c>
      <c r="C919" s="5144" t="s">
        <v>24</v>
      </c>
      <c r="D919" s="5144" t="s">
        <v>3430</v>
      </c>
      <c r="E919" s="5144" t="s">
        <v>3431</v>
      </c>
      <c r="F919" s="5144" t="s">
        <v>51</v>
      </c>
      <c r="G919" s="5144" t="s">
        <v>24</v>
      </c>
      <c r="H919" s="5144" t="s">
        <v>24</v>
      </c>
      <c r="I919" s="5144" t="s">
        <v>756</v>
      </c>
    </row>
    <row customHeight="1" ht="11.25">
      <c r="A920" s="5144" t="s">
        <v>2177</v>
      </c>
      <c r="B920" s="5144" t="s">
        <v>14</v>
      </c>
      <c r="C920" s="5144" t="s">
        <v>3445</v>
      </c>
      <c r="D920" s="5144" t="s">
        <v>3446</v>
      </c>
      <c r="E920" s="5144" t="s">
        <v>3447</v>
      </c>
      <c r="F920" s="5144" t="s">
        <v>2802</v>
      </c>
      <c r="G920" s="5144" t="s">
        <v>3448</v>
      </c>
      <c r="H920" s="5144" t="s">
        <v>24</v>
      </c>
      <c r="I920" s="5144" t="s">
        <v>756</v>
      </c>
    </row>
    <row customHeight="1" ht="11.25">
      <c r="A921" s="5144" t="s">
        <v>2177</v>
      </c>
      <c r="B921" s="5144" t="s">
        <v>14</v>
      </c>
      <c r="C921" s="5144" t="s">
        <v>3462</v>
      </c>
      <c r="D921" s="5144" t="s">
        <v>3463</v>
      </c>
      <c r="E921" s="5144" t="s">
        <v>3464</v>
      </c>
      <c r="F921" s="5144" t="s">
        <v>3465</v>
      </c>
      <c r="G921" s="5144" t="s">
        <v>3466</v>
      </c>
      <c r="H921" s="5144" t="s">
        <v>24</v>
      </c>
      <c r="I921" s="5144" t="s">
        <v>756</v>
      </c>
    </row>
    <row customHeight="1" ht="11.25">
      <c r="A922" s="5144" t="s">
        <v>2177</v>
      </c>
      <c r="B922" s="5144" t="s">
        <v>14</v>
      </c>
      <c r="C922" s="5144" t="s">
        <v>3472</v>
      </c>
      <c r="D922" s="5144" t="s">
        <v>3473</v>
      </c>
      <c r="E922" s="5144" t="s">
        <v>3474</v>
      </c>
      <c r="F922" s="5144" t="s">
        <v>3475</v>
      </c>
      <c r="G922" s="5144" t="s">
        <v>3476</v>
      </c>
      <c r="H922" s="5144" t="s">
        <v>24</v>
      </c>
      <c r="I922" s="5144" t="s">
        <v>756</v>
      </c>
    </row>
    <row customHeight="1" ht="11.25">
      <c r="A923" s="5144" t="s">
        <v>2177</v>
      </c>
      <c r="B923" s="5144" t="s">
        <v>14</v>
      </c>
      <c r="C923" s="5144" t="s">
        <v>3488</v>
      </c>
      <c r="D923" s="5144" t="s">
        <v>3489</v>
      </c>
      <c r="E923" s="5144" t="s">
        <v>3245</v>
      </c>
      <c r="F923" s="5144" t="s">
        <v>3490</v>
      </c>
      <c r="G923" s="5144" t="s">
        <v>24</v>
      </c>
      <c r="H923" s="5144" t="s">
        <v>24</v>
      </c>
      <c r="I923" s="5144" t="s">
        <v>756</v>
      </c>
    </row>
    <row customHeight="1" ht="11.25">
      <c r="A924" s="5144" t="s">
        <v>2177</v>
      </c>
      <c r="B924" s="5144" t="s">
        <v>14</v>
      </c>
      <c r="C924" s="5144" t="s">
        <v>3501</v>
      </c>
      <c r="D924" s="5144" t="s">
        <v>3502</v>
      </c>
      <c r="E924" s="5144" t="s">
        <v>3464</v>
      </c>
      <c r="F924" s="5144" t="s">
        <v>3503</v>
      </c>
      <c r="G924" s="5144" t="s">
        <v>24</v>
      </c>
      <c r="H924" s="5144" t="s">
        <v>24</v>
      </c>
      <c r="I924" s="5144" t="s">
        <v>756</v>
      </c>
    </row>
    <row customHeight="1" ht="11.25">
      <c r="A925" s="5144" t="s">
        <v>2177</v>
      </c>
      <c r="B925" s="5144" t="s">
        <v>14</v>
      </c>
      <c r="C925" s="5144" t="s">
        <v>4066</v>
      </c>
      <c r="D925" s="5144" t="s">
        <v>4067</v>
      </c>
      <c r="E925" s="5144" t="s">
        <v>4068</v>
      </c>
      <c r="F925" s="5144" t="s">
        <v>2288</v>
      </c>
      <c r="G925" s="5144" t="s">
        <v>4069</v>
      </c>
      <c r="H925" s="5144" t="s">
        <v>24</v>
      </c>
      <c r="I925" s="5144" t="s">
        <v>756</v>
      </c>
    </row>
    <row customHeight="1" ht="11.25">
      <c r="A926" s="5144" t="s">
        <v>2177</v>
      </c>
      <c r="B926" s="5144" t="s">
        <v>14</v>
      </c>
      <c r="C926" s="5144" t="s">
        <v>24</v>
      </c>
      <c r="D926" s="5144" t="s">
        <v>2178</v>
      </c>
      <c r="E926" s="5144" t="s">
        <v>2179</v>
      </c>
      <c r="F926" s="5144" t="s">
        <v>2180</v>
      </c>
      <c r="G926" s="5144" t="s">
        <v>24</v>
      </c>
      <c r="H926" s="5144" t="s">
        <v>24</v>
      </c>
      <c r="I926" s="5144" t="s">
        <v>808</v>
      </c>
    </row>
    <row customHeight="1" ht="11.25">
      <c r="A927" s="5144" t="s">
        <v>2177</v>
      </c>
      <c r="B927" s="5144" t="s">
        <v>14</v>
      </c>
      <c r="C927" s="5144" t="s">
        <v>24</v>
      </c>
      <c r="D927" s="5144" t="s">
        <v>2181</v>
      </c>
      <c r="E927" s="5144" t="s">
        <v>2182</v>
      </c>
      <c r="F927" s="5144" t="s">
        <v>2183</v>
      </c>
      <c r="G927" s="5144" t="s">
        <v>24</v>
      </c>
      <c r="H927" s="5144" t="s">
        <v>24</v>
      </c>
      <c r="I927" s="5144" t="s">
        <v>808</v>
      </c>
    </row>
    <row customHeight="1" ht="11.25">
      <c r="A928" s="5144" t="s">
        <v>2177</v>
      </c>
      <c r="B928" s="5144" t="s">
        <v>14</v>
      </c>
      <c r="C928" s="5144" t="s">
        <v>24</v>
      </c>
      <c r="D928" s="5144" t="s">
        <v>2184</v>
      </c>
      <c r="E928" s="5144" t="s">
        <v>2185</v>
      </c>
      <c r="F928" s="5144" t="s">
        <v>2186</v>
      </c>
      <c r="G928" s="5144" t="s">
        <v>24</v>
      </c>
      <c r="H928" s="5144" t="s">
        <v>24</v>
      </c>
      <c r="I928" s="5144" t="s">
        <v>808</v>
      </c>
    </row>
    <row customHeight="1" ht="11.25">
      <c r="A929" s="5144" t="s">
        <v>2177</v>
      </c>
      <c r="B929" s="5144" t="s">
        <v>14</v>
      </c>
      <c r="C929" s="5144" t="s">
        <v>24</v>
      </c>
      <c r="D929" s="5144" t="s">
        <v>2187</v>
      </c>
      <c r="E929" s="5144" t="s">
        <v>2188</v>
      </c>
      <c r="F929" s="5144" t="s">
        <v>2189</v>
      </c>
      <c r="G929" s="5144" t="s">
        <v>24</v>
      </c>
      <c r="H929" s="5144" t="s">
        <v>24</v>
      </c>
      <c r="I929" s="5144" t="s">
        <v>808</v>
      </c>
    </row>
    <row customHeight="1" ht="11.25">
      <c r="A930" s="5144" t="s">
        <v>2177</v>
      </c>
      <c r="B930" s="5144" t="s">
        <v>14</v>
      </c>
      <c r="C930" s="5144" t="s">
        <v>24</v>
      </c>
      <c r="D930" s="5144" t="s">
        <v>2190</v>
      </c>
      <c r="E930" s="5144" t="s">
        <v>2191</v>
      </c>
      <c r="F930" s="5144" t="s">
        <v>2192</v>
      </c>
      <c r="G930" s="5144" t="s">
        <v>24</v>
      </c>
      <c r="H930" s="5144" t="s">
        <v>24</v>
      </c>
      <c r="I930" s="5144" t="s">
        <v>808</v>
      </c>
    </row>
    <row customHeight="1" ht="11.25">
      <c r="A931" s="5144" t="s">
        <v>2177</v>
      </c>
      <c r="B931" s="5144" t="s">
        <v>14</v>
      </c>
      <c r="C931" s="5144" t="s">
        <v>24</v>
      </c>
      <c r="D931" s="5144" t="s">
        <v>2193</v>
      </c>
      <c r="E931" s="5144" t="s">
        <v>2194</v>
      </c>
      <c r="F931" s="5144" t="s">
        <v>2189</v>
      </c>
      <c r="G931" s="5144" t="s">
        <v>24</v>
      </c>
      <c r="H931" s="5144" t="s">
        <v>24</v>
      </c>
      <c r="I931" s="5144" t="s">
        <v>808</v>
      </c>
    </row>
    <row customHeight="1" ht="11.25">
      <c r="A932" s="5144" t="s">
        <v>2177</v>
      </c>
      <c r="B932" s="5144" t="s">
        <v>14</v>
      </c>
      <c r="C932" s="5144" t="s">
        <v>24</v>
      </c>
      <c r="D932" s="5144" t="s">
        <v>2195</v>
      </c>
      <c r="E932" s="5144" t="s">
        <v>2196</v>
      </c>
      <c r="F932" s="5144" t="s">
        <v>2186</v>
      </c>
      <c r="G932" s="5144" t="s">
        <v>24</v>
      </c>
      <c r="H932" s="5144" t="s">
        <v>24</v>
      </c>
      <c r="I932" s="5144" t="s">
        <v>808</v>
      </c>
    </row>
    <row customHeight="1" ht="11.25">
      <c r="A933" s="5144" t="s">
        <v>2177</v>
      </c>
      <c r="B933" s="5144" t="s">
        <v>14</v>
      </c>
      <c r="C933" s="5144" t="s">
        <v>24</v>
      </c>
      <c r="D933" s="5144" t="s">
        <v>2197</v>
      </c>
      <c r="E933" s="5144" t="s">
        <v>2198</v>
      </c>
      <c r="F933" s="5144" t="s">
        <v>2199</v>
      </c>
      <c r="G933" s="5144" t="s">
        <v>24</v>
      </c>
      <c r="H933" s="5144" t="s">
        <v>24</v>
      </c>
      <c r="I933" s="5144" t="s">
        <v>808</v>
      </c>
    </row>
    <row customHeight="1" ht="11.25">
      <c r="A934" s="5144" t="s">
        <v>2177</v>
      </c>
      <c r="B934" s="5144" t="s">
        <v>14</v>
      </c>
      <c r="C934" s="5144" t="s">
        <v>24</v>
      </c>
      <c r="D934" s="5144" t="s">
        <v>2200</v>
      </c>
      <c r="E934" s="5144" t="s">
        <v>2201</v>
      </c>
      <c r="F934" s="5144" t="s">
        <v>2202</v>
      </c>
      <c r="G934" s="5144" t="s">
        <v>24</v>
      </c>
      <c r="H934" s="5144" t="s">
        <v>24</v>
      </c>
      <c r="I934" s="5144" t="s">
        <v>808</v>
      </c>
    </row>
    <row customHeight="1" ht="11.25">
      <c r="A935" s="5144" t="s">
        <v>2177</v>
      </c>
      <c r="B935" s="5144" t="s">
        <v>14</v>
      </c>
      <c r="C935" s="5144" t="s">
        <v>24</v>
      </c>
      <c r="D935" s="5144" t="s">
        <v>2203</v>
      </c>
      <c r="E935" s="5144" t="s">
        <v>2204</v>
      </c>
      <c r="F935" s="5144" t="s">
        <v>51</v>
      </c>
      <c r="G935" s="5144" t="s">
        <v>24</v>
      </c>
      <c r="H935" s="5144" t="s">
        <v>24</v>
      </c>
      <c r="I935" s="5144" t="s">
        <v>808</v>
      </c>
    </row>
    <row customHeight="1" ht="11.25">
      <c r="A936" s="5144" t="s">
        <v>2177</v>
      </c>
      <c r="B936" s="5144" t="s">
        <v>14</v>
      </c>
      <c r="C936" s="5144" t="s">
        <v>24</v>
      </c>
      <c r="D936" s="5144" t="s">
        <v>2205</v>
      </c>
      <c r="E936" s="5144" t="s">
        <v>2206</v>
      </c>
      <c r="F936" s="5144" t="s">
        <v>2207</v>
      </c>
      <c r="G936" s="5144" t="s">
        <v>24</v>
      </c>
      <c r="H936" s="5144" t="s">
        <v>24</v>
      </c>
      <c r="I936" s="5144" t="s">
        <v>808</v>
      </c>
    </row>
    <row customHeight="1" ht="11.25">
      <c r="A937" s="5144" t="s">
        <v>2177</v>
      </c>
      <c r="B937" s="5144" t="s">
        <v>14</v>
      </c>
      <c r="C937" s="5144" t="s">
        <v>24</v>
      </c>
      <c r="D937" s="5144" t="s">
        <v>2208</v>
      </c>
      <c r="E937" s="5144" t="s">
        <v>2209</v>
      </c>
      <c r="F937" s="5144" t="s">
        <v>2210</v>
      </c>
      <c r="G937" s="5144" t="s">
        <v>24</v>
      </c>
      <c r="H937" s="5144" t="s">
        <v>24</v>
      </c>
      <c r="I937" s="5144" t="s">
        <v>808</v>
      </c>
    </row>
    <row customHeight="1" ht="11.25">
      <c r="A938" s="5144" t="s">
        <v>2177</v>
      </c>
      <c r="B938" s="5144" t="s">
        <v>14</v>
      </c>
      <c r="C938" s="5144" t="s">
        <v>24</v>
      </c>
      <c r="D938" s="5144" t="s">
        <v>2211</v>
      </c>
      <c r="E938" s="5144" t="s">
        <v>2212</v>
      </c>
      <c r="F938" s="5144" t="s">
        <v>2186</v>
      </c>
      <c r="G938" s="5144" t="s">
        <v>24</v>
      </c>
      <c r="H938" s="5144" t="s">
        <v>24</v>
      </c>
      <c r="I938" s="5144" t="s">
        <v>808</v>
      </c>
    </row>
    <row customHeight="1" ht="11.25">
      <c r="A939" s="5144" t="s">
        <v>2177</v>
      </c>
      <c r="B939" s="5144" t="s">
        <v>14</v>
      </c>
      <c r="C939" s="5144" t="s">
        <v>24</v>
      </c>
      <c r="D939" s="5144" t="s">
        <v>2213</v>
      </c>
      <c r="E939" s="5144" t="s">
        <v>2214</v>
      </c>
      <c r="F939" s="5144" t="s">
        <v>2189</v>
      </c>
      <c r="G939" s="5144" t="s">
        <v>24</v>
      </c>
      <c r="H939" s="5144" t="s">
        <v>24</v>
      </c>
      <c r="I939" s="5144" t="s">
        <v>808</v>
      </c>
    </row>
    <row customHeight="1" ht="11.25">
      <c r="A940" s="5144" t="s">
        <v>2177</v>
      </c>
      <c r="B940" s="5144" t="s">
        <v>14</v>
      </c>
      <c r="C940" s="5144" t="s">
        <v>24</v>
      </c>
      <c r="D940" s="5144" t="s">
        <v>2215</v>
      </c>
      <c r="E940" s="5144" t="s">
        <v>2216</v>
      </c>
      <c r="F940" s="5144" t="s">
        <v>2202</v>
      </c>
      <c r="G940" s="5144" t="s">
        <v>24</v>
      </c>
      <c r="H940" s="5144" t="s">
        <v>24</v>
      </c>
      <c r="I940" s="5144" t="s">
        <v>808</v>
      </c>
    </row>
    <row customHeight="1" ht="11.25">
      <c r="A941" s="5144" t="s">
        <v>2177</v>
      </c>
      <c r="B941" s="5144" t="s">
        <v>14</v>
      </c>
      <c r="C941" s="5144" t="s">
        <v>24</v>
      </c>
      <c r="D941" s="5144" t="s">
        <v>2217</v>
      </c>
      <c r="E941" s="5144" t="s">
        <v>2218</v>
      </c>
      <c r="F941" s="5144" t="s">
        <v>2189</v>
      </c>
      <c r="G941" s="5144" t="s">
        <v>24</v>
      </c>
      <c r="H941" s="5144" t="s">
        <v>24</v>
      </c>
      <c r="I941" s="5144" t="s">
        <v>808</v>
      </c>
    </row>
    <row customHeight="1" ht="11.25">
      <c r="A942" s="5144" t="s">
        <v>2177</v>
      </c>
      <c r="B942" s="5144" t="s">
        <v>14</v>
      </c>
      <c r="C942" s="5144" t="s">
        <v>24</v>
      </c>
      <c r="D942" s="5144" t="s">
        <v>2219</v>
      </c>
      <c r="E942" s="5144" t="s">
        <v>2220</v>
      </c>
      <c r="F942" s="5144" t="s">
        <v>2221</v>
      </c>
      <c r="G942" s="5144" t="s">
        <v>24</v>
      </c>
      <c r="H942" s="5144" t="s">
        <v>24</v>
      </c>
      <c r="I942" s="5144" t="s">
        <v>808</v>
      </c>
    </row>
    <row customHeight="1" ht="11.25">
      <c r="A943" s="5144" t="s">
        <v>2177</v>
      </c>
      <c r="B943" s="5144" t="s">
        <v>14</v>
      </c>
      <c r="C943" s="5144" t="s">
        <v>24</v>
      </c>
      <c r="D943" s="5144" t="s">
        <v>2222</v>
      </c>
      <c r="E943" s="5144" t="s">
        <v>2223</v>
      </c>
      <c r="F943" s="5144" t="s">
        <v>2186</v>
      </c>
      <c r="G943" s="5144" t="s">
        <v>24</v>
      </c>
      <c r="H943" s="5144" t="s">
        <v>24</v>
      </c>
      <c r="I943" s="5144" t="s">
        <v>808</v>
      </c>
    </row>
    <row customHeight="1" ht="11.25">
      <c r="A944" s="5144" t="s">
        <v>2177</v>
      </c>
      <c r="B944" s="5144" t="s">
        <v>14</v>
      </c>
      <c r="C944" s="5144" t="s">
        <v>24</v>
      </c>
      <c r="D944" s="5144" t="s">
        <v>2224</v>
      </c>
      <c r="E944" s="5144" t="s">
        <v>2225</v>
      </c>
      <c r="F944" s="5144" t="s">
        <v>2226</v>
      </c>
      <c r="G944" s="5144" t="s">
        <v>24</v>
      </c>
      <c r="H944" s="5144" t="s">
        <v>24</v>
      </c>
      <c r="I944" s="5144" t="s">
        <v>808</v>
      </c>
    </row>
    <row customHeight="1" ht="11.25">
      <c r="A945" s="5144" t="s">
        <v>2177</v>
      </c>
      <c r="B945" s="5144" t="s">
        <v>14</v>
      </c>
      <c r="C945" s="5144" t="s">
        <v>24</v>
      </c>
      <c r="D945" s="5144" t="s">
        <v>2227</v>
      </c>
      <c r="E945" s="5144" t="s">
        <v>2228</v>
      </c>
      <c r="F945" s="5144" t="s">
        <v>2186</v>
      </c>
      <c r="G945" s="5144" t="s">
        <v>24</v>
      </c>
      <c r="H945" s="5144" t="s">
        <v>24</v>
      </c>
      <c r="I945" s="5144" t="s">
        <v>808</v>
      </c>
    </row>
    <row customHeight="1" ht="11.25">
      <c r="A946" s="5144" t="s">
        <v>2177</v>
      </c>
      <c r="B946" s="5144" t="s">
        <v>14</v>
      </c>
      <c r="C946" s="5144" t="s">
        <v>24</v>
      </c>
      <c r="D946" s="5144" t="s">
        <v>2229</v>
      </c>
      <c r="E946" s="5144" t="s">
        <v>2230</v>
      </c>
      <c r="F946" s="5144" t="s">
        <v>2231</v>
      </c>
      <c r="G946" s="5144" t="s">
        <v>24</v>
      </c>
      <c r="H946" s="5144" t="s">
        <v>24</v>
      </c>
      <c r="I946" s="5144" t="s">
        <v>808</v>
      </c>
    </row>
    <row customHeight="1" ht="11.25">
      <c r="A947" s="5144" t="s">
        <v>2177</v>
      </c>
      <c r="B947" s="5144" t="s">
        <v>14</v>
      </c>
      <c r="C947" s="5144" t="s">
        <v>24</v>
      </c>
      <c r="D947" s="5144" t="s">
        <v>2232</v>
      </c>
      <c r="E947" s="5144" t="s">
        <v>2233</v>
      </c>
      <c r="F947" s="5144" t="s">
        <v>2234</v>
      </c>
      <c r="G947" s="5144" t="s">
        <v>24</v>
      </c>
      <c r="H947" s="5144" t="s">
        <v>24</v>
      </c>
      <c r="I947" s="5144" t="s">
        <v>808</v>
      </c>
    </row>
    <row customHeight="1" ht="11.25">
      <c r="A948" s="5144" t="s">
        <v>2177</v>
      </c>
      <c r="B948" s="5144" t="s">
        <v>14</v>
      </c>
      <c r="C948" s="5144" t="s">
        <v>24</v>
      </c>
      <c r="D948" s="5144" t="s">
        <v>2235</v>
      </c>
      <c r="E948" s="5144" t="s">
        <v>2236</v>
      </c>
      <c r="F948" s="5144" t="s">
        <v>2231</v>
      </c>
      <c r="G948" s="5144" t="s">
        <v>24</v>
      </c>
      <c r="H948" s="5144" t="s">
        <v>24</v>
      </c>
      <c r="I948" s="5144" t="s">
        <v>808</v>
      </c>
    </row>
    <row customHeight="1" ht="11.25">
      <c r="A949" s="5144" t="s">
        <v>2177</v>
      </c>
      <c r="B949" s="5144" t="s">
        <v>14</v>
      </c>
      <c r="C949" s="5144" t="s">
        <v>24</v>
      </c>
      <c r="D949" s="5144" t="s">
        <v>2237</v>
      </c>
      <c r="E949" s="5144" t="s">
        <v>2238</v>
      </c>
      <c r="F949" s="5144" t="s">
        <v>2239</v>
      </c>
      <c r="G949" s="5144" t="s">
        <v>24</v>
      </c>
      <c r="H949" s="5144" t="s">
        <v>24</v>
      </c>
      <c r="I949" s="5144" t="s">
        <v>808</v>
      </c>
    </row>
    <row customHeight="1" ht="11.25">
      <c r="A950" s="5144" t="s">
        <v>2177</v>
      </c>
      <c r="B950" s="5144" t="s">
        <v>14</v>
      </c>
      <c r="C950" s="5144" t="s">
        <v>24</v>
      </c>
      <c r="D950" s="5144" t="s">
        <v>2240</v>
      </c>
      <c r="E950" s="5144" t="s">
        <v>2241</v>
      </c>
      <c r="F950" s="5144" t="s">
        <v>2231</v>
      </c>
      <c r="G950" s="5144" t="s">
        <v>24</v>
      </c>
      <c r="H950" s="5144" t="s">
        <v>24</v>
      </c>
      <c r="I950" s="5144" t="s">
        <v>808</v>
      </c>
    </row>
    <row customHeight="1" ht="11.25">
      <c r="A951" s="5144" t="s">
        <v>2177</v>
      </c>
      <c r="B951" s="5144" t="s">
        <v>14</v>
      </c>
      <c r="C951" s="5144" t="s">
        <v>24</v>
      </c>
      <c r="D951" s="5144" t="s">
        <v>2242</v>
      </c>
      <c r="E951" s="5144" t="s">
        <v>2243</v>
      </c>
      <c r="F951" s="5144" t="s">
        <v>2234</v>
      </c>
      <c r="G951" s="5144" t="s">
        <v>24</v>
      </c>
      <c r="H951" s="5144" t="s">
        <v>24</v>
      </c>
      <c r="I951" s="5144" t="s">
        <v>808</v>
      </c>
    </row>
    <row customHeight="1" ht="11.25">
      <c r="A952" s="5144" t="s">
        <v>2177</v>
      </c>
      <c r="B952" s="5144" t="s">
        <v>14</v>
      </c>
      <c r="C952" s="5144" t="s">
        <v>24</v>
      </c>
      <c r="D952" s="5144" t="s">
        <v>2244</v>
      </c>
      <c r="E952" s="5144" t="s">
        <v>2245</v>
      </c>
      <c r="F952" s="5144" t="s">
        <v>2231</v>
      </c>
      <c r="G952" s="5144" t="s">
        <v>24</v>
      </c>
      <c r="H952" s="5144" t="s">
        <v>24</v>
      </c>
      <c r="I952" s="5144" t="s">
        <v>808</v>
      </c>
    </row>
    <row customHeight="1" ht="11.25">
      <c r="A953" s="5144" t="s">
        <v>2177</v>
      </c>
      <c r="B953" s="5144" t="s">
        <v>14</v>
      </c>
      <c r="C953" s="5144" t="s">
        <v>24</v>
      </c>
      <c r="D953" s="5144" t="s">
        <v>2246</v>
      </c>
      <c r="E953" s="5144" t="s">
        <v>2247</v>
      </c>
      <c r="F953" s="5144" t="s">
        <v>2234</v>
      </c>
      <c r="G953" s="5144" t="s">
        <v>24</v>
      </c>
      <c r="H953" s="5144" t="s">
        <v>24</v>
      </c>
      <c r="I953" s="5144" t="s">
        <v>808</v>
      </c>
    </row>
    <row customHeight="1" ht="11.25">
      <c r="A954" s="5144" t="s">
        <v>2177</v>
      </c>
      <c r="B954" s="5144" t="s">
        <v>14</v>
      </c>
      <c r="C954" s="5144" t="s">
        <v>24</v>
      </c>
      <c r="D954" s="5144" t="s">
        <v>2248</v>
      </c>
      <c r="E954" s="5144" t="s">
        <v>2249</v>
      </c>
      <c r="F954" s="5144" t="s">
        <v>2234</v>
      </c>
      <c r="G954" s="5144" t="s">
        <v>24</v>
      </c>
      <c r="H954" s="5144" t="s">
        <v>24</v>
      </c>
      <c r="I954" s="5144" t="s">
        <v>808</v>
      </c>
    </row>
    <row customHeight="1" ht="11.25">
      <c r="A955" s="5144" t="s">
        <v>2177</v>
      </c>
      <c r="B955" s="5144" t="s">
        <v>14</v>
      </c>
      <c r="C955" s="5144" t="s">
        <v>24</v>
      </c>
      <c r="D955" s="5144" t="s">
        <v>2250</v>
      </c>
      <c r="E955" s="5144" t="s">
        <v>2251</v>
      </c>
      <c r="F955" s="5144" t="s">
        <v>2252</v>
      </c>
      <c r="G955" s="5144" t="s">
        <v>24</v>
      </c>
      <c r="H955" s="5144" t="s">
        <v>24</v>
      </c>
      <c r="I955" s="5144" t="s">
        <v>808</v>
      </c>
    </row>
    <row customHeight="1" ht="11.25">
      <c r="A956" s="5144" t="s">
        <v>2177</v>
      </c>
      <c r="B956" s="5144" t="s">
        <v>14</v>
      </c>
      <c r="C956" s="5144" t="s">
        <v>24</v>
      </c>
      <c r="D956" s="5144" t="s">
        <v>2253</v>
      </c>
      <c r="E956" s="5144" t="s">
        <v>2254</v>
      </c>
      <c r="F956" s="5144" t="s">
        <v>2192</v>
      </c>
      <c r="G956" s="5144" t="s">
        <v>24</v>
      </c>
      <c r="H956" s="5144" t="s">
        <v>24</v>
      </c>
      <c r="I956" s="5144" t="s">
        <v>808</v>
      </c>
    </row>
    <row customHeight="1" ht="11.25">
      <c r="A957" s="5144" t="s">
        <v>2177</v>
      </c>
      <c r="B957" s="5144" t="s">
        <v>14</v>
      </c>
      <c r="C957" s="5144" t="s">
        <v>24</v>
      </c>
      <c r="D957" s="5144" t="s">
        <v>2255</v>
      </c>
      <c r="E957" s="5144" t="s">
        <v>2256</v>
      </c>
      <c r="F957" s="5144" t="s">
        <v>2234</v>
      </c>
      <c r="G957" s="5144" t="s">
        <v>24</v>
      </c>
      <c r="H957" s="5144" t="s">
        <v>24</v>
      </c>
      <c r="I957" s="5144" t="s">
        <v>808</v>
      </c>
    </row>
    <row customHeight="1" ht="11.25">
      <c r="A958" s="5144" t="s">
        <v>2177</v>
      </c>
      <c r="B958" s="5144" t="s">
        <v>14</v>
      </c>
      <c r="C958" s="5144" t="s">
        <v>24</v>
      </c>
      <c r="D958" s="5144" t="s">
        <v>2257</v>
      </c>
      <c r="E958" s="5144" t="s">
        <v>2258</v>
      </c>
      <c r="F958" s="5144" t="s">
        <v>2239</v>
      </c>
      <c r="G958" s="5144" t="s">
        <v>24</v>
      </c>
      <c r="H958" s="5144" t="s">
        <v>24</v>
      </c>
      <c r="I958" s="5144" t="s">
        <v>808</v>
      </c>
    </row>
    <row customHeight="1" ht="11.25">
      <c r="A959" s="5144" t="s">
        <v>2177</v>
      </c>
      <c r="B959" s="5144" t="s">
        <v>14</v>
      </c>
      <c r="C959" s="5144" t="s">
        <v>24</v>
      </c>
      <c r="D959" s="5144" t="s">
        <v>2259</v>
      </c>
      <c r="E959" s="5144" t="s">
        <v>2260</v>
      </c>
      <c r="F959" s="5144" t="s">
        <v>2234</v>
      </c>
      <c r="G959" s="5144" t="s">
        <v>24</v>
      </c>
      <c r="H959" s="5144" t="s">
        <v>24</v>
      </c>
      <c r="I959" s="5144" t="s">
        <v>808</v>
      </c>
    </row>
    <row customHeight="1" ht="11.25">
      <c r="A960" s="5144" t="s">
        <v>2177</v>
      </c>
      <c r="B960" s="5144" t="s">
        <v>14</v>
      </c>
      <c r="C960" s="5144" t="s">
        <v>24</v>
      </c>
      <c r="D960" s="5144" t="s">
        <v>2261</v>
      </c>
      <c r="E960" s="5144" t="s">
        <v>2262</v>
      </c>
      <c r="F960" s="5144" t="s">
        <v>2202</v>
      </c>
      <c r="G960" s="5144" t="s">
        <v>24</v>
      </c>
      <c r="H960" s="5144" t="s">
        <v>24</v>
      </c>
      <c r="I960" s="5144" t="s">
        <v>808</v>
      </c>
    </row>
    <row customHeight="1" ht="11.25">
      <c r="A961" s="5144" t="s">
        <v>2177</v>
      </c>
      <c r="B961" s="5144" t="s">
        <v>14</v>
      </c>
      <c r="C961" s="5144" t="s">
        <v>24</v>
      </c>
      <c r="D961" s="5144" t="s">
        <v>2263</v>
      </c>
      <c r="E961" s="5144" t="s">
        <v>2264</v>
      </c>
      <c r="F961" s="5144" t="s">
        <v>2192</v>
      </c>
      <c r="G961" s="5144" t="s">
        <v>24</v>
      </c>
      <c r="H961" s="5144" t="s">
        <v>24</v>
      </c>
      <c r="I961" s="5144" t="s">
        <v>808</v>
      </c>
    </row>
    <row customHeight="1" ht="11.25">
      <c r="A962" s="5144" t="s">
        <v>2177</v>
      </c>
      <c r="B962" s="5144" t="s">
        <v>14</v>
      </c>
      <c r="C962" s="5144" t="s">
        <v>24</v>
      </c>
      <c r="D962" s="5144" t="s">
        <v>2265</v>
      </c>
      <c r="E962" s="5144" t="s">
        <v>2266</v>
      </c>
      <c r="F962" s="5144" t="s">
        <v>2202</v>
      </c>
      <c r="G962" s="5144" t="s">
        <v>24</v>
      </c>
      <c r="H962" s="5144" t="s">
        <v>24</v>
      </c>
      <c r="I962" s="5144" t="s">
        <v>808</v>
      </c>
    </row>
    <row customHeight="1" ht="11.25">
      <c r="A963" s="5144" t="s">
        <v>2177</v>
      </c>
      <c r="B963" s="5144" t="s">
        <v>14</v>
      </c>
      <c r="C963" s="5144" t="s">
        <v>24</v>
      </c>
      <c r="D963" s="5144" t="s">
        <v>2267</v>
      </c>
      <c r="E963" s="5144" t="s">
        <v>2268</v>
      </c>
      <c r="F963" s="5144" t="s">
        <v>2221</v>
      </c>
      <c r="G963" s="5144" t="s">
        <v>24</v>
      </c>
      <c r="H963" s="5144" t="s">
        <v>24</v>
      </c>
      <c r="I963" s="5144" t="s">
        <v>808</v>
      </c>
    </row>
    <row customHeight="1" ht="11.25">
      <c r="A964" s="5144" t="s">
        <v>2177</v>
      </c>
      <c r="B964" s="5144" t="s">
        <v>14</v>
      </c>
      <c r="C964" s="5144" t="s">
        <v>24</v>
      </c>
      <c r="D964" s="5144" t="s">
        <v>2269</v>
      </c>
      <c r="E964" s="5144" t="s">
        <v>2270</v>
      </c>
      <c r="F964" s="5144" t="s">
        <v>2231</v>
      </c>
      <c r="G964" s="5144" t="s">
        <v>24</v>
      </c>
      <c r="H964" s="5144" t="s">
        <v>24</v>
      </c>
      <c r="I964" s="5144" t="s">
        <v>808</v>
      </c>
    </row>
    <row customHeight="1" ht="11.25">
      <c r="A965" s="5144" t="s">
        <v>2177</v>
      </c>
      <c r="B965" s="5144" t="s">
        <v>14</v>
      </c>
      <c r="C965" s="5144" t="s">
        <v>24</v>
      </c>
      <c r="D965" s="5144" t="s">
        <v>2271</v>
      </c>
      <c r="E965" s="5144" t="s">
        <v>2272</v>
      </c>
      <c r="F965" s="5144" t="s">
        <v>2202</v>
      </c>
      <c r="G965" s="5144" t="s">
        <v>24</v>
      </c>
      <c r="H965" s="5144" t="s">
        <v>24</v>
      </c>
      <c r="I965" s="5144" t="s">
        <v>808</v>
      </c>
    </row>
    <row customHeight="1" ht="11.25">
      <c r="A966" s="5144" t="s">
        <v>2177</v>
      </c>
      <c r="B966" s="5144" t="s">
        <v>14</v>
      </c>
      <c r="C966" s="5144" t="s">
        <v>24</v>
      </c>
      <c r="D966" s="5144" t="s">
        <v>2273</v>
      </c>
      <c r="E966" s="5144" t="s">
        <v>2274</v>
      </c>
      <c r="F966" s="5144" t="s">
        <v>2231</v>
      </c>
      <c r="G966" s="5144" t="s">
        <v>24</v>
      </c>
      <c r="H966" s="5144" t="s">
        <v>24</v>
      </c>
      <c r="I966" s="5144" t="s">
        <v>808</v>
      </c>
    </row>
    <row customHeight="1" ht="11.25">
      <c r="A967" s="5144" t="s">
        <v>2177</v>
      </c>
      <c r="B967" s="5144" t="s">
        <v>14</v>
      </c>
      <c r="C967" s="5144" t="s">
        <v>24</v>
      </c>
      <c r="D967" s="5144" t="s">
        <v>2275</v>
      </c>
      <c r="E967" s="5144" t="s">
        <v>2276</v>
      </c>
      <c r="F967" s="5144" t="s">
        <v>2277</v>
      </c>
      <c r="G967" s="5144" t="s">
        <v>24</v>
      </c>
      <c r="H967" s="5144" t="s">
        <v>24</v>
      </c>
      <c r="I967" s="5144" t="s">
        <v>808</v>
      </c>
    </row>
    <row customHeight="1" ht="11.25">
      <c r="A968" s="5144" t="s">
        <v>2177</v>
      </c>
      <c r="B968" s="5144" t="s">
        <v>14</v>
      </c>
      <c r="C968" s="5144" t="s">
        <v>24</v>
      </c>
      <c r="D968" s="5144" t="s">
        <v>2278</v>
      </c>
      <c r="E968" s="5144" t="s">
        <v>2279</v>
      </c>
      <c r="F968" s="5144" t="s">
        <v>2202</v>
      </c>
      <c r="G968" s="5144" t="s">
        <v>24</v>
      </c>
      <c r="H968" s="5144" t="s">
        <v>24</v>
      </c>
      <c r="I968" s="5144" t="s">
        <v>808</v>
      </c>
    </row>
    <row customHeight="1" ht="11.25">
      <c r="A969" s="5144" t="s">
        <v>2177</v>
      </c>
      <c r="B969" s="5144" t="s">
        <v>14</v>
      </c>
      <c r="C969" s="5144" t="s">
        <v>24</v>
      </c>
      <c r="D969" s="5144" t="s">
        <v>2280</v>
      </c>
      <c r="E969" s="5144" t="s">
        <v>2281</v>
      </c>
      <c r="F969" s="5144" t="s">
        <v>2202</v>
      </c>
      <c r="G969" s="5144" t="s">
        <v>24</v>
      </c>
      <c r="H969" s="5144" t="s">
        <v>24</v>
      </c>
      <c r="I969" s="5144" t="s">
        <v>808</v>
      </c>
    </row>
    <row customHeight="1" ht="11.25">
      <c r="A970" s="5144" t="s">
        <v>2177</v>
      </c>
      <c r="B970" s="5144" t="s">
        <v>14</v>
      </c>
      <c r="C970" s="5144" t="s">
        <v>24</v>
      </c>
      <c r="D970" s="5144" t="s">
        <v>2282</v>
      </c>
      <c r="E970" s="5144" t="s">
        <v>2283</v>
      </c>
      <c r="F970" s="5144" t="s">
        <v>2202</v>
      </c>
      <c r="G970" s="5144" t="s">
        <v>24</v>
      </c>
      <c r="H970" s="5144" t="s">
        <v>24</v>
      </c>
      <c r="I970" s="5144" t="s">
        <v>808</v>
      </c>
    </row>
    <row customHeight="1" ht="11.25">
      <c r="A971" s="5144" t="s">
        <v>2177</v>
      </c>
      <c r="B971" s="5144" t="s">
        <v>14</v>
      </c>
      <c r="C971" s="5144" t="s">
        <v>24</v>
      </c>
      <c r="D971" s="5144" t="s">
        <v>2284</v>
      </c>
      <c r="E971" s="5144" t="s">
        <v>2285</v>
      </c>
      <c r="F971" s="5144" t="s">
        <v>2221</v>
      </c>
      <c r="G971" s="5144" t="s">
        <v>24</v>
      </c>
      <c r="H971" s="5144" t="s">
        <v>24</v>
      </c>
      <c r="I971" s="5144" t="s">
        <v>808</v>
      </c>
    </row>
    <row customHeight="1" ht="11.25">
      <c r="A972" s="5144" t="s">
        <v>2177</v>
      </c>
      <c r="B972" s="5144" t="s">
        <v>14</v>
      </c>
      <c r="C972" s="5144" t="s">
        <v>24</v>
      </c>
      <c r="D972" s="5144" t="s">
        <v>2286</v>
      </c>
      <c r="E972" s="5144" t="s">
        <v>2287</v>
      </c>
      <c r="F972" s="5144" t="s">
        <v>2288</v>
      </c>
      <c r="G972" s="5144" t="s">
        <v>24</v>
      </c>
      <c r="H972" s="5144" t="s">
        <v>24</v>
      </c>
      <c r="I972" s="5144" t="s">
        <v>808</v>
      </c>
    </row>
    <row customHeight="1" ht="11.25">
      <c r="A973" s="5144" t="s">
        <v>2177</v>
      </c>
      <c r="B973" s="5144" t="s">
        <v>14</v>
      </c>
      <c r="C973" s="5144" t="s">
        <v>24</v>
      </c>
      <c r="D973" s="5144" t="s">
        <v>2289</v>
      </c>
      <c r="E973" s="5144" t="s">
        <v>2290</v>
      </c>
      <c r="F973" s="5144" t="s">
        <v>2199</v>
      </c>
      <c r="G973" s="5144" t="s">
        <v>24</v>
      </c>
      <c r="H973" s="5144" t="s">
        <v>24</v>
      </c>
      <c r="I973" s="5144" t="s">
        <v>808</v>
      </c>
    </row>
    <row customHeight="1" ht="11.25">
      <c r="A974" s="5144" t="s">
        <v>2177</v>
      </c>
      <c r="B974" s="5144" t="s">
        <v>14</v>
      </c>
      <c r="C974" s="5144" t="s">
        <v>24</v>
      </c>
      <c r="D974" s="5144" t="s">
        <v>2291</v>
      </c>
      <c r="E974" s="5144" t="s">
        <v>2292</v>
      </c>
      <c r="F974" s="5144" t="s">
        <v>2192</v>
      </c>
      <c r="G974" s="5144" t="s">
        <v>24</v>
      </c>
      <c r="H974" s="5144" t="s">
        <v>24</v>
      </c>
      <c r="I974" s="5144" t="s">
        <v>808</v>
      </c>
    </row>
    <row customHeight="1" ht="11.25">
      <c r="A975" s="5144" t="s">
        <v>2177</v>
      </c>
      <c r="B975" s="5144" t="s">
        <v>14</v>
      </c>
      <c r="C975" s="5144" t="s">
        <v>24</v>
      </c>
      <c r="D975" s="5144" t="s">
        <v>2293</v>
      </c>
      <c r="E975" s="5144" t="s">
        <v>2294</v>
      </c>
      <c r="F975" s="5144" t="s">
        <v>2202</v>
      </c>
      <c r="G975" s="5144" t="s">
        <v>24</v>
      </c>
      <c r="H975" s="5144" t="s">
        <v>24</v>
      </c>
      <c r="I975" s="5144" t="s">
        <v>808</v>
      </c>
    </row>
    <row customHeight="1" ht="11.25">
      <c r="A976" s="5144" t="s">
        <v>2177</v>
      </c>
      <c r="B976" s="5144" t="s">
        <v>14</v>
      </c>
      <c r="C976" s="5144" t="s">
        <v>2295</v>
      </c>
      <c r="D976" s="5144" t="s">
        <v>2296</v>
      </c>
      <c r="E976" s="5144" t="s">
        <v>2297</v>
      </c>
      <c r="F976" s="5144" t="s">
        <v>2298</v>
      </c>
      <c r="G976" s="5144" t="s">
        <v>2299</v>
      </c>
      <c r="H976" s="5144" t="s">
        <v>24</v>
      </c>
      <c r="I976" s="5144" t="s">
        <v>808</v>
      </c>
    </row>
    <row customHeight="1" ht="11.25">
      <c r="A977" s="5144" t="s">
        <v>2177</v>
      </c>
      <c r="B977" s="5144" t="s">
        <v>14</v>
      </c>
      <c r="C977" s="5144" t="s">
        <v>2300</v>
      </c>
      <c r="D977" s="5144" t="s">
        <v>2301</v>
      </c>
      <c r="E977" s="5144" t="s">
        <v>2302</v>
      </c>
      <c r="F977" s="5144" t="s">
        <v>2180</v>
      </c>
      <c r="G977" s="5144" t="s">
        <v>2303</v>
      </c>
      <c r="H977" s="5144" t="s">
        <v>24</v>
      </c>
      <c r="I977" s="5144" t="s">
        <v>808</v>
      </c>
    </row>
    <row customHeight="1" ht="11.25">
      <c r="A978" s="5144" t="s">
        <v>2177</v>
      </c>
      <c r="B978" s="5144" t="s">
        <v>14</v>
      </c>
      <c r="C978" s="5144" t="s">
        <v>2308</v>
      </c>
      <c r="D978" s="5144" t="s">
        <v>2309</v>
      </c>
      <c r="E978" s="5144" t="s">
        <v>2310</v>
      </c>
      <c r="F978" s="5144" t="s">
        <v>2311</v>
      </c>
      <c r="G978" s="5144" t="s">
        <v>2312</v>
      </c>
      <c r="H978" s="5144" t="s">
        <v>24</v>
      </c>
      <c r="I978" s="5144" t="s">
        <v>808</v>
      </c>
    </row>
    <row customHeight="1" ht="11.25">
      <c r="A979" s="5144" t="s">
        <v>2177</v>
      </c>
      <c r="B979" s="5144" t="s">
        <v>14</v>
      </c>
      <c r="C979" s="5144" t="s">
        <v>2313</v>
      </c>
      <c r="D979" s="5144" t="s">
        <v>2314</v>
      </c>
      <c r="E979" s="5144" t="s">
        <v>2315</v>
      </c>
      <c r="F979" s="5144" t="s">
        <v>2316</v>
      </c>
      <c r="G979" s="5144" t="s">
        <v>2317</v>
      </c>
      <c r="H979" s="5144" t="s">
        <v>24</v>
      </c>
      <c r="I979" s="5144" t="s">
        <v>808</v>
      </c>
    </row>
    <row customHeight="1" ht="11.25">
      <c r="A980" s="5144" t="s">
        <v>2177</v>
      </c>
      <c r="B980" s="5144" t="s">
        <v>14</v>
      </c>
      <c r="C980" s="5144" t="s">
        <v>2318</v>
      </c>
      <c r="D980" s="5144" t="s">
        <v>2314</v>
      </c>
      <c r="E980" s="5144" t="s">
        <v>2315</v>
      </c>
      <c r="F980" s="5144" t="s">
        <v>2319</v>
      </c>
      <c r="G980" s="5144" t="s">
        <v>2317</v>
      </c>
      <c r="H980" s="5144" t="s">
        <v>24</v>
      </c>
      <c r="I980" s="5144" t="s">
        <v>808</v>
      </c>
    </row>
    <row customHeight="1" ht="11.25">
      <c r="A981" s="5144" t="s">
        <v>2177</v>
      </c>
      <c r="B981" s="5144" t="s">
        <v>14</v>
      </c>
      <c r="C981" s="5144" t="s">
        <v>4070</v>
      </c>
      <c r="D981" s="5144" t="s">
        <v>4071</v>
      </c>
      <c r="E981" s="5144" t="s">
        <v>4072</v>
      </c>
      <c r="F981" s="5144" t="s">
        <v>2673</v>
      </c>
      <c r="G981" s="5144" t="s">
        <v>4073</v>
      </c>
      <c r="H981" s="5144" t="s">
        <v>24</v>
      </c>
      <c r="I981" s="5144" t="s">
        <v>808</v>
      </c>
    </row>
    <row customHeight="1" ht="11.25">
      <c r="A982" s="5144" t="s">
        <v>2177</v>
      </c>
      <c r="B982" s="5144" t="s">
        <v>14</v>
      </c>
      <c r="C982" s="5144" t="s">
        <v>2336</v>
      </c>
      <c r="D982" s="5144" t="s">
        <v>2337</v>
      </c>
      <c r="E982" s="5144" t="s">
        <v>2338</v>
      </c>
      <c r="F982" s="5144" t="s">
        <v>2183</v>
      </c>
      <c r="G982" s="5144" t="s">
        <v>2339</v>
      </c>
      <c r="H982" s="5144" t="s">
        <v>24</v>
      </c>
      <c r="I982" s="5144" t="s">
        <v>808</v>
      </c>
    </row>
    <row customHeight="1" ht="11.25">
      <c r="A983" s="5144" t="s">
        <v>2177</v>
      </c>
      <c r="B983" s="5144" t="s">
        <v>14</v>
      </c>
      <c r="C983" s="5144" t="s">
        <v>3516</v>
      </c>
      <c r="D983" s="5144" t="s">
        <v>3517</v>
      </c>
      <c r="E983" s="5144" t="s">
        <v>3518</v>
      </c>
      <c r="F983" s="5144" t="s">
        <v>2231</v>
      </c>
      <c r="G983" s="5144" t="s">
        <v>3519</v>
      </c>
      <c r="H983" s="5144" t="s">
        <v>24</v>
      </c>
      <c r="I983" s="5144" t="s">
        <v>808</v>
      </c>
    </row>
    <row customHeight="1" ht="11.25">
      <c r="A984" s="5144" t="s">
        <v>2177</v>
      </c>
      <c r="B984" s="5144" t="s">
        <v>14</v>
      </c>
      <c r="C984" s="5144" t="s">
        <v>4074</v>
      </c>
      <c r="D984" s="5144" t="s">
        <v>4075</v>
      </c>
      <c r="E984" s="5144" t="s">
        <v>4076</v>
      </c>
      <c r="F984" s="5144" t="s">
        <v>2505</v>
      </c>
      <c r="G984" s="5144" t="s">
        <v>4077</v>
      </c>
      <c r="H984" s="5144" t="s">
        <v>24</v>
      </c>
      <c r="I984" s="5144" t="s">
        <v>808</v>
      </c>
    </row>
    <row customHeight="1" ht="11.25">
      <c r="A985" s="5144" t="s">
        <v>2177</v>
      </c>
      <c r="B985" s="5144" t="s">
        <v>14</v>
      </c>
      <c r="C985" s="5144" t="s">
        <v>2352</v>
      </c>
      <c r="D985" s="5144" t="s">
        <v>2353</v>
      </c>
      <c r="E985" s="5144" t="s">
        <v>2354</v>
      </c>
      <c r="F985" s="5144" t="s">
        <v>2207</v>
      </c>
      <c r="G985" s="5144" t="s">
        <v>2355</v>
      </c>
      <c r="H985" s="5144" t="s">
        <v>24</v>
      </c>
      <c r="I985" s="5144" t="s">
        <v>808</v>
      </c>
    </row>
    <row customHeight="1" ht="11.25">
      <c r="A986" s="5144" t="s">
        <v>2177</v>
      </c>
      <c r="B986" s="5144" t="s">
        <v>14</v>
      </c>
      <c r="C986" s="5144" t="s">
        <v>2361</v>
      </c>
      <c r="D986" s="5144" t="s">
        <v>2362</v>
      </c>
      <c r="E986" s="5144" t="s">
        <v>2363</v>
      </c>
      <c r="F986" s="5144" t="s">
        <v>2364</v>
      </c>
      <c r="G986" s="5144" t="s">
        <v>2365</v>
      </c>
      <c r="H986" s="5144" t="s">
        <v>24</v>
      </c>
      <c r="I986" s="5144" t="s">
        <v>808</v>
      </c>
    </row>
    <row customHeight="1" ht="11.25">
      <c r="A987" s="5144" t="s">
        <v>2177</v>
      </c>
      <c r="B987" s="5144" t="s">
        <v>14</v>
      </c>
      <c r="C987" s="5144" t="s">
        <v>2377</v>
      </c>
      <c r="D987" s="5144" t="s">
        <v>2378</v>
      </c>
      <c r="E987" s="5144" t="s">
        <v>2379</v>
      </c>
      <c r="F987" s="5144" t="s">
        <v>2202</v>
      </c>
      <c r="G987" s="5144" t="s">
        <v>24</v>
      </c>
      <c r="H987" s="5144" t="s">
        <v>24</v>
      </c>
      <c r="I987" s="5144" t="s">
        <v>808</v>
      </c>
    </row>
    <row customHeight="1" ht="11.25">
      <c r="A988" s="5144" t="s">
        <v>2177</v>
      </c>
      <c r="B988" s="5144" t="s">
        <v>14</v>
      </c>
      <c r="C988" s="5144" t="s">
        <v>2423</v>
      </c>
      <c r="D988" s="5144" t="s">
        <v>2424</v>
      </c>
      <c r="E988" s="5144" t="s">
        <v>2425</v>
      </c>
      <c r="F988" s="5144" t="s">
        <v>563</v>
      </c>
      <c r="G988" s="5144" t="s">
        <v>2426</v>
      </c>
      <c r="H988" s="5144" t="s">
        <v>24</v>
      </c>
      <c r="I988" s="5144" t="s">
        <v>808</v>
      </c>
    </row>
    <row customHeight="1" ht="11.25">
      <c r="A989" s="5144" t="s">
        <v>2177</v>
      </c>
      <c r="B989" s="5144" t="s">
        <v>14</v>
      </c>
      <c r="C989" s="5144" t="s">
        <v>24</v>
      </c>
      <c r="D989" s="5144" t="s">
        <v>2447</v>
      </c>
      <c r="E989" s="5144" t="s">
        <v>2448</v>
      </c>
      <c r="F989" s="5144" t="s">
        <v>2183</v>
      </c>
      <c r="G989" s="5144" t="s">
        <v>24</v>
      </c>
      <c r="H989" s="5144" t="s">
        <v>24</v>
      </c>
      <c r="I989" s="5144" t="s">
        <v>808</v>
      </c>
    </row>
    <row customHeight="1" ht="11.25">
      <c r="A990" s="5144" t="s">
        <v>2177</v>
      </c>
      <c r="B990" s="5144" t="s">
        <v>14</v>
      </c>
      <c r="C990" s="5144" t="s">
        <v>2449</v>
      </c>
      <c r="D990" s="5144" t="s">
        <v>2450</v>
      </c>
      <c r="E990" s="5144" t="s">
        <v>2451</v>
      </c>
      <c r="F990" s="5144" t="s">
        <v>2202</v>
      </c>
      <c r="G990" s="5144" t="s">
        <v>2452</v>
      </c>
      <c r="H990" s="5144" t="s">
        <v>24</v>
      </c>
      <c r="I990" s="5144" t="s">
        <v>808</v>
      </c>
    </row>
    <row customHeight="1" ht="11.25">
      <c r="A991" s="5144" t="s">
        <v>2177</v>
      </c>
      <c r="B991" s="5144" t="s">
        <v>14</v>
      </c>
      <c r="C991" s="5144" t="s">
        <v>24</v>
      </c>
      <c r="D991" s="5144" t="s">
        <v>2453</v>
      </c>
      <c r="E991" s="5144" t="s">
        <v>2454</v>
      </c>
      <c r="F991" s="5144" t="s">
        <v>2231</v>
      </c>
      <c r="G991" s="5144" t="s">
        <v>24</v>
      </c>
      <c r="H991" s="5144" t="s">
        <v>24</v>
      </c>
      <c r="I991" s="5144" t="s">
        <v>808</v>
      </c>
    </row>
    <row customHeight="1" ht="11.25">
      <c r="A992" s="5144" t="s">
        <v>2177</v>
      </c>
      <c r="B992" s="5144" t="s">
        <v>14</v>
      </c>
      <c r="C992" s="5144" t="s">
        <v>2477</v>
      </c>
      <c r="D992" s="5144" t="s">
        <v>2478</v>
      </c>
      <c r="E992" s="5144" t="s">
        <v>2479</v>
      </c>
      <c r="F992" s="5144" t="s">
        <v>2252</v>
      </c>
      <c r="G992" s="5144" t="s">
        <v>2480</v>
      </c>
      <c r="H992" s="5144" t="s">
        <v>24</v>
      </c>
      <c r="I992" s="5144" t="s">
        <v>808</v>
      </c>
    </row>
    <row customHeight="1" ht="11.25">
      <c r="A993" s="5144" t="s">
        <v>2177</v>
      </c>
      <c r="B993" s="5144" t="s">
        <v>14</v>
      </c>
      <c r="C993" s="5144" t="s">
        <v>24</v>
      </c>
      <c r="D993" s="5144" t="s">
        <v>2481</v>
      </c>
      <c r="E993" s="5144" t="s">
        <v>2482</v>
      </c>
      <c r="F993" s="5144" t="s">
        <v>2183</v>
      </c>
      <c r="G993" s="5144" t="s">
        <v>24</v>
      </c>
      <c r="H993" s="5144" t="s">
        <v>24</v>
      </c>
      <c r="I993" s="5144" t="s">
        <v>808</v>
      </c>
    </row>
    <row customHeight="1" ht="11.25">
      <c r="A994" s="5144" t="s">
        <v>2177</v>
      </c>
      <c r="B994" s="5144" t="s">
        <v>14</v>
      </c>
      <c r="C994" s="5144" t="s">
        <v>24</v>
      </c>
      <c r="D994" s="5144" t="s">
        <v>2483</v>
      </c>
      <c r="E994" s="5144" t="s">
        <v>2484</v>
      </c>
      <c r="F994" s="5144" t="s">
        <v>2277</v>
      </c>
      <c r="G994" s="5144" t="s">
        <v>24</v>
      </c>
      <c r="H994" s="5144" t="s">
        <v>24</v>
      </c>
      <c r="I994" s="5144" t="s">
        <v>808</v>
      </c>
    </row>
    <row customHeight="1" ht="11.25">
      <c r="A995" s="5144" t="s">
        <v>2177</v>
      </c>
      <c r="B995" s="5144" t="s">
        <v>14</v>
      </c>
      <c r="C995" s="5144" t="s">
        <v>24</v>
      </c>
      <c r="D995" s="5144" t="s">
        <v>2485</v>
      </c>
      <c r="E995" s="5144" t="s">
        <v>2486</v>
      </c>
      <c r="F995" s="5144" t="s">
        <v>2183</v>
      </c>
      <c r="G995" s="5144" t="s">
        <v>24</v>
      </c>
      <c r="H995" s="5144" t="s">
        <v>24</v>
      </c>
      <c r="I995" s="5144" t="s">
        <v>808</v>
      </c>
    </row>
    <row customHeight="1" ht="11.25">
      <c r="A996" s="5144" t="s">
        <v>2177</v>
      </c>
      <c r="B996" s="5144" t="s">
        <v>14</v>
      </c>
      <c r="C996" s="5144" t="s">
        <v>24</v>
      </c>
      <c r="D996" s="5144" t="s">
        <v>2487</v>
      </c>
      <c r="E996" s="5144" t="s">
        <v>2488</v>
      </c>
      <c r="F996" s="5144" t="s">
        <v>2277</v>
      </c>
      <c r="G996" s="5144" t="s">
        <v>24</v>
      </c>
      <c r="H996" s="5144" t="s">
        <v>24</v>
      </c>
      <c r="I996" s="5144" t="s">
        <v>808</v>
      </c>
    </row>
    <row customHeight="1" ht="11.25">
      <c r="A997" s="5144" t="s">
        <v>2177</v>
      </c>
      <c r="B997" s="5144" t="s">
        <v>14</v>
      </c>
      <c r="C997" s="5144" t="s">
        <v>2494</v>
      </c>
      <c r="D997" s="5144" t="s">
        <v>2495</v>
      </c>
      <c r="E997" s="5144" t="s">
        <v>2496</v>
      </c>
      <c r="F997" s="5144" t="s">
        <v>2252</v>
      </c>
      <c r="G997" s="5144" t="s">
        <v>2497</v>
      </c>
      <c r="H997" s="5144" t="s">
        <v>24</v>
      </c>
      <c r="I997" s="5144" t="s">
        <v>808</v>
      </c>
    </row>
    <row customHeight="1" ht="11.25">
      <c r="A998" s="5144" t="s">
        <v>2177</v>
      </c>
      <c r="B998" s="5144" t="s">
        <v>14</v>
      </c>
      <c r="C998" s="5144" t="s">
        <v>2502</v>
      </c>
      <c r="D998" s="5144" t="s">
        <v>2503</v>
      </c>
      <c r="E998" s="5144" t="s">
        <v>2504</v>
      </c>
      <c r="F998" s="5144" t="s">
        <v>2505</v>
      </c>
      <c r="G998" s="5144" t="s">
        <v>2506</v>
      </c>
      <c r="H998" s="5144" t="s">
        <v>24</v>
      </c>
      <c r="I998" s="5144" t="s">
        <v>808</v>
      </c>
    </row>
    <row customHeight="1" ht="11.25">
      <c r="A999" s="5144" t="s">
        <v>2177</v>
      </c>
      <c r="B999" s="5144" t="s">
        <v>14</v>
      </c>
      <c r="C999" s="5144" t="s">
        <v>2507</v>
      </c>
      <c r="D999" s="5144" t="s">
        <v>2508</v>
      </c>
      <c r="E999" s="5144" t="s">
        <v>2509</v>
      </c>
      <c r="F999" s="5144" t="s">
        <v>2510</v>
      </c>
      <c r="G999" s="5144" t="s">
        <v>2511</v>
      </c>
      <c r="H999" s="5144" t="s">
        <v>24</v>
      </c>
      <c r="I999" s="5144" t="s">
        <v>808</v>
      </c>
    </row>
    <row customHeight="1" ht="11.25">
      <c r="A1000" s="5144" t="s">
        <v>2177</v>
      </c>
      <c r="B1000" s="5144" t="s">
        <v>14</v>
      </c>
      <c r="C1000" s="5144" t="s">
        <v>3739</v>
      </c>
      <c r="D1000" s="5144" t="s">
        <v>3740</v>
      </c>
      <c r="E1000" s="5144" t="s">
        <v>3741</v>
      </c>
      <c r="F1000" s="5144" t="s">
        <v>51</v>
      </c>
      <c r="G1000" s="5144" t="s">
        <v>3742</v>
      </c>
      <c r="H1000" s="5144" t="s">
        <v>24</v>
      </c>
      <c r="I1000" s="5144" t="s">
        <v>808</v>
      </c>
    </row>
    <row customHeight="1" ht="11.25">
      <c r="A1001" s="5144" t="s">
        <v>2177</v>
      </c>
      <c r="B1001" s="5144" t="s">
        <v>14</v>
      </c>
      <c r="C1001" s="5144" t="s">
        <v>2512</v>
      </c>
      <c r="D1001" s="5144" t="s">
        <v>2513</v>
      </c>
      <c r="E1001" s="5144" t="s">
        <v>2514</v>
      </c>
      <c r="F1001" s="5144" t="s">
        <v>2515</v>
      </c>
      <c r="G1001" s="5144" t="s">
        <v>2516</v>
      </c>
      <c r="H1001" s="5144" t="s">
        <v>24</v>
      </c>
      <c r="I1001" s="5144" t="s">
        <v>808</v>
      </c>
    </row>
    <row customHeight="1" ht="11.25">
      <c r="A1002" s="5144" t="s">
        <v>2177</v>
      </c>
      <c r="B1002" s="5144" t="s">
        <v>14</v>
      </c>
      <c r="C1002" s="5144" t="s">
        <v>3743</v>
      </c>
      <c r="D1002" s="5144" t="s">
        <v>3744</v>
      </c>
      <c r="E1002" s="5144" t="s">
        <v>3745</v>
      </c>
      <c r="F1002" s="5144" t="s">
        <v>2183</v>
      </c>
      <c r="G1002" s="5144" t="s">
        <v>24</v>
      </c>
      <c r="H1002" s="5144" t="s">
        <v>24</v>
      </c>
      <c r="I1002" s="5144" t="s">
        <v>808</v>
      </c>
    </row>
    <row customHeight="1" ht="11.25">
      <c r="A1003" s="5144" t="s">
        <v>2177</v>
      </c>
      <c r="B1003" s="5144" t="s">
        <v>14</v>
      </c>
      <c r="C1003" s="5144" t="s">
        <v>4078</v>
      </c>
      <c r="D1003" s="5144" t="s">
        <v>4079</v>
      </c>
      <c r="E1003" s="5144" t="s">
        <v>4080</v>
      </c>
      <c r="F1003" s="5144" t="s">
        <v>2186</v>
      </c>
      <c r="G1003" s="5144" t="s">
        <v>4081</v>
      </c>
      <c r="H1003" s="5144" t="s">
        <v>24</v>
      </c>
      <c r="I1003" s="5144" t="s">
        <v>808</v>
      </c>
    </row>
    <row customHeight="1" ht="11.25">
      <c r="A1004" s="5144" t="s">
        <v>2177</v>
      </c>
      <c r="B1004" s="5144" t="s">
        <v>14</v>
      </c>
      <c r="C1004" s="5144" t="s">
        <v>2530</v>
      </c>
      <c r="D1004" s="5144" t="s">
        <v>2531</v>
      </c>
      <c r="E1004" s="5144" t="s">
        <v>2532</v>
      </c>
      <c r="F1004" s="5144" t="s">
        <v>2252</v>
      </c>
      <c r="G1004" s="5144" t="s">
        <v>2533</v>
      </c>
      <c r="H1004" s="5144" t="s">
        <v>24</v>
      </c>
      <c r="I1004" s="5144" t="s">
        <v>808</v>
      </c>
    </row>
    <row customHeight="1" ht="11.25">
      <c r="A1005" s="5144" t="s">
        <v>2177</v>
      </c>
      <c r="B1005" s="5144" t="s">
        <v>14</v>
      </c>
      <c r="C1005" s="5144" t="s">
        <v>2546</v>
      </c>
      <c r="D1005" s="5144" t="s">
        <v>2547</v>
      </c>
      <c r="E1005" s="5144" t="s">
        <v>2548</v>
      </c>
      <c r="F1005" s="5144" t="s">
        <v>2202</v>
      </c>
      <c r="G1005" s="5144" t="s">
        <v>2549</v>
      </c>
      <c r="H1005" s="5144" t="s">
        <v>24</v>
      </c>
      <c r="I1005" s="5144" t="s">
        <v>808</v>
      </c>
    </row>
    <row customHeight="1" ht="11.25">
      <c r="A1006" s="5144" t="s">
        <v>2177</v>
      </c>
      <c r="B1006" s="5144" t="s">
        <v>14</v>
      </c>
      <c r="C1006" s="5144" t="s">
        <v>2550</v>
      </c>
      <c r="D1006" s="5144" t="s">
        <v>2551</v>
      </c>
      <c r="E1006" s="5144" t="s">
        <v>2552</v>
      </c>
      <c r="F1006" s="5144" t="s">
        <v>2186</v>
      </c>
      <c r="G1006" s="5144" t="s">
        <v>2553</v>
      </c>
      <c r="H1006" s="5144" t="s">
        <v>24</v>
      </c>
      <c r="I1006" s="5144" t="s">
        <v>808</v>
      </c>
    </row>
    <row customHeight="1" ht="11.25">
      <c r="A1007" s="5144" t="s">
        <v>2177</v>
      </c>
      <c r="B1007" s="5144" t="s">
        <v>14</v>
      </c>
      <c r="C1007" s="5144" t="s">
        <v>4082</v>
      </c>
      <c r="D1007" s="5144" t="s">
        <v>4083</v>
      </c>
      <c r="E1007" s="5144" t="s">
        <v>4084</v>
      </c>
      <c r="F1007" s="5144" t="s">
        <v>2186</v>
      </c>
      <c r="G1007" s="5144" t="s">
        <v>4085</v>
      </c>
      <c r="H1007" s="5144" t="s">
        <v>24</v>
      </c>
      <c r="I1007" s="5144" t="s">
        <v>808</v>
      </c>
    </row>
    <row customHeight="1" ht="11.25">
      <c r="A1008" s="5144" t="s">
        <v>2177</v>
      </c>
      <c r="B1008" s="5144" t="s">
        <v>14</v>
      </c>
      <c r="C1008" s="5144" t="s">
        <v>4086</v>
      </c>
      <c r="D1008" s="5144" t="s">
        <v>4087</v>
      </c>
      <c r="E1008" s="5144" t="s">
        <v>4088</v>
      </c>
      <c r="F1008" s="5144" t="s">
        <v>2740</v>
      </c>
      <c r="G1008" s="5144" t="s">
        <v>4089</v>
      </c>
      <c r="H1008" s="5144" t="s">
        <v>24</v>
      </c>
      <c r="I1008" s="5144" t="s">
        <v>808</v>
      </c>
    </row>
    <row customHeight="1" ht="11.25">
      <c r="A1009" s="5144" t="s">
        <v>2177</v>
      </c>
      <c r="B1009" s="5144" t="s">
        <v>14</v>
      </c>
      <c r="C1009" s="5144" t="s">
        <v>2558</v>
      </c>
      <c r="D1009" s="5144" t="s">
        <v>2559</v>
      </c>
      <c r="E1009" s="5144" t="s">
        <v>2560</v>
      </c>
      <c r="F1009" s="5144" t="s">
        <v>2221</v>
      </c>
      <c r="G1009" s="5144" t="s">
        <v>2561</v>
      </c>
      <c r="H1009" s="5144" t="s">
        <v>24</v>
      </c>
      <c r="I1009" s="5144" t="s">
        <v>808</v>
      </c>
    </row>
    <row customHeight="1" ht="11.25">
      <c r="A1010" s="5144" t="s">
        <v>2177</v>
      </c>
      <c r="B1010" s="5144" t="s">
        <v>14</v>
      </c>
      <c r="C1010" s="5144" t="s">
        <v>2574</v>
      </c>
      <c r="D1010" s="5144" t="s">
        <v>2575</v>
      </c>
      <c r="E1010" s="5144" t="s">
        <v>2576</v>
      </c>
      <c r="F1010" s="5144" t="s">
        <v>2252</v>
      </c>
      <c r="G1010" s="5144" t="s">
        <v>2577</v>
      </c>
      <c r="H1010" s="5144" t="s">
        <v>24</v>
      </c>
      <c r="I1010" s="5144" t="s">
        <v>808</v>
      </c>
    </row>
    <row customHeight="1" ht="11.25">
      <c r="A1011" s="5144" t="s">
        <v>2177</v>
      </c>
      <c r="B1011" s="5144" t="s">
        <v>14</v>
      </c>
      <c r="C1011" s="5144" t="s">
        <v>2587</v>
      </c>
      <c r="D1011" s="5144" t="s">
        <v>2588</v>
      </c>
      <c r="E1011" s="5144" t="s">
        <v>2589</v>
      </c>
      <c r="F1011" s="5144" t="s">
        <v>2505</v>
      </c>
      <c r="G1011" s="5144" t="s">
        <v>2590</v>
      </c>
      <c r="H1011" s="5144" t="s">
        <v>24</v>
      </c>
      <c r="I1011" s="5144" t="s">
        <v>808</v>
      </c>
    </row>
    <row customHeight="1" ht="11.25">
      <c r="A1012" s="5144" t="s">
        <v>2177</v>
      </c>
      <c r="B1012" s="5144" t="s">
        <v>14</v>
      </c>
      <c r="C1012" s="5144" t="s">
        <v>2591</v>
      </c>
      <c r="D1012" s="5144" t="s">
        <v>2592</v>
      </c>
      <c r="E1012" s="5144" t="s">
        <v>2593</v>
      </c>
      <c r="F1012" s="5144" t="s">
        <v>2192</v>
      </c>
      <c r="G1012" s="5144" t="s">
        <v>2594</v>
      </c>
      <c r="H1012" s="5144" t="s">
        <v>24</v>
      </c>
      <c r="I1012" s="5144" t="s">
        <v>808</v>
      </c>
    </row>
    <row customHeight="1" ht="11.25">
      <c r="A1013" s="5144" t="s">
        <v>2177</v>
      </c>
      <c r="B1013" s="5144" t="s">
        <v>14</v>
      </c>
      <c r="C1013" s="5144" t="s">
        <v>2595</v>
      </c>
      <c r="D1013" s="5144" t="s">
        <v>2596</v>
      </c>
      <c r="E1013" s="5144" t="s">
        <v>2597</v>
      </c>
      <c r="F1013" s="5144" t="s">
        <v>2505</v>
      </c>
      <c r="G1013" s="5144" t="s">
        <v>2598</v>
      </c>
      <c r="H1013" s="5144" t="s">
        <v>24</v>
      </c>
      <c r="I1013" s="5144" t="s">
        <v>808</v>
      </c>
    </row>
    <row customHeight="1" ht="11.25">
      <c r="A1014" s="5144" t="s">
        <v>2177</v>
      </c>
      <c r="B1014" s="5144" t="s">
        <v>14</v>
      </c>
      <c r="C1014" s="5144" t="s">
        <v>2599</v>
      </c>
      <c r="D1014" s="5144" t="s">
        <v>2600</v>
      </c>
      <c r="E1014" s="5144" t="s">
        <v>2601</v>
      </c>
      <c r="F1014" s="5144" t="s">
        <v>2602</v>
      </c>
      <c r="G1014" s="5144" t="s">
        <v>2603</v>
      </c>
      <c r="H1014" s="5144" t="s">
        <v>2604</v>
      </c>
      <c r="I1014" s="5144" t="s">
        <v>808</v>
      </c>
    </row>
    <row customHeight="1" ht="11.25">
      <c r="A1015" s="5144" t="s">
        <v>2177</v>
      </c>
      <c r="B1015" s="5144" t="s">
        <v>14</v>
      </c>
      <c r="C1015" s="5144" t="s">
        <v>2605</v>
      </c>
      <c r="D1015" s="5144" t="s">
        <v>2606</v>
      </c>
      <c r="E1015" s="5144" t="s">
        <v>2607</v>
      </c>
      <c r="F1015" s="5144" t="s">
        <v>2252</v>
      </c>
      <c r="G1015" s="5144" t="s">
        <v>2608</v>
      </c>
      <c r="H1015" s="5144" t="s">
        <v>24</v>
      </c>
      <c r="I1015" s="5144" t="s">
        <v>808</v>
      </c>
    </row>
    <row customHeight="1" ht="11.25">
      <c r="A1016" s="5144" t="s">
        <v>2177</v>
      </c>
      <c r="B1016" s="5144" t="s">
        <v>14</v>
      </c>
      <c r="C1016" s="5144" t="s">
        <v>2609</v>
      </c>
      <c r="D1016" s="5144" t="s">
        <v>2610</v>
      </c>
      <c r="E1016" s="5144" t="s">
        <v>2611</v>
      </c>
      <c r="F1016" s="5144" t="s">
        <v>2505</v>
      </c>
      <c r="G1016" s="5144" t="s">
        <v>2612</v>
      </c>
      <c r="H1016" s="5144" t="s">
        <v>2613</v>
      </c>
      <c r="I1016" s="5144" t="s">
        <v>808</v>
      </c>
    </row>
    <row customHeight="1" ht="11.25">
      <c r="A1017" s="5144" t="s">
        <v>2177</v>
      </c>
      <c r="B1017" s="5144" t="s">
        <v>14</v>
      </c>
      <c r="C1017" s="5144" t="s">
        <v>2614</v>
      </c>
      <c r="D1017" s="5144" t="s">
        <v>2615</v>
      </c>
      <c r="E1017" s="5144" t="s">
        <v>2616</v>
      </c>
      <c r="F1017" s="5144" t="s">
        <v>2505</v>
      </c>
      <c r="G1017" s="5144" t="s">
        <v>2617</v>
      </c>
      <c r="H1017" s="5144" t="s">
        <v>24</v>
      </c>
      <c r="I1017" s="5144" t="s">
        <v>808</v>
      </c>
    </row>
    <row customHeight="1" ht="11.25">
      <c r="A1018" s="5144" t="s">
        <v>2177</v>
      </c>
      <c r="B1018" s="5144" t="s">
        <v>14</v>
      </c>
      <c r="C1018" s="5144" t="s">
        <v>2618</v>
      </c>
      <c r="D1018" s="5144" t="s">
        <v>2619</v>
      </c>
      <c r="E1018" s="5144" t="s">
        <v>2620</v>
      </c>
      <c r="F1018" s="5144" t="s">
        <v>2505</v>
      </c>
      <c r="G1018" s="5144" t="s">
        <v>2621</v>
      </c>
      <c r="H1018" s="5144" t="s">
        <v>24</v>
      </c>
      <c r="I1018" s="5144" t="s">
        <v>808</v>
      </c>
    </row>
    <row customHeight="1" ht="11.25">
      <c r="A1019" s="5144" t="s">
        <v>2177</v>
      </c>
      <c r="B1019" s="5144" t="s">
        <v>14</v>
      </c>
      <c r="C1019" s="5144" t="s">
        <v>2633</v>
      </c>
      <c r="D1019" s="5144" t="s">
        <v>2634</v>
      </c>
      <c r="E1019" s="5144" t="s">
        <v>2635</v>
      </c>
      <c r="F1019" s="5144" t="s">
        <v>2231</v>
      </c>
      <c r="G1019" s="5144" t="s">
        <v>24</v>
      </c>
      <c r="H1019" s="5144" t="s">
        <v>24</v>
      </c>
      <c r="I1019" s="5144" t="s">
        <v>808</v>
      </c>
    </row>
    <row customHeight="1" ht="11.25">
      <c r="A1020" s="5144" t="s">
        <v>2177</v>
      </c>
      <c r="B1020" s="5144" t="s">
        <v>14</v>
      </c>
      <c r="C1020" s="5144" t="s">
        <v>2636</v>
      </c>
      <c r="D1020" s="5144" t="s">
        <v>2637</v>
      </c>
      <c r="E1020" s="5144" t="s">
        <v>2638</v>
      </c>
      <c r="F1020" s="5144" t="s">
        <v>2186</v>
      </c>
      <c r="G1020" s="5144" t="s">
        <v>2639</v>
      </c>
      <c r="H1020" s="5144" t="s">
        <v>24</v>
      </c>
      <c r="I1020" s="5144" t="s">
        <v>808</v>
      </c>
    </row>
    <row customHeight="1" ht="11.25">
      <c r="A1021" s="5144" t="s">
        <v>2177</v>
      </c>
      <c r="B1021" s="5144" t="s">
        <v>14</v>
      </c>
      <c r="C1021" s="5144" t="s">
        <v>2647</v>
      </c>
      <c r="D1021" s="5144" t="s">
        <v>2648</v>
      </c>
      <c r="E1021" s="5144" t="s">
        <v>2649</v>
      </c>
      <c r="F1021" s="5144" t="s">
        <v>2186</v>
      </c>
      <c r="G1021" s="5144" t="s">
        <v>2650</v>
      </c>
      <c r="H1021" s="5144" t="s">
        <v>24</v>
      </c>
      <c r="I1021" s="5144" t="s">
        <v>808</v>
      </c>
    </row>
    <row customHeight="1" ht="11.25">
      <c r="A1022" s="5144" t="s">
        <v>2177</v>
      </c>
      <c r="B1022" s="5144" t="s">
        <v>14</v>
      </c>
      <c r="C1022" s="5144" t="s">
        <v>2651</v>
      </c>
      <c r="D1022" s="5144" t="s">
        <v>2652</v>
      </c>
      <c r="E1022" s="5144" t="s">
        <v>2653</v>
      </c>
      <c r="F1022" s="5144" t="s">
        <v>2186</v>
      </c>
      <c r="G1022" s="5144" t="s">
        <v>2654</v>
      </c>
      <c r="H1022" s="5144" t="s">
        <v>24</v>
      </c>
      <c r="I1022" s="5144" t="s">
        <v>808</v>
      </c>
    </row>
    <row customHeight="1" ht="11.25">
      <c r="A1023" s="5144" t="s">
        <v>2177</v>
      </c>
      <c r="B1023" s="5144" t="s">
        <v>14</v>
      </c>
      <c r="C1023" s="5144" t="s">
        <v>2659</v>
      </c>
      <c r="D1023" s="5144" t="s">
        <v>2660</v>
      </c>
      <c r="E1023" s="5144" t="s">
        <v>2661</v>
      </c>
      <c r="F1023" s="5144" t="s">
        <v>2252</v>
      </c>
      <c r="G1023" s="5144" t="s">
        <v>2662</v>
      </c>
      <c r="H1023" s="5144" t="s">
        <v>24</v>
      </c>
      <c r="I1023" s="5144" t="s">
        <v>808</v>
      </c>
    </row>
    <row customHeight="1" ht="11.25">
      <c r="A1024" s="5144" t="s">
        <v>2177</v>
      </c>
      <c r="B1024" s="5144" t="s">
        <v>14</v>
      </c>
      <c r="C1024" s="5144" t="s">
        <v>2666</v>
      </c>
      <c r="D1024" s="5144" t="s">
        <v>2667</v>
      </c>
      <c r="E1024" s="5144" t="s">
        <v>2668</v>
      </c>
      <c r="F1024" s="5144" t="s">
        <v>2669</v>
      </c>
      <c r="G1024" s="5144" t="s">
        <v>24</v>
      </c>
      <c r="H1024" s="5144" t="s">
        <v>24</v>
      </c>
      <c r="I1024" s="5144" t="s">
        <v>808</v>
      </c>
    </row>
    <row customHeight="1" ht="11.25">
      <c r="A1025" s="5144" t="s">
        <v>2177</v>
      </c>
      <c r="B1025" s="5144" t="s">
        <v>14</v>
      </c>
      <c r="C1025" s="5144" t="s">
        <v>3796</v>
      </c>
      <c r="D1025" s="5144" t="s">
        <v>3797</v>
      </c>
      <c r="E1025" s="5144" t="s">
        <v>3798</v>
      </c>
      <c r="F1025" s="5144" t="s">
        <v>2231</v>
      </c>
      <c r="G1025" s="5144" t="s">
        <v>3799</v>
      </c>
      <c r="H1025" s="5144" t="s">
        <v>24</v>
      </c>
      <c r="I1025" s="5144" t="s">
        <v>808</v>
      </c>
    </row>
    <row customHeight="1" ht="11.25">
      <c r="A1026" s="5144" t="s">
        <v>2177</v>
      </c>
      <c r="B1026" s="5144" t="s">
        <v>14</v>
      </c>
      <c r="C1026" s="5144" t="s">
        <v>2670</v>
      </c>
      <c r="D1026" s="5144" t="s">
        <v>2671</v>
      </c>
      <c r="E1026" s="5144" t="s">
        <v>2672</v>
      </c>
      <c r="F1026" s="5144" t="s">
        <v>2673</v>
      </c>
      <c r="G1026" s="5144" t="s">
        <v>2674</v>
      </c>
      <c r="H1026" s="5144" t="s">
        <v>24</v>
      </c>
      <c r="I1026" s="5144" t="s">
        <v>808</v>
      </c>
    </row>
    <row customHeight="1" ht="11.25">
      <c r="A1027" s="5144" t="s">
        <v>2177</v>
      </c>
      <c r="B1027" s="5144" t="s">
        <v>14</v>
      </c>
      <c r="C1027" s="5144" t="s">
        <v>2683</v>
      </c>
      <c r="D1027" s="5144" t="s">
        <v>2684</v>
      </c>
      <c r="E1027" s="5144" t="s">
        <v>2685</v>
      </c>
      <c r="F1027" s="5144" t="s">
        <v>2231</v>
      </c>
      <c r="G1027" s="5144" t="s">
        <v>2686</v>
      </c>
      <c r="H1027" s="5144" t="s">
        <v>24</v>
      </c>
      <c r="I1027" s="5144" t="s">
        <v>808</v>
      </c>
    </row>
    <row customHeight="1" ht="11.25">
      <c r="A1028" s="5144" t="s">
        <v>2177</v>
      </c>
      <c r="B1028" s="5144" t="s">
        <v>14</v>
      </c>
      <c r="C1028" s="5144" t="s">
        <v>2687</v>
      </c>
      <c r="D1028" s="5144" t="s">
        <v>2688</v>
      </c>
      <c r="E1028" s="5144" t="s">
        <v>2689</v>
      </c>
      <c r="F1028" s="5144" t="s">
        <v>2252</v>
      </c>
      <c r="G1028" s="5144" t="s">
        <v>2613</v>
      </c>
      <c r="H1028" s="5144" t="s">
        <v>24</v>
      </c>
      <c r="I1028" s="5144" t="s">
        <v>808</v>
      </c>
    </row>
    <row customHeight="1" ht="11.25">
      <c r="A1029" s="5144" t="s">
        <v>2177</v>
      </c>
      <c r="B1029" s="5144" t="s">
        <v>14</v>
      </c>
      <c r="C1029" s="5144" t="s">
        <v>2690</v>
      </c>
      <c r="D1029" s="5144" t="s">
        <v>2688</v>
      </c>
      <c r="E1029" s="5144" t="s">
        <v>2691</v>
      </c>
      <c r="F1029" s="5144" t="s">
        <v>2505</v>
      </c>
      <c r="G1029" s="5144" t="s">
        <v>2692</v>
      </c>
      <c r="H1029" s="5144" t="s">
        <v>24</v>
      </c>
      <c r="I1029" s="5144" t="s">
        <v>808</v>
      </c>
    </row>
    <row customHeight="1" ht="11.25">
      <c r="A1030" s="5144" t="s">
        <v>2177</v>
      </c>
      <c r="B1030" s="5144" t="s">
        <v>14</v>
      </c>
      <c r="C1030" s="5144" t="s">
        <v>2703</v>
      </c>
      <c r="D1030" s="5144" t="s">
        <v>2704</v>
      </c>
      <c r="E1030" s="5144" t="s">
        <v>2705</v>
      </c>
      <c r="F1030" s="5144" t="s">
        <v>2180</v>
      </c>
      <c r="G1030" s="5144" t="s">
        <v>2706</v>
      </c>
      <c r="H1030" s="5144" t="s">
        <v>24</v>
      </c>
      <c r="I1030" s="5144" t="s">
        <v>808</v>
      </c>
    </row>
    <row customHeight="1" ht="11.25">
      <c r="A1031" s="5144" t="s">
        <v>2177</v>
      </c>
      <c r="B1031" s="5144" t="s">
        <v>14</v>
      </c>
      <c r="C1031" s="5144" t="s">
        <v>2707</v>
      </c>
      <c r="D1031" s="5144" t="s">
        <v>2708</v>
      </c>
      <c r="E1031" s="5144" t="s">
        <v>2709</v>
      </c>
      <c r="F1031" s="5144" t="s">
        <v>2505</v>
      </c>
      <c r="G1031" s="5144" t="s">
        <v>2710</v>
      </c>
      <c r="H1031" s="5144" t="s">
        <v>24</v>
      </c>
      <c r="I1031" s="5144" t="s">
        <v>808</v>
      </c>
    </row>
    <row customHeight="1" ht="11.25">
      <c r="A1032" s="5144" t="s">
        <v>2177</v>
      </c>
      <c r="B1032" s="5144" t="s">
        <v>14</v>
      </c>
      <c r="C1032" s="5144" t="s">
        <v>2719</v>
      </c>
      <c r="D1032" s="5144" t="s">
        <v>2720</v>
      </c>
      <c r="E1032" s="5144" t="s">
        <v>2721</v>
      </c>
      <c r="F1032" s="5144" t="s">
        <v>2207</v>
      </c>
      <c r="G1032" s="5144" t="s">
        <v>2722</v>
      </c>
      <c r="H1032" s="5144" t="s">
        <v>24</v>
      </c>
      <c r="I1032" s="5144" t="s">
        <v>808</v>
      </c>
    </row>
    <row customHeight="1" ht="11.25">
      <c r="A1033" s="5144" t="s">
        <v>2177</v>
      </c>
      <c r="B1033" s="5144" t="s">
        <v>14</v>
      </c>
      <c r="C1033" s="5144" t="s">
        <v>3823</v>
      </c>
      <c r="D1033" s="5144" t="s">
        <v>3824</v>
      </c>
      <c r="E1033" s="5144" t="s">
        <v>3825</v>
      </c>
      <c r="F1033" s="5144" t="s">
        <v>2505</v>
      </c>
      <c r="G1033" s="5144" t="s">
        <v>3826</v>
      </c>
      <c r="H1033" s="5144" t="s">
        <v>24</v>
      </c>
      <c r="I1033" s="5144" t="s">
        <v>808</v>
      </c>
    </row>
    <row customHeight="1" ht="11.25">
      <c r="A1034" s="5144" t="s">
        <v>2177</v>
      </c>
      <c r="B1034" s="5144" t="s">
        <v>14</v>
      </c>
      <c r="C1034" s="5144" t="s">
        <v>2727</v>
      </c>
      <c r="D1034" s="5144" t="s">
        <v>2728</v>
      </c>
      <c r="E1034" s="5144" t="s">
        <v>2729</v>
      </c>
      <c r="F1034" s="5144" t="s">
        <v>2467</v>
      </c>
      <c r="G1034" s="5144" t="s">
        <v>24</v>
      </c>
      <c r="H1034" s="5144" t="s">
        <v>24</v>
      </c>
      <c r="I1034" s="5144" t="s">
        <v>808</v>
      </c>
    </row>
    <row customHeight="1" ht="11.25">
      <c r="A1035" s="5144" t="s">
        <v>2177</v>
      </c>
      <c r="B1035" s="5144" t="s">
        <v>14</v>
      </c>
      <c r="C1035" s="5144" t="s">
        <v>2730</v>
      </c>
      <c r="D1035" s="5144" t="s">
        <v>2731</v>
      </c>
      <c r="E1035" s="5144" t="s">
        <v>2732</v>
      </c>
      <c r="F1035" s="5144" t="s">
        <v>2505</v>
      </c>
      <c r="G1035" s="5144" t="s">
        <v>24</v>
      </c>
      <c r="H1035" s="5144" t="s">
        <v>24</v>
      </c>
      <c r="I1035" s="5144" t="s">
        <v>808</v>
      </c>
    </row>
    <row customHeight="1" ht="11.25">
      <c r="A1036" s="5144" t="s">
        <v>2177</v>
      </c>
      <c r="B1036" s="5144" t="s">
        <v>14</v>
      </c>
      <c r="C1036" s="5144" t="s">
        <v>3827</v>
      </c>
      <c r="D1036" s="5144" t="s">
        <v>3828</v>
      </c>
      <c r="E1036" s="5144" t="s">
        <v>3829</v>
      </c>
      <c r="F1036" s="5144" t="s">
        <v>2186</v>
      </c>
      <c r="G1036" s="5144" t="s">
        <v>3830</v>
      </c>
      <c r="H1036" s="5144" t="s">
        <v>24</v>
      </c>
      <c r="I1036" s="5144" t="s">
        <v>808</v>
      </c>
    </row>
    <row customHeight="1" ht="11.25">
      <c r="A1037" s="5144" t="s">
        <v>2177</v>
      </c>
      <c r="B1037" s="5144" t="s">
        <v>14</v>
      </c>
      <c r="C1037" s="5144" t="s">
        <v>3831</v>
      </c>
      <c r="D1037" s="5144" t="s">
        <v>3832</v>
      </c>
      <c r="E1037" s="5144" t="s">
        <v>3833</v>
      </c>
      <c r="F1037" s="5144" t="s">
        <v>2202</v>
      </c>
      <c r="G1037" s="5144" t="s">
        <v>24</v>
      </c>
      <c r="H1037" s="5144" t="s">
        <v>24</v>
      </c>
      <c r="I1037" s="5144" t="s">
        <v>808</v>
      </c>
    </row>
    <row customHeight="1" ht="11.25">
      <c r="A1038" s="5144" t="s">
        <v>2177</v>
      </c>
      <c r="B1038" s="5144" t="s">
        <v>14</v>
      </c>
      <c r="C1038" s="5144" t="s">
        <v>2737</v>
      </c>
      <c r="D1038" s="5144" t="s">
        <v>2738</v>
      </c>
      <c r="E1038" s="5144" t="s">
        <v>2739</v>
      </c>
      <c r="F1038" s="5144" t="s">
        <v>2740</v>
      </c>
      <c r="G1038" s="5144" t="s">
        <v>2741</v>
      </c>
      <c r="H1038" s="5144" t="s">
        <v>24</v>
      </c>
      <c r="I1038" s="5144" t="s">
        <v>808</v>
      </c>
    </row>
    <row customHeight="1" ht="11.25">
      <c r="A1039" s="5144" t="s">
        <v>2177</v>
      </c>
      <c r="B1039" s="5144" t="s">
        <v>14</v>
      </c>
      <c r="C1039" s="5144" t="s">
        <v>2751</v>
      </c>
      <c r="D1039" s="5144" t="s">
        <v>2752</v>
      </c>
      <c r="E1039" s="5144" t="s">
        <v>2753</v>
      </c>
      <c r="F1039" s="5144" t="s">
        <v>2520</v>
      </c>
      <c r="G1039" s="5144" t="s">
        <v>2754</v>
      </c>
      <c r="H1039" s="5144" t="s">
        <v>24</v>
      </c>
      <c r="I1039" s="5144" t="s">
        <v>808</v>
      </c>
    </row>
    <row customHeight="1" ht="11.25">
      <c r="A1040" s="5144" t="s">
        <v>2177</v>
      </c>
      <c r="B1040" s="5144" t="s">
        <v>14</v>
      </c>
      <c r="C1040" s="5144" t="s">
        <v>3508</v>
      </c>
      <c r="D1040" s="5144" t="s">
        <v>3509</v>
      </c>
      <c r="E1040" s="5144" t="s">
        <v>2363</v>
      </c>
      <c r="F1040" s="5144" t="s">
        <v>3510</v>
      </c>
      <c r="G1040" s="5144" t="s">
        <v>2365</v>
      </c>
      <c r="H1040" s="5144" t="s">
        <v>24</v>
      </c>
      <c r="I1040" s="5144" t="s">
        <v>808</v>
      </c>
    </row>
    <row customHeight="1" ht="11.25">
      <c r="A1041" s="5144" t="s">
        <v>2177</v>
      </c>
      <c r="B1041" s="5144" t="s">
        <v>14</v>
      </c>
      <c r="C1041" s="5144" t="s">
        <v>2759</v>
      </c>
      <c r="D1041" s="5144" t="s">
        <v>2760</v>
      </c>
      <c r="E1041" s="5144" t="s">
        <v>2761</v>
      </c>
      <c r="F1041" s="5144" t="s">
        <v>2505</v>
      </c>
      <c r="G1041" s="5144" t="s">
        <v>2762</v>
      </c>
      <c r="H1041" s="5144" t="s">
        <v>24</v>
      </c>
      <c r="I1041" s="5144" t="s">
        <v>808</v>
      </c>
    </row>
    <row customHeight="1" ht="11.25">
      <c r="A1042" s="5144" t="s">
        <v>2177</v>
      </c>
      <c r="B1042" s="5144" t="s">
        <v>14</v>
      </c>
      <c r="C1042" s="5144" t="s">
        <v>2784</v>
      </c>
      <c r="D1042" s="5144" t="s">
        <v>2785</v>
      </c>
      <c r="E1042" s="5144" t="s">
        <v>2786</v>
      </c>
      <c r="F1042" s="5144" t="s">
        <v>2463</v>
      </c>
      <c r="G1042" s="5144" t="s">
        <v>2787</v>
      </c>
      <c r="H1042" s="5144" t="s">
        <v>24</v>
      </c>
      <c r="I1042" s="5144" t="s">
        <v>808</v>
      </c>
    </row>
    <row customHeight="1" ht="11.25">
      <c r="A1043" s="5144" t="s">
        <v>2177</v>
      </c>
      <c r="B1043" s="5144" t="s">
        <v>14</v>
      </c>
      <c r="C1043" s="5144" t="s">
        <v>2803</v>
      </c>
      <c r="D1043" s="5144" t="s">
        <v>2804</v>
      </c>
      <c r="E1043" s="5144" t="s">
        <v>2805</v>
      </c>
      <c r="F1043" s="5144" t="s">
        <v>2467</v>
      </c>
      <c r="G1043" s="5144" t="s">
        <v>2806</v>
      </c>
      <c r="H1043" s="5144" t="s">
        <v>24</v>
      </c>
      <c r="I1043" s="5144" t="s">
        <v>808</v>
      </c>
    </row>
    <row customHeight="1" ht="11.25">
      <c r="A1044" s="5144" t="s">
        <v>2177</v>
      </c>
      <c r="B1044" s="5144" t="s">
        <v>14</v>
      </c>
      <c r="C1044" s="5144" t="s">
        <v>3854</v>
      </c>
      <c r="D1044" s="5144" t="s">
        <v>3855</v>
      </c>
      <c r="E1044" s="5144" t="s">
        <v>3856</v>
      </c>
      <c r="F1044" s="5144" t="s">
        <v>2505</v>
      </c>
      <c r="G1044" s="5144" t="s">
        <v>3857</v>
      </c>
      <c r="H1044" s="5144" t="s">
        <v>24</v>
      </c>
      <c r="I1044" s="5144" t="s">
        <v>808</v>
      </c>
    </row>
    <row customHeight="1" ht="11.25">
      <c r="A1045" s="5144" t="s">
        <v>2177</v>
      </c>
      <c r="B1045" s="5144" t="s">
        <v>14</v>
      </c>
      <c r="C1045" s="5144" t="s">
        <v>3862</v>
      </c>
      <c r="D1045" s="5144" t="s">
        <v>3863</v>
      </c>
      <c r="E1045" s="5144" t="s">
        <v>3864</v>
      </c>
      <c r="F1045" s="5144" t="s">
        <v>2467</v>
      </c>
      <c r="G1045" s="5144" t="s">
        <v>3865</v>
      </c>
      <c r="H1045" s="5144" t="s">
        <v>24</v>
      </c>
      <c r="I1045" s="5144" t="s">
        <v>808</v>
      </c>
    </row>
    <row customHeight="1" ht="11.25">
      <c r="A1046" s="5144" t="s">
        <v>2177</v>
      </c>
      <c r="B1046" s="5144" t="s">
        <v>14</v>
      </c>
      <c r="C1046" s="5144" t="s">
        <v>4090</v>
      </c>
      <c r="D1046" s="5144" t="s">
        <v>4091</v>
      </c>
      <c r="E1046" s="5144" t="s">
        <v>4092</v>
      </c>
      <c r="F1046" s="5144" t="s">
        <v>51</v>
      </c>
      <c r="G1046" s="5144" t="s">
        <v>4093</v>
      </c>
      <c r="H1046" s="5144" t="s">
        <v>24</v>
      </c>
      <c r="I1046" s="5144" t="s">
        <v>808</v>
      </c>
    </row>
    <row customHeight="1" ht="11.25">
      <c r="A1047" s="5144" t="s">
        <v>2177</v>
      </c>
      <c r="B1047" s="5144" t="s">
        <v>14</v>
      </c>
      <c r="C1047" s="5144" t="s">
        <v>3866</v>
      </c>
      <c r="D1047" s="5144" t="s">
        <v>3867</v>
      </c>
      <c r="E1047" s="5144" t="s">
        <v>3868</v>
      </c>
      <c r="F1047" s="5144" t="s">
        <v>2231</v>
      </c>
      <c r="G1047" s="5144" t="s">
        <v>3869</v>
      </c>
      <c r="H1047" s="5144" t="s">
        <v>24</v>
      </c>
      <c r="I1047" s="5144" t="s">
        <v>808</v>
      </c>
    </row>
    <row customHeight="1" ht="11.25">
      <c r="A1048" s="5144" t="s">
        <v>2177</v>
      </c>
      <c r="B1048" s="5144" t="s">
        <v>14</v>
      </c>
      <c r="C1048" s="5144" t="s">
        <v>2820</v>
      </c>
      <c r="D1048" s="5144" t="s">
        <v>2821</v>
      </c>
      <c r="E1048" s="5144" t="s">
        <v>2822</v>
      </c>
      <c r="F1048" s="5144" t="s">
        <v>2467</v>
      </c>
      <c r="G1048" s="5144" t="s">
        <v>2823</v>
      </c>
      <c r="H1048" s="5144" t="s">
        <v>24</v>
      </c>
      <c r="I1048" s="5144" t="s">
        <v>808</v>
      </c>
    </row>
    <row customHeight="1" ht="11.25">
      <c r="A1049" s="5144" t="s">
        <v>2177</v>
      </c>
      <c r="B1049" s="5144" t="s">
        <v>14</v>
      </c>
      <c r="C1049" s="5144" t="s">
        <v>3870</v>
      </c>
      <c r="D1049" s="5144" t="s">
        <v>3871</v>
      </c>
      <c r="E1049" s="5144" t="s">
        <v>3872</v>
      </c>
      <c r="F1049" s="5144" t="s">
        <v>3364</v>
      </c>
      <c r="G1049" s="5144" t="s">
        <v>3873</v>
      </c>
      <c r="H1049" s="5144" t="s">
        <v>24</v>
      </c>
      <c r="I1049" s="5144" t="s">
        <v>808</v>
      </c>
    </row>
    <row customHeight="1" ht="11.25">
      <c r="A1050" s="5144" t="s">
        <v>2177</v>
      </c>
      <c r="B1050" s="5144" t="s">
        <v>14</v>
      </c>
      <c r="C1050" s="5144" t="s">
        <v>3874</v>
      </c>
      <c r="D1050" s="5144" t="s">
        <v>3875</v>
      </c>
      <c r="E1050" s="5144" t="s">
        <v>3876</v>
      </c>
      <c r="F1050" s="5144" t="s">
        <v>2202</v>
      </c>
      <c r="G1050" s="5144" t="s">
        <v>3877</v>
      </c>
      <c r="H1050" s="5144" t="s">
        <v>24</v>
      </c>
      <c r="I1050" s="5144" t="s">
        <v>808</v>
      </c>
    </row>
    <row customHeight="1" ht="11.25">
      <c r="A1051" s="5144" t="s">
        <v>2177</v>
      </c>
      <c r="B1051" s="5144" t="s">
        <v>14</v>
      </c>
      <c r="C1051" s="5144" t="s">
        <v>2828</v>
      </c>
      <c r="D1051" s="5144" t="s">
        <v>2829</v>
      </c>
      <c r="E1051" s="5144" t="s">
        <v>2830</v>
      </c>
      <c r="F1051" s="5144" t="s">
        <v>2520</v>
      </c>
      <c r="G1051" s="5144" t="s">
        <v>2831</v>
      </c>
      <c r="H1051" s="5144" t="s">
        <v>24</v>
      </c>
      <c r="I1051" s="5144" t="s">
        <v>808</v>
      </c>
    </row>
    <row customHeight="1" ht="11.25">
      <c r="A1052" s="5144" t="s">
        <v>2177</v>
      </c>
      <c r="B1052" s="5144" t="s">
        <v>14</v>
      </c>
      <c r="C1052" s="5144" t="s">
        <v>2843</v>
      </c>
      <c r="D1052" s="5144" t="s">
        <v>2844</v>
      </c>
      <c r="E1052" s="5144" t="s">
        <v>2845</v>
      </c>
      <c r="F1052" s="5144" t="s">
        <v>51</v>
      </c>
      <c r="G1052" s="5144" t="s">
        <v>2846</v>
      </c>
      <c r="H1052" s="5144" t="s">
        <v>24</v>
      </c>
      <c r="I1052" s="5144" t="s">
        <v>808</v>
      </c>
    </row>
    <row customHeight="1" ht="11.25">
      <c r="A1053" s="5144" t="s">
        <v>2177</v>
      </c>
      <c r="B1053" s="5144" t="s">
        <v>14</v>
      </c>
      <c r="C1053" s="5144" t="s">
        <v>3888</v>
      </c>
      <c r="D1053" s="5144" t="s">
        <v>3889</v>
      </c>
      <c r="E1053" s="5144" t="s">
        <v>3890</v>
      </c>
      <c r="F1053" s="5144" t="s">
        <v>2231</v>
      </c>
      <c r="G1053" s="5144" t="s">
        <v>3891</v>
      </c>
      <c r="H1053" s="5144" t="s">
        <v>24</v>
      </c>
      <c r="I1053" s="5144" t="s">
        <v>808</v>
      </c>
    </row>
    <row customHeight="1" ht="11.25">
      <c r="A1054" s="5144" t="s">
        <v>2177</v>
      </c>
      <c r="B1054" s="5144" t="s">
        <v>14</v>
      </c>
      <c r="C1054" s="5144" t="s">
        <v>3892</v>
      </c>
      <c r="D1054" s="5144" t="s">
        <v>3893</v>
      </c>
      <c r="E1054" s="5144" t="s">
        <v>3894</v>
      </c>
      <c r="F1054" s="5144" t="s">
        <v>51</v>
      </c>
      <c r="G1054" s="5144" t="s">
        <v>3096</v>
      </c>
      <c r="H1054" s="5144" t="s">
        <v>24</v>
      </c>
      <c r="I1054" s="5144" t="s">
        <v>808</v>
      </c>
    </row>
    <row customHeight="1" ht="11.25">
      <c r="A1055" s="5144" t="s">
        <v>2177</v>
      </c>
      <c r="B1055" s="5144" t="s">
        <v>14</v>
      </c>
      <c r="C1055" s="5144" t="s">
        <v>4094</v>
      </c>
      <c r="D1055" s="5144" t="s">
        <v>4095</v>
      </c>
      <c r="E1055" s="5144" t="s">
        <v>4096</v>
      </c>
      <c r="F1055" s="5144" t="s">
        <v>2277</v>
      </c>
      <c r="G1055" s="5144" t="s">
        <v>24</v>
      </c>
      <c r="H1055" s="5144" t="s">
        <v>24</v>
      </c>
      <c r="I1055" s="5144" t="s">
        <v>808</v>
      </c>
    </row>
    <row customHeight="1" ht="11.25">
      <c r="A1056" s="5144" t="s">
        <v>2177</v>
      </c>
      <c r="B1056" s="5144" t="s">
        <v>14</v>
      </c>
      <c r="C1056" s="5144" t="s">
        <v>3907</v>
      </c>
      <c r="D1056" s="5144" t="s">
        <v>3908</v>
      </c>
      <c r="E1056" s="5144" t="s">
        <v>3909</v>
      </c>
      <c r="F1056" s="5144" t="s">
        <v>2207</v>
      </c>
      <c r="G1056" s="5144" t="s">
        <v>3910</v>
      </c>
      <c r="H1056" s="5144" t="s">
        <v>24</v>
      </c>
      <c r="I1056" s="5144" t="s">
        <v>808</v>
      </c>
    </row>
    <row customHeight="1" ht="11.25">
      <c r="A1057" s="5144" t="s">
        <v>2177</v>
      </c>
      <c r="B1057" s="5144" t="s">
        <v>14</v>
      </c>
      <c r="C1057" s="5144" t="s">
        <v>3911</v>
      </c>
      <c r="D1057" s="5144" t="s">
        <v>2864</v>
      </c>
      <c r="E1057" s="5144" t="s">
        <v>3912</v>
      </c>
      <c r="F1057" s="5144" t="s">
        <v>2467</v>
      </c>
      <c r="G1057" s="5144" t="s">
        <v>3913</v>
      </c>
      <c r="H1057" s="5144" t="s">
        <v>24</v>
      </c>
      <c r="I1057" s="5144" t="s">
        <v>808</v>
      </c>
    </row>
    <row customHeight="1" ht="11.25">
      <c r="A1058" s="5144" t="s">
        <v>2177</v>
      </c>
      <c r="B1058" s="5144" t="s">
        <v>14</v>
      </c>
      <c r="C1058" s="5144" t="s">
        <v>3914</v>
      </c>
      <c r="D1058" s="5144" t="s">
        <v>3915</v>
      </c>
      <c r="E1058" s="5144" t="s">
        <v>3916</v>
      </c>
      <c r="F1058" s="5144" t="s">
        <v>2231</v>
      </c>
      <c r="G1058" s="5144" t="s">
        <v>3917</v>
      </c>
      <c r="H1058" s="5144" t="s">
        <v>24</v>
      </c>
      <c r="I1058" s="5144" t="s">
        <v>808</v>
      </c>
    </row>
    <row customHeight="1" ht="11.25">
      <c r="A1059" s="5144" t="s">
        <v>2177</v>
      </c>
      <c r="B1059" s="5144" t="s">
        <v>14</v>
      </c>
      <c r="C1059" s="5144" t="s">
        <v>2887</v>
      </c>
      <c r="D1059" s="5144" t="s">
        <v>2888</v>
      </c>
      <c r="E1059" s="5144" t="s">
        <v>2889</v>
      </c>
      <c r="F1059" s="5144" t="s">
        <v>2520</v>
      </c>
      <c r="G1059" s="5144" t="s">
        <v>24</v>
      </c>
      <c r="H1059" s="5144" t="s">
        <v>24</v>
      </c>
      <c r="I1059" s="5144" t="s">
        <v>808</v>
      </c>
    </row>
    <row customHeight="1" ht="11.25">
      <c r="A1060" s="5144" t="s">
        <v>2177</v>
      </c>
      <c r="B1060" s="5144" t="s">
        <v>14</v>
      </c>
      <c r="C1060" s="5144" t="s">
        <v>2890</v>
      </c>
      <c r="D1060" s="5144" t="s">
        <v>2888</v>
      </c>
      <c r="E1060" s="5144" t="s">
        <v>2891</v>
      </c>
      <c r="F1060" s="5144" t="s">
        <v>2231</v>
      </c>
      <c r="G1060" s="5144" t="s">
        <v>2892</v>
      </c>
      <c r="H1060" s="5144" t="s">
        <v>24</v>
      </c>
      <c r="I1060" s="5144" t="s">
        <v>808</v>
      </c>
    </row>
    <row customHeight="1" ht="11.25">
      <c r="A1061" s="5144" t="s">
        <v>2177</v>
      </c>
      <c r="B1061" s="5144" t="s">
        <v>14</v>
      </c>
      <c r="C1061" s="5144" t="s">
        <v>2893</v>
      </c>
      <c r="D1061" s="5144" t="s">
        <v>2894</v>
      </c>
      <c r="E1061" s="5144" t="s">
        <v>2895</v>
      </c>
      <c r="F1061" s="5144" t="s">
        <v>2207</v>
      </c>
      <c r="G1061" s="5144" t="s">
        <v>2896</v>
      </c>
      <c r="H1061" s="5144" t="s">
        <v>2897</v>
      </c>
      <c r="I1061" s="5144" t="s">
        <v>808</v>
      </c>
    </row>
    <row customHeight="1" ht="11.25">
      <c r="A1062" s="5144" t="s">
        <v>2177</v>
      </c>
      <c r="B1062" s="5144" t="s">
        <v>14</v>
      </c>
      <c r="C1062" s="5144" t="s">
        <v>2898</v>
      </c>
      <c r="D1062" s="5144" t="s">
        <v>2899</v>
      </c>
      <c r="E1062" s="5144" t="s">
        <v>2900</v>
      </c>
      <c r="F1062" s="5144" t="s">
        <v>2192</v>
      </c>
      <c r="G1062" s="5144" t="s">
        <v>2901</v>
      </c>
      <c r="H1062" s="5144" t="s">
        <v>2902</v>
      </c>
      <c r="I1062" s="5144" t="s">
        <v>808</v>
      </c>
    </row>
    <row customHeight="1" ht="11.25">
      <c r="A1063" s="5144" t="s">
        <v>2177</v>
      </c>
      <c r="B1063" s="5144" t="s">
        <v>14</v>
      </c>
      <c r="C1063" s="5144" t="s">
        <v>3928</v>
      </c>
      <c r="D1063" s="5144" t="s">
        <v>3929</v>
      </c>
      <c r="E1063" s="5144" t="s">
        <v>3930</v>
      </c>
      <c r="F1063" s="5144" t="s">
        <v>51</v>
      </c>
      <c r="G1063" s="5144" t="s">
        <v>3931</v>
      </c>
      <c r="H1063" s="5144" t="s">
        <v>24</v>
      </c>
      <c r="I1063" s="5144" t="s">
        <v>808</v>
      </c>
    </row>
    <row customHeight="1" ht="11.25">
      <c r="A1064" s="5144" t="s">
        <v>2177</v>
      </c>
      <c r="B1064" s="5144" t="s">
        <v>14</v>
      </c>
      <c r="C1064" s="5144" t="s">
        <v>3936</v>
      </c>
      <c r="D1064" s="5144" t="s">
        <v>3937</v>
      </c>
      <c r="E1064" s="5144" t="s">
        <v>3938</v>
      </c>
      <c r="F1064" s="5144" t="s">
        <v>2505</v>
      </c>
      <c r="G1064" s="5144" t="s">
        <v>3939</v>
      </c>
      <c r="H1064" s="5144" t="s">
        <v>24</v>
      </c>
      <c r="I1064" s="5144" t="s">
        <v>808</v>
      </c>
    </row>
    <row customHeight="1" ht="11.25">
      <c r="A1065" s="5144" t="s">
        <v>2177</v>
      </c>
      <c r="B1065" s="5144" t="s">
        <v>14</v>
      </c>
      <c r="C1065" s="5144" t="s">
        <v>3940</v>
      </c>
      <c r="D1065" s="5144" t="s">
        <v>3941</v>
      </c>
      <c r="E1065" s="5144" t="s">
        <v>3942</v>
      </c>
      <c r="F1065" s="5144" t="s">
        <v>2467</v>
      </c>
      <c r="G1065" s="5144" t="s">
        <v>24</v>
      </c>
      <c r="H1065" s="5144" t="s">
        <v>24</v>
      </c>
      <c r="I1065" s="5144" t="s">
        <v>808</v>
      </c>
    </row>
    <row customHeight="1" ht="11.25">
      <c r="A1066" s="5144" t="s">
        <v>2177</v>
      </c>
      <c r="B1066" s="5144" t="s">
        <v>14</v>
      </c>
      <c r="C1066" s="5144" t="s">
        <v>3947</v>
      </c>
      <c r="D1066" s="5144" t="s">
        <v>3948</v>
      </c>
      <c r="E1066" s="5144" t="s">
        <v>3949</v>
      </c>
      <c r="F1066" s="5144" t="s">
        <v>2912</v>
      </c>
      <c r="G1066" s="5144" t="s">
        <v>3950</v>
      </c>
      <c r="H1066" s="5144" t="s">
        <v>24</v>
      </c>
      <c r="I1066" s="5144" t="s">
        <v>808</v>
      </c>
    </row>
    <row customHeight="1" ht="11.25">
      <c r="A1067" s="5144" t="s">
        <v>2177</v>
      </c>
      <c r="B1067" s="5144" t="s">
        <v>14</v>
      </c>
      <c r="C1067" s="5144" t="s">
        <v>4097</v>
      </c>
      <c r="D1067" s="5144" t="s">
        <v>4098</v>
      </c>
      <c r="E1067" s="5144" t="s">
        <v>4099</v>
      </c>
      <c r="F1067" s="5144" t="s">
        <v>2288</v>
      </c>
      <c r="G1067" s="5144" t="s">
        <v>24</v>
      </c>
      <c r="H1067" s="5144" t="s">
        <v>24</v>
      </c>
      <c r="I1067" s="5144" t="s">
        <v>808</v>
      </c>
    </row>
    <row customHeight="1" ht="11.25">
      <c r="A1068" s="5144" t="s">
        <v>2177</v>
      </c>
      <c r="B1068" s="5144" t="s">
        <v>14</v>
      </c>
      <c r="C1068" s="5144" t="s">
        <v>3951</v>
      </c>
      <c r="D1068" s="5144" t="s">
        <v>3952</v>
      </c>
      <c r="E1068" s="5144" t="s">
        <v>3953</v>
      </c>
      <c r="F1068" s="5144" t="s">
        <v>2207</v>
      </c>
      <c r="G1068" s="5144" t="s">
        <v>3954</v>
      </c>
      <c r="H1068" s="5144" t="s">
        <v>24</v>
      </c>
      <c r="I1068" s="5144" t="s">
        <v>808</v>
      </c>
    </row>
    <row customHeight="1" ht="11.25">
      <c r="A1069" s="5144" t="s">
        <v>2177</v>
      </c>
      <c r="B1069" s="5144" t="s">
        <v>14</v>
      </c>
      <c r="C1069" s="5144" t="s">
        <v>2936</v>
      </c>
      <c r="D1069" s="5144" t="s">
        <v>2937</v>
      </c>
      <c r="E1069" s="5144" t="s">
        <v>2938</v>
      </c>
      <c r="F1069" s="5144" t="s">
        <v>51</v>
      </c>
      <c r="G1069" s="5144" t="s">
        <v>24</v>
      </c>
      <c r="H1069" s="5144" t="s">
        <v>24</v>
      </c>
      <c r="I1069" s="5144" t="s">
        <v>808</v>
      </c>
    </row>
    <row customHeight="1" ht="11.25">
      <c r="A1070" s="5144" t="s">
        <v>2177</v>
      </c>
      <c r="B1070" s="5144" t="s">
        <v>14</v>
      </c>
      <c r="C1070" s="5144" t="s">
        <v>4100</v>
      </c>
      <c r="D1070" s="5144" t="s">
        <v>4101</v>
      </c>
      <c r="E1070" s="5144" t="s">
        <v>4102</v>
      </c>
      <c r="F1070" s="5144" t="s">
        <v>2231</v>
      </c>
      <c r="G1070" s="5144" t="s">
        <v>2945</v>
      </c>
      <c r="H1070" s="5144" t="s">
        <v>24</v>
      </c>
      <c r="I1070" s="5144" t="s">
        <v>808</v>
      </c>
    </row>
    <row customHeight="1" ht="11.25">
      <c r="A1071" s="5144" t="s">
        <v>2177</v>
      </c>
      <c r="B1071" s="5144" t="s">
        <v>14</v>
      </c>
      <c r="C1071" s="5144" t="s">
        <v>2942</v>
      </c>
      <c r="D1071" s="5144" t="s">
        <v>2943</v>
      </c>
      <c r="E1071" s="5144" t="s">
        <v>2944</v>
      </c>
      <c r="F1071" s="5144" t="s">
        <v>2221</v>
      </c>
      <c r="G1071" s="5144" t="s">
        <v>2945</v>
      </c>
      <c r="H1071" s="5144" t="s">
        <v>24</v>
      </c>
      <c r="I1071" s="5144" t="s">
        <v>808</v>
      </c>
    </row>
    <row customHeight="1" ht="11.25">
      <c r="A1072" s="5144" t="s">
        <v>2177</v>
      </c>
      <c r="B1072" s="5144" t="s">
        <v>14</v>
      </c>
      <c r="C1072" s="5144" t="s">
        <v>2946</v>
      </c>
      <c r="D1072" s="5144" t="s">
        <v>2947</v>
      </c>
      <c r="E1072" s="5144" t="s">
        <v>2948</v>
      </c>
      <c r="F1072" s="5144" t="s">
        <v>2467</v>
      </c>
      <c r="G1072" s="5144" t="s">
        <v>2949</v>
      </c>
      <c r="H1072" s="5144" t="s">
        <v>24</v>
      </c>
      <c r="I1072" s="5144" t="s">
        <v>808</v>
      </c>
    </row>
    <row customHeight="1" ht="11.25">
      <c r="A1073" s="5144" t="s">
        <v>2177</v>
      </c>
      <c r="B1073" s="5144" t="s">
        <v>14</v>
      </c>
      <c r="C1073" s="5144" t="s">
        <v>2950</v>
      </c>
      <c r="D1073" s="5144" t="s">
        <v>2951</v>
      </c>
      <c r="E1073" s="5144" t="s">
        <v>2952</v>
      </c>
      <c r="F1073" s="5144" t="s">
        <v>2953</v>
      </c>
      <c r="G1073" s="5144" t="s">
        <v>2954</v>
      </c>
      <c r="H1073" s="5144" t="s">
        <v>24</v>
      </c>
      <c r="I1073" s="5144" t="s">
        <v>808</v>
      </c>
    </row>
    <row customHeight="1" ht="11.25">
      <c r="A1074" s="5144" t="s">
        <v>2177</v>
      </c>
      <c r="B1074" s="5144" t="s">
        <v>14</v>
      </c>
      <c r="C1074" s="5144" t="s">
        <v>2955</v>
      </c>
      <c r="D1074" s="5144" t="s">
        <v>2956</v>
      </c>
      <c r="E1074" s="5144" t="s">
        <v>2957</v>
      </c>
      <c r="F1074" s="5144" t="s">
        <v>2226</v>
      </c>
      <c r="G1074" s="5144" t="s">
        <v>2958</v>
      </c>
      <c r="H1074" s="5144" t="s">
        <v>24</v>
      </c>
      <c r="I1074" s="5144" t="s">
        <v>808</v>
      </c>
    </row>
    <row customHeight="1" ht="11.25">
      <c r="A1075" s="5144" t="s">
        <v>2177</v>
      </c>
      <c r="B1075" s="5144" t="s">
        <v>14</v>
      </c>
      <c r="C1075" s="5144" t="s">
        <v>2991</v>
      </c>
      <c r="D1075" s="5144" t="s">
        <v>2992</v>
      </c>
      <c r="E1075" s="5144" t="s">
        <v>2993</v>
      </c>
      <c r="F1075" s="5144" t="s">
        <v>2277</v>
      </c>
      <c r="G1075" s="5144" t="s">
        <v>2994</v>
      </c>
      <c r="H1075" s="5144" t="s">
        <v>24</v>
      </c>
      <c r="I1075" s="5144" t="s">
        <v>808</v>
      </c>
    </row>
    <row customHeight="1" ht="11.25">
      <c r="A1076" s="5144" t="s">
        <v>2177</v>
      </c>
      <c r="B1076" s="5144" t="s">
        <v>14</v>
      </c>
      <c r="C1076" s="5144" t="s">
        <v>3961</v>
      </c>
      <c r="D1076" s="5144" t="s">
        <v>3962</v>
      </c>
      <c r="E1076" s="5144" t="s">
        <v>3963</v>
      </c>
      <c r="F1076" s="5144" t="s">
        <v>2505</v>
      </c>
      <c r="G1076" s="5144" t="s">
        <v>3964</v>
      </c>
      <c r="H1076" s="5144" t="s">
        <v>24</v>
      </c>
      <c r="I1076" s="5144" t="s">
        <v>808</v>
      </c>
    </row>
    <row customHeight="1" ht="11.25">
      <c r="A1077" s="5144" t="s">
        <v>2177</v>
      </c>
      <c r="B1077" s="5144" t="s">
        <v>14</v>
      </c>
      <c r="C1077" s="5144" t="s">
        <v>3965</v>
      </c>
      <c r="D1077" s="5144" t="s">
        <v>3966</v>
      </c>
      <c r="E1077" s="5144" t="s">
        <v>3004</v>
      </c>
      <c r="F1077" s="5144" t="s">
        <v>3967</v>
      </c>
      <c r="G1077" s="5144" t="s">
        <v>3005</v>
      </c>
      <c r="H1077" s="5144" t="s">
        <v>24</v>
      </c>
      <c r="I1077" s="5144" t="s">
        <v>808</v>
      </c>
    </row>
    <row customHeight="1" ht="11.25">
      <c r="A1078" s="5144" t="s">
        <v>2177</v>
      </c>
      <c r="B1078" s="5144" t="s">
        <v>14</v>
      </c>
      <c r="C1078" s="5144" t="s">
        <v>3972</v>
      </c>
      <c r="D1078" s="5144" t="s">
        <v>3973</v>
      </c>
      <c r="E1078" s="5144" t="s">
        <v>3974</v>
      </c>
      <c r="F1078" s="5144" t="s">
        <v>2192</v>
      </c>
      <c r="G1078" s="5144" t="s">
        <v>3975</v>
      </c>
      <c r="H1078" s="5144" t="s">
        <v>24</v>
      </c>
      <c r="I1078" s="5144" t="s">
        <v>808</v>
      </c>
    </row>
    <row customHeight="1" ht="11.25">
      <c r="A1079" s="5144" t="s">
        <v>2177</v>
      </c>
      <c r="B1079" s="5144" t="s">
        <v>14</v>
      </c>
      <c r="C1079" s="5144" t="s">
        <v>3017</v>
      </c>
      <c r="D1079" s="5144" t="s">
        <v>3018</v>
      </c>
      <c r="E1079" s="5144" t="s">
        <v>3019</v>
      </c>
      <c r="F1079" s="5144" t="s">
        <v>2467</v>
      </c>
      <c r="G1079" s="5144" t="s">
        <v>3020</v>
      </c>
      <c r="H1079" s="5144" t="s">
        <v>24</v>
      </c>
      <c r="I1079" s="5144" t="s">
        <v>808</v>
      </c>
    </row>
    <row customHeight="1" ht="11.25">
      <c r="A1080" s="5144" t="s">
        <v>2177</v>
      </c>
      <c r="B1080" s="5144" t="s">
        <v>14</v>
      </c>
      <c r="C1080" s="5144" t="s">
        <v>3976</v>
      </c>
      <c r="D1080" s="5144" t="s">
        <v>3977</v>
      </c>
      <c r="E1080" s="5144" t="s">
        <v>3978</v>
      </c>
      <c r="F1080" s="5144" t="s">
        <v>2202</v>
      </c>
      <c r="G1080" s="5144" t="s">
        <v>3979</v>
      </c>
      <c r="H1080" s="5144" t="s">
        <v>24</v>
      </c>
      <c r="I1080" s="5144" t="s">
        <v>808</v>
      </c>
    </row>
    <row customHeight="1" ht="11.25">
      <c r="A1081" s="5144" t="s">
        <v>2177</v>
      </c>
      <c r="B1081" s="5144" t="s">
        <v>14</v>
      </c>
      <c r="C1081" s="5144" t="s">
        <v>3021</v>
      </c>
      <c r="D1081" s="5144" t="s">
        <v>3022</v>
      </c>
      <c r="E1081" s="5144" t="s">
        <v>3023</v>
      </c>
      <c r="F1081" s="5144" t="s">
        <v>2602</v>
      </c>
      <c r="G1081" s="5144" t="s">
        <v>3024</v>
      </c>
      <c r="H1081" s="5144" t="s">
        <v>24</v>
      </c>
      <c r="I1081" s="5144" t="s">
        <v>808</v>
      </c>
    </row>
    <row customHeight="1" ht="11.25">
      <c r="A1082" s="5144" t="s">
        <v>2177</v>
      </c>
      <c r="B1082" s="5144" t="s">
        <v>14</v>
      </c>
      <c r="C1082" s="5144" t="s">
        <v>4103</v>
      </c>
      <c r="D1082" s="5144" t="s">
        <v>4104</v>
      </c>
      <c r="E1082" s="5144" t="s">
        <v>4105</v>
      </c>
      <c r="F1082" s="5144" t="s">
        <v>2520</v>
      </c>
      <c r="G1082" s="5144" t="s">
        <v>4106</v>
      </c>
      <c r="H1082" s="5144" t="s">
        <v>24</v>
      </c>
      <c r="I1082" s="5144" t="s">
        <v>808</v>
      </c>
    </row>
    <row customHeight="1" ht="11.25">
      <c r="A1083" s="5144" t="s">
        <v>2177</v>
      </c>
      <c r="B1083" s="5144" t="s">
        <v>14</v>
      </c>
      <c r="C1083" s="5144" t="s">
        <v>4107</v>
      </c>
      <c r="D1083" s="5144" t="s">
        <v>4108</v>
      </c>
      <c r="E1083" s="5144" t="s">
        <v>4109</v>
      </c>
      <c r="F1083" s="5144" t="s">
        <v>2231</v>
      </c>
      <c r="G1083" s="5144" t="s">
        <v>4110</v>
      </c>
      <c r="H1083" s="5144" t="s">
        <v>24</v>
      </c>
      <c r="I1083" s="5144" t="s">
        <v>808</v>
      </c>
    </row>
    <row customHeight="1" ht="11.25">
      <c r="A1084" s="5144" t="s">
        <v>2177</v>
      </c>
      <c r="B1084" s="5144" t="s">
        <v>14</v>
      </c>
      <c r="C1084" s="5144" t="s">
        <v>3045</v>
      </c>
      <c r="D1084" s="5144" t="s">
        <v>3046</v>
      </c>
      <c r="E1084" s="5144" t="s">
        <v>3047</v>
      </c>
      <c r="F1084" s="5144" t="s">
        <v>2505</v>
      </c>
      <c r="G1084" s="5144" t="s">
        <v>3048</v>
      </c>
      <c r="H1084" s="5144" t="s">
        <v>24</v>
      </c>
      <c r="I1084" s="5144" t="s">
        <v>808</v>
      </c>
    </row>
    <row customHeight="1" ht="11.25">
      <c r="A1085" s="5144" t="s">
        <v>2177</v>
      </c>
      <c r="B1085" s="5144" t="s">
        <v>14</v>
      </c>
      <c r="C1085" s="5144" t="s">
        <v>3053</v>
      </c>
      <c r="D1085" s="5144" t="s">
        <v>3054</v>
      </c>
      <c r="E1085" s="5144" t="s">
        <v>3055</v>
      </c>
      <c r="F1085" s="5144" t="s">
        <v>2207</v>
      </c>
      <c r="G1085" s="5144" t="s">
        <v>3056</v>
      </c>
      <c r="H1085" s="5144" t="s">
        <v>24</v>
      </c>
      <c r="I1085" s="5144" t="s">
        <v>808</v>
      </c>
    </row>
    <row customHeight="1" ht="11.25">
      <c r="A1086" s="5144" t="s">
        <v>2177</v>
      </c>
      <c r="B1086" s="5144" t="s">
        <v>14</v>
      </c>
      <c r="C1086" s="5144" t="s">
        <v>3065</v>
      </c>
      <c r="D1086" s="5144" t="s">
        <v>3066</v>
      </c>
      <c r="E1086" s="5144" t="s">
        <v>3067</v>
      </c>
      <c r="F1086" s="5144" t="s">
        <v>2505</v>
      </c>
      <c r="G1086" s="5144" t="s">
        <v>3068</v>
      </c>
      <c r="H1086" s="5144" t="s">
        <v>24</v>
      </c>
      <c r="I1086" s="5144" t="s">
        <v>808</v>
      </c>
    </row>
    <row customHeight="1" ht="11.25">
      <c r="A1087" s="5144" t="s">
        <v>2177</v>
      </c>
      <c r="B1087" s="5144" t="s">
        <v>14</v>
      </c>
      <c r="C1087" s="5144" t="s">
        <v>3069</v>
      </c>
      <c r="D1087" s="5144" t="s">
        <v>3070</v>
      </c>
      <c r="E1087" s="5144" t="s">
        <v>3071</v>
      </c>
      <c r="F1087" s="5144" t="s">
        <v>2207</v>
      </c>
      <c r="G1087" s="5144" t="s">
        <v>3072</v>
      </c>
      <c r="H1087" s="5144" t="s">
        <v>24</v>
      </c>
      <c r="I1087" s="5144" t="s">
        <v>808</v>
      </c>
    </row>
    <row customHeight="1" ht="11.25">
      <c r="A1088" s="5144" t="s">
        <v>2177</v>
      </c>
      <c r="B1088" s="5144" t="s">
        <v>14</v>
      </c>
      <c r="C1088" s="5144" t="s">
        <v>3073</v>
      </c>
      <c r="D1088" s="5144" t="s">
        <v>3074</v>
      </c>
      <c r="E1088" s="5144" t="s">
        <v>3075</v>
      </c>
      <c r="F1088" s="5144" t="s">
        <v>2207</v>
      </c>
      <c r="G1088" s="5144" t="s">
        <v>3076</v>
      </c>
      <c r="H1088" s="5144" t="s">
        <v>3077</v>
      </c>
      <c r="I1088" s="5144" t="s">
        <v>808</v>
      </c>
    </row>
    <row customHeight="1" ht="11.25">
      <c r="A1089" s="5144" t="s">
        <v>2177</v>
      </c>
      <c r="B1089" s="5144" t="s">
        <v>14</v>
      </c>
      <c r="C1089" s="5144" t="s">
        <v>3078</v>
      </c>
      <c r="D1089" s="5144" t="s">
        <v>3074</v>
      </c>
      <c r="E1089" s="5144" t="s">
        <v>3079</v>
      </c>
      <c r="F1089" s="5144" t="s">
        <v>2467</v>
      </c>
      <c r="G1089" s="5144" t="s">
        <v>3080</v>
      </c>
      <c r="H1089" s="5144" t="s">
        <v>24</v>
      </c>
      <c r="I1089" s="5144" t="s">
        <v>808</v>
      </c>
    </row>
    <row customHeight="1" ht="11.25">
      <c r="A1090" s="5144" t="s">
        <v>2177</v>
      </c>
      <c r="B1090" s="5144" t="s">
        <v>14</v>
      </c>
      <c r="C1090" s="5144" t="s">
        <v>3990</v>
      </c>
      <c r="D1090" s="5144" t="s">
        <v>3991</v>
      </c>
      <c r="E1090" s="5144" t="s">
        <v>3992</v>
      </c>
      <c r="F1090" s="5144" t="s">
        <v>2520</v>
      </c>
      <c r="G1090" s="5144" t="s">
        <v>3993</v>
      </c>
      <c r="H1090" s="5144" t="s">
        <v>24</v>
      </c>
      <c r="I1090" s="5144" t="s">
        <v>808</v>
      </c>
    </row>
    <row customHeight="1" ht="11.25">
      <c r="A1091" s="5144" t="s">
        <v>2177</v>
      </c>
      <c r="B1091" s="5144" t="s">
        <v>14</v>
      </c>
      <c r="C1091" s="5144" t="s">
        <v>3093</v>
      </c>
      <c r="D1091" s="5144" t="s">
        <v>3094</v>
      </c>
      <c r="E1091" s="5144" t="s">
        <v>3095</v>
      </c>
      <c r="F1091" s="5144" t="s">
        <v>51</v>
      </c>
      <c r="G1091" s="5144" t="s">
        <v>3096</v>
      </c>
      <c r="H1091" s="5144" t="s">
        <v>24</v>
      </c>
      <c r="I1091" s="5144" t="s">
        <v>808</v>
      </c>
    </row>
    <row customHeight="1" ht="11.25">
      <c r="A1092" s="5144" t="s">
        <v>2177</v>
      </c>
      <c r="B1092" s="5144" t="s">
        <v>14</v>
      </c>
      <c r="C1092" s="5144" t="s">
        <v>3109</v>
      </c>
      <c r="D1092" s="5144" t="s">
        <v>3110</v>
      </c>
      <c r="E1092" s="5144" t="s">
        <v>3111</v>
      </c>
      <c r="F1092" s="5144" t="s">
        <v>51</v>
      </c>
      <c r="G1092" s="5144" t="s">
        <v>3112</v>
      </c>
      <c r="H1092" s="5144" t="s">
        <v>24</v>
      </c>
      <c r="I1092" s="5144" t="s">
        <v>808</v>
      </c>
    </row>
    <row customHeight="1" ht="11.25">
      <c r="A1093" s="5144" t="s">
        <v>2177</v>
      </c>
      <c r="B1093" s="5144" t="s">
        <v>14</v>
      </c>
      <c r="C1093" s="5144" t="s">
        <v>3113</v>
      </c>
      <c r="D1093" s="5144" t="s">
        <v>3114</v>
      </c>
      <c r="E1093" s="5144" t="s">
        <v>3115</v>
      </c>
      <c r="F1093" s="5144" t="s">
        <v>2226</v>
      </c>
      <c r="G1093" s="5144" t="s">
        <v>3116</v>
      </c>
      <c r="H1093" s="5144" t="s">
        <v>24</v>
      </c>
      <c r="I1093" s="5144" t="s">
        <v>808</v>
      </c>
    </row>
    <row customHeight="1" ht="11.25">
      <c r="A1094" s="5144" t="s">
        <v>2177</v>
      </c>
      <c r="B1094" s="5144" t="s">
        <v>14</v>
      </c>
      <c r="C1094" s="5144" t="s">
        <v>3121</v>
      </c>
      <c r="D1094" s="5144" t="s">
        <v>3122</v>
      </c>
      <c r="E1094" s="5144" t="s">
        <v>3123</v>
      </c>
      <c r="F1094" s="5144" t="s">
        <v>2183</v>
      </c>
      <c r="G1094" s="5144" t="s">
        <v>3124</v>
      </c>
      <c r="H1094" s="5144" t="s">
        <v>24</v>
      </c>
      <c r="I1094" s="5144" t="s">
        <v>808</v>
      </c>
    </row>
    <row customHeight="1" ht="11.25">
      <c r="A1095" s="5144" t="s">
        <v>2177</v>
      </c>
      <c r="B1095" s="5144" t="s">
        <v>14</v>
      </c>
      <c r="C1095" s="5144" t="s">
        <v>4111</v>
      </c>
      <c r="D1095" s="5144" t="s">
        <v>4112</v>
      </c>
      <c r="E1095" s="5144" t="s">
        <v>4113</v>
      </c>
      <c r="F1095" s="5144" t="s">
        <v>2673</v>
      </c>
      <c r="G1095" s="5144" t="s">
        <v>4114</v>
      </c>
      <c r="H1095" s="5144" t="s">
        <v>24</v>
      </c>
      <c r="I1095" s="5144" t="s">
        <v>808</v>
      </c>
    </row>
    <row customHeight="1" ht="11.25">
      <c r="A1096" s="5144" t="s">
        <v>2177</v>
      </c>
      <c r="B1096" s="5144" t="s">
        <v>14</v>
      </c>
      <c r="C1096" s="5144" t="s">
        <v>4115</v>
      </c>
      <c r="D1096" s="5144" t="s">
        <v>4116</v>
      </c>
      <c r="E1096" s="5144" t="s">
        <v>4117</v>
      </c>
      <c r="F1096" s="5144" t="s">
        <v>2231</v>
      </c>
      <c r="G1096" s="5144" t="s">
        <v>4118</v>
      </c>
      <c r="H1096" s="5144" t="s">
        <v>2971</v>
      </c>
      <c r="I1096" s="5144" t="s">
        <v>808</v>
      </c>
    </row>
    <row customHeight="1" ht="11.25">
      <c r="A1097" s="5144" t="s">
        <v>2177</v>
      </c>
      <c r="B1097" s="5144" t="s">
        <v>14</v>
      </c>
      <c r="C1097" s="5144" t="s">
        <v>3125</v>
      </c>
      <c r="D1097" s="5144" t="s">
        <v>3126</v>
      </c>
      <c r="E1097" s="5144" t="s">
        <v>3127</v>
      </c>
      <c r="F1097" s="5144" t="s">
        <v>2226</v>
      </c>
      <c r="G1097" s="5144" t="s">
        <v>3128</v>
      </c>
      <c r="H1097" s="5144" t="s">
        <v>24</v>
      </c>
      <c r="I1097" s="5144" t="s">
        <v>808</v>
      </c>
    </row>
    <row customHeight="1" ht="11.25">
      <c r="A1098" s="5144" t="s">
        <v>2177</v>
      </c>
      <c r="B1098" s="5144" t="s">
        <v>14</v>
      </c>
      <c r="C1098" s="5144" t="s">
        <v>3998</v>
      </c>
      <c r="D1098" s="5144" t="s">
        <v>3999</v>
      </c>
      <c r="E1098" s="5144" t="s">
        <v>4000</v>
      </c>
      <c r="F1098" s="5144" t="s">
        <v>2520</v>
      </c>
      <c r="G1098" s="5144" t="s">
        <v>4001</v>
      </c>
      <c r="H1098" s="5144" t="s">
        <v>24</v>
      </c>
      <c r="I1098" s="5144" t="s">
        <v>808</v>
      </c>
    </row>
    <row customHeight="1" ht="11.25">
      <c r="A1099" s="5144" t="s">
        <v>2177</v>
      </c>
      <c r="B1099" s="5144" t="s">
        <v>14</v>
      </c>
      <c r="C1099" s="5144" t="s">
        <v>4119</v>
      </c>
      <c r="D1099" s="5144" t="s">
        <v>4120</v>
      </c>
      <c r="E1099" s="5144" t="s">
        <v>4121</v>
      </c>
      <c r="F1099" s="5144" t="s">
        <v>2183</v>
      </c>
      <c r="G1099" s="5144" t="s">
        <v>4122</v>
      </c>
      <c r="H1099" s="5144" t="s">
        <v>24</v>
      </c>
      <c r="I1099" s="5144" t="s">
        <v>808</v>
      </c>
    </row>
    <row customHeight="1" ht="11.25">
      <c r="A1100" s="5144" t="s">
        <v>2177</v>
      </c>
      <c r="B1100" s="5144" t="s">
        <v>14</v>
      </c>
      <c r="C1100" s="5144" t="s">
        <v>4123</v>
      </c>
      <c r="D1100" s="5144" t="s">
        <v>4124</v>
      </c>
      <c r="E1100" s="5144" t="s">
        <v>4125</v>
      </c>
      <c r="F1100" s="5144" t="s">
        <v>2202</v>
      </c>
      <c r="G1100" s="5144" t="s">
        <v>3861</v>
      </c>
      <c r="H1100" s="5144" t="s">
        <v>24</v>
      </c>
      <c r="I1100" s="5144" t="s">
        <v>808</v>
      </c>
    </row>
    <row customHeight="1" ht="11.25">
      <c r="A1101" s="5144" t="s">
        <v>2177</v>
      </c>
      <c r="B1101" s="5144" t="s">
        <v>14</v>
      </c>
      <c r="C1101" s="5144" t="s">
        <v>3137</v>
      </c>
      <c r="D1101" s="5144" t="s">
        <v>3138</v>
      </c>
      <c r="E1101" s="5144" t="s">
        <v>3139</v>
      </c>
      <c r="F1101" s="5144" t="s">
        <v>2912</v>
      </c>
      <c r="G1101" s="5144" t="s">
        <v>3140</v>
      </c>
      <c r="H1101" s="5144" t="s">
        <v>24</v>
      </c>
      <c r="I1101" s="5144" t="s">
        <v>808</v>
      </c>
    </row>
    <row customHeight="1" ht="11.25">
      <c r="A1102" s="5144" t="s">
        <v>2177</v>
      </c>
      <c r="B1102" s="5144" t="s">
        <v>14</v>
      </c>
      <c r="C1102" s="5144" t="s">
        <v>3141</v>
      </c>
      <c r="D1102" s="5144" t="s">
        <v>3142</v>
      </c>
      <c r="E1102" s="5144" t="s">
        <v>3143</v>
      </c>
      <c r="F1102" s="5144" t="s">
        <v>2192</v>
      </c>
      <c r="G1102" s="5144" t="s">
        <v>3144</v>
      </c>
      <c r="H1102" s="5144" t="s">
        <v>24</v>
      </c>
      <c r="I1102" s="5144" t="s">
        <v>808</v>
      </c>
    </row>
    <row customHeight="1" ht="11.25">
      <c r="A1103" s="5144" t="s">
        <v>2177</v>
      </c>
      <c r="B1103" s="5144" t="s">
        <v>14</v>
      </c>
      <c r="C1103" s="5144" t="s">
        <v>3149</v>
      </c>
      <c r="D1103" s="5144" t="s">
        <v>3150</v>
      </c>
      <c r="E1103" s="5144" t="s">
        <v>3151</v>
      </c>
      <c r="F1103" s="5144" t="s">
        <v>2231</v>
      </c>
      <c r="G1103" s="5144" t="s">
        <v>3152</v>
      </c>
      <c r="H1103" s="5144" t="s">
        <v>24</v>
      </c>
      <c r="I1103" s="5144" t="s">
        <v>808</v>
      </c>
    </row>
    <row customHeight="1" ht="11.25">
      <c r="A1104" s="5144" t="s">
        <v>2177</v>
      </c>
      <c r="B1104" s="5144" t="s">
        <v>14</v>
      </c>
      <c r="C1104" s="5144" t="s">
        <v>3165</v>
      </c>
      <c r="D1104" s="5144" t="s">
        <v>3166</v>
      </c>
      <c r="E1104" s="5144" t="s">
        <v>3167</v>
      </c>
      <c r="F1104" s="5144" t="s">
        <v>2186</v>
      </c>
      <c r="G1104" s="5144" t="s">
        <v>3168</v>
      </c>
      <c r="H1104" s="5144" t="s">
        <v>24</v>
      </c>
      <c r="I1104" s="5144" t="s">
        <v>808</v>
      </c>
    </row>
    <row customHeight="1" ht="11.25">
      <c r="A1105" s="5144" t="s">
        <v>2177</v>
      </c>
      <c r="B1105" s="5144" t="s">
        <v>14</v>
      </c>
      <c r="C1105" s="5144" t="s">
        <v>4010</v>
      </c>
      <c r="D1105" s="5144" t="s">
        <v>3170</v>
      </c>
      <c r="E1105" s="5144" t="s">
        <v>4011</v>
      </c>
      <c r="F1105" s="5144" t="s">
        <v>2202</v>
      </c>
      <c r="G1105" s="5144" t="s">
        <v>4012</v>
      </c>
      <c r="H1105" s="5144" t="s">
        <v>24</v>
      </c>
      <c r="I1105" s="5144" t="s">
        <v>808</v>
      </c>
    </row>
    <row customHeight="1" ht="11.25">
      <c r="A1106" s="5144" t="s">
        <v>2177</v>
      </c>
      <c r="B1106" s="5144" t="s">
        <v>14</v>
      </c>
      <c r="C1106" s="5144" t="s">
        <v>4013</v>
      </c>
      <c r="D1106" s="5144" t="s">
        <v>4014</v>
      </c>
      <c r="E1106" s="5144" t="s">
        <v>4015</v>
      </c>
      <c r="F1106" s="5144" t="s">
        <v>2202</v>
      </c>
      <c r="G1106" s="5144" t="s">
        <v>24</v>
      </c>
      <c r="H1106" s="5144" t="s">
        <v>24</v>
      </c>
      <c r="I1106" s="5144" t="s">
        <v>808</v>
      </c>
    </row>
    <row customHeight="1" ht="11.25">
      <c r="A1107" s="5144" t="s">
        <v>2177</v>
      </c>
      <c r="B1107" s="5144" t="s">
        <v>14</v>
      </c>
      <c r="C1107" s="5144" t="s">
        <v>3189</v>
      </c>
      <c r="D1107" s="5144" t="s">
        <v>3190</v>
      </c>
      <c r="E1107" s="5144" t="s">
        <v>3191</v>
      </c>
      <c r="F1107" s="5144" t="s">
        <v>2202</v>
      </c>
      <c r="G1107" s="5144" t="s">
        <v>3192</v>
      </c>
      <c r="H1107" s="5144" t="s">
        <v>24</v>
      </c>
      <c r="I1107" s="5144" t="s">
        <v>808</v>
      </c>
    </row>
    <row customHeight="1" ht="11.25">
      <c r="A1108" s="5144" t="s">
        <v>2177</v>
      </c>
      <c r="B1108" s="5144" t="s">
        <v>14</v>
      </c>
      <c r="C1108" s="5144" t="s">
        <v>3201</v>
      </c>
      <c r="D1108" s="5144" t="s">
        <v>3202</v>
      </c>
      <c r="E1108" s="5144" t="s">
        <v>3203</v>
      </c>
      <c r="F1108" s="5144" t="s">
        <v>2505</v>
      </c>
      <c r="G1108" s="5144" t="s">
        <v>24</v>
      </c>
      <c r="H1108" s="5144" t="s">
        <v>24</v>
      </c>
      <c r="I1108" s="5144" t="s">
        <v>808</v>
      </c>
    </row>
    <row customHeight="1" ht="11.25">
      <c r="A1109" s="5144" t="s">
        <v>2177</v>
      </c>
      <c r="B1109" s="5144" t="s">
        <v>14</v>
      </c>
      <c r="C1109" s="5144" t="s">
        <v>3239</v>
      </c>
      <c r="D1109" s="5144" t="s">
        <v>3240</v>
      </c>
      <c r="E1109" s="5144" t="s">
        <v>3241</v>
      </c>
      <c r="F1109" s="5144" t="s">
        <v>2467</v>
      </c>
      <c r="G1109" s="5144" t="s">
        <v>3242</v>
      </c>
      <c r="H1109" s="5144" t="s">
        <v>24</v>
      </c>
      <c r="I1109" s="5144" t="s">
        <v>808</v>
      </c>
    </row>
    <row customHeight="1" ht="11.25">
      <c r="A1110" s="5144" t="s">
        <v>2177</v>
      </c>
      <c r="B1110" s="5144" t="s">
        <v>14</v>
      </c>
      <c r="C1110" s="5144" t="s">
        <v>3246</v>
      </c>
      <c r="D1110" s="5144" t="s">
        <v>3247</v>
      </c>
      <c r="E1110" s="5144" t="s">
        <v>3248</v>
      </c>
      <c r="F1110" s="5144" t="s">
        <v>2207</v>
      </c>
      <c r="G1110" s="5144" t="s">
        <v>3249</v>
      </c>
      <c r="H1110" s="5144" t="s">
        <v>3250</v>
      </c>
      <c r="I1110" s="5144" t="s">
        <v>808</v>
      </c>
    </row>
    <row customHeight="1" ht="11.25">
      <c r="A1111" s="5144" t="s">
        <v>2177</v>
      </c>
      <c r="B1111" s="5144" t="s">
        <v>14</v>
      </c>
      <c r="C1111" s="5144" t="s">
        <v>3251</v>
      </c>
      <c r="D1111" s="5144" t="s">
        <v>3252</v>
      </c>
      <c r="E1111" s="5144" t="s">
        <v>3253</v>
      </c>
      <c r="F1111" s="5144" t="s">
        <v>2183</v>
      </c>
      <c r="G1111" s="5144" t="s">
        <v>3254</v>
      </c>
      <c r="H1111" s="5144" t="s">
        <v>24</v>
      </c>
      <c r="I1111" s="5144" t="s">
        <v>808</v>
      </c>
    </row>
    <row customHeight="1" ht="11.25">
      <c r="A1112" s="5144" t="s">
        <v>2177</v>
      </c>
      <c r="B1112" s="5144" t="s">
        <v>14</v>
      </c>
      <c r="C1112" s="5144" t="s">
        <v>3255</v>
      </c>
      <c r="D1112" s="5144" t="s">
        <v>3256</v>
      </c>
      <c r="E1112" s="5144" t="s">
        <v>3257</v>
      </c>
      <c r="F1112" s="5144" t="s">
        <v>2810</v>
      </c>
      <c r="G1112" s="5144" t="s">
        <v>3258</v>
      </c>
      <c r="H1112" s="5144" t="s">
        <v>24</v>
      </c>
      <c r="I1112" s="5144" t="s">
        <v>808</v>
      </c>
    </row>
    <row customHeight="1" ht="11.25">
      <c r="A1113" s="5144" t="s">
        <v>2177</v>
      </c>
      <c r="B1113" s="5144" t="s">
        <v>14</v>
      </c>
      <c r="C1113" s="5144" t="s">
        <v>4126</v>
      </c>
      <c r="D1113" s="5144" t="s">
        <v>4127</v>
      </c>
      <c r="E1113" s="5144" t="s">
        <v>4128</v>
      </c>
      <c r="F1113" s="5144" t="s">
        <v>2912</v>
      </c>
      <c r="G1113" s="5144" t="s">
        <v>4129</v>
      </c>
      <c r="H1113" s="5144" t="s">
        <v>4130</v>
      </c>
      <c r="I1113" s="5144" t="s">
        <v>808</v>
      </c>
    </row>
    <row customHeight="1" ht="11.25">
      <c r="A1114" s="5144" t="s">
        <v>2177</v>
      </c>
      <c r="B1114" s="5144" t="s">
        <v>14</v>
      </c>
      <c r="C1114" s="5144" t="s">
        <v>4016</v>
      </c>
      <c r="D1114" s="5144" t="s">
        <v>4017</v>
      </c>
      <c r="E1114" s="5144" t="s">
        <v>4018</v>
      </c>
      <c r="F1114" s="5144" t="s">
        <v>2202</v>
      </c>
      <c r="G1114" s="5144" t="s">
        <v>4019</v>
      </c>
      <c r="H1114" s="5144" t="s">
        <v>24</v>
      </c>
      <c r="I1114" s="5144" t="s">
        <v>808</v>
      </c>
    </row>
    <row customHeight="1" ht="11.25">
      <c r="A1115" s="5144" t="s">
        <v>2177</v>
      </c>
      <c r="B1115" s="5144" t="s">
        <v>14</v>
      </c>
      <c r="C1115" s="5144" t="s">
        <v>3267</v>
      </c>
      <c r="D1115" s="5144" t="s">
        <v>3268</v>
      </c>
      <c r="E1115" s="5144" t="s">
        <v>3269</v>
      </c>
      <c r="F1115" s="5144" t="s">
        <v>2192</v>
      </c>
      <c r="G1115" s="5144" t="s">
        <v>24</v>
      </c>
      <c r="H1115" s="5144" t="s">
        <v>24</v>
      </c>
      <c r="I1115" s="5144" t="s">
        <v>808</v>
      </c>
    </row>
    <row customHeight="1" ht="11.25">
      <c r="A1116" s="5144" t="s">
        <v>2177</v>
      </c>
      <c r="B1116" s="5144" t="s">
        <v>14</v>
      </c>
      <c r="C1116" s="5144" t="s">
        <v>3270</v>
      </c>
      <c r="D1116" s="5144" t="s">
        <v>3271</v>
      </c>
      <c r="E1116" s="5144" t="s">
        <v>3272</v>
      </c>
      <c r="F1116" s="5144" t="s">
        <v>2226</v>
      </c>
      <c r="G1116" s="5144" t="s">
        <v>3273</v>
      </c>
      <c r="H1116" s="5144" t="s">
        <v>24</v>
      </c>
      <c r="I1116" s="5144" t="s">
        <v>808</v>
      </c>
    </row>
    <row customHeight="1" ht="11.25">
      <c r="A1117" s="5144" t="s">
        <v>2177</v>
      </c>
      <c r="B1117" s="5144" t="s">
        <v>14</v>
      </c>
      <c r="C1117" s="5144" t="s">
        <v>3278</v>
      </c>
      <c r="D1117" s="5144" t="s">
        <v>3279</v>
      </c>
      <c r="E1117" s="5144" t="s">
        <v>3280</v>
      </c>
      <c r="F1117" s="5144" t="s">
        <v>2226</v>
      </c>
      <c r="G1117" s="5144" t="s">
        <v>3281</v>
      </c>
      <c r="H1117" s="5144" t="s">
        <v>24</v>
      </c>
      <c r="I1117" s="5144" t="s">
        <v>808</v>
      </c>
    </row>
    <row customHeight="1" ht="11.25">
      <c r="A1118" s="5144" t="s">
        <v>2177</v>
      </c>
      <c r="B1118" s="5144" t="s">
        <v>14</v>
      </c>
      <c r="C1118" s="5144" t="s">
        <v>4020</v>
      </c>
      <c r="D1118" s="5144" t="s">
        <v>4021</v>
      </c>
      <c r="E1118" s="5144" t="s">
        <v>4022</v>
      </c>
      <c r="F1118" s="5144" t="s">
        <v>2226</v>
      </c>
      <c r="G1118" s="5144" t="s">
        <v>4023</v>
      </c>
      <c r="H1118" s="5144" t="s">
        <v>24</v>
      </c>
      <c r="I1118" s="5144" t="s">
        <v>808</v>
      </c>
    </row>
    <row customHeight="1" ht="11.25">
      <c r="A1119" s="5144" t="s">
        <v>2177</v>
      </c>
      <c r="B1119" s="5144" t="s">
        <v>14</v>
      </c>
      <c r="C1119" s="5144" t="s">
        <v>3286</v>
      </c>
      <c r="D1119" s="5144" t="s">
        <v>3287</v>
      </c>
      <c r="E1119" s="5144" t="s">
        <v>3288</v>
      </c>
      <c r="F1119" s="5144" t="s">
        <v>2202</v>
      </c>
      <c r="G1119" s="5144" t="s">
        <v>3289</v>
      </c>
      <c r="H1119" s="5144" t="s">
        <v>24</v>
      </c>
      <c r="I1119" s="5144" t="s">
        <v>808</v>
      </c>
    </row>
    <row customHeight="1" ht="11.25">
      <c r="A1120" s="5144" t="s">
        <v>2177</v>
      </c>
      <c r="B1120" s="5144" t="s">
        <v>14</v>
      </c>
      <c r="C1120" s="5144" t="s">
        <v>3290</v>
      </c>
      <c r="D1120" s="5144" t="s">
        <v>3291</v>
      </c>
      <c r="E1120" s="5144" t="s">
        <v>3292</v>
      </c>
      <c r="F1120" s="5144" t="s">
        <v>3293</v>
      </c>
      <c r="G1120" s="5144" t="s">
        <v>3294</v>
      </c>
      <c r="H1120" s="5144" t="s">
        <v>24</v>
      </c>
      <c r="I1120" s="5144" t="s">
        <v>808</v>
      </c>
    </row>
    <row customHeight="1" ht="11.25">
      <c r="A1121" s="5144" t="s">
        <v>2177</v>
      </c>
      <c r="B1121" s="5144" t="s">
        <v>14</v>
      </c>
      <c r="C1121" s="5144" t="s">
        <v>3299</v>
      </c>
      <c r="D1121" s="5144" t="s">
        <v>3300</v>
      </c>
      <c r="E1121" s="5144" t="s">
        <v>3301</v>
      </c>
      <c r="F1121" s="5144" t="s">
        <v>2231</v>
      </c>
      <c r="G1121" s="5144" t="s">
        <v>3302</v>
      </c>
      <c r="H1121" s="5144" t="s">
        <v>24</v>
      </c>
      <c r="I1121" s="5144" t="s">
        <v>808</v>
      </c>
    </row>
    <row customHeight="1" ht="11.25">
      <c r="A1122" s="5144" t="s">
        <v>2177</v>
      </c>
      <c r="B1122" s="5144" t="s">
        <v>14</v>
      </c>
      <c r="C1122" s="5144" t="s">
        <v>3303</v>
      </c>
      <c r="D1122" s="5144" t="s">
        <v>3304</v>
      </c>
      <c r="E1122" s="5144" t="s">
        <v>3305</v>
      </c>
      <c r="F1122" s="5144" t="s">
        <v>2231</v>
      </c>
      <c r="G1122" s="5144" t="s">
        <v>3306</v>
      </c>
      <c r="H1122" s="5144" t="s">
        <v>24</v>
      </c>
      <c r="I1122" s="5144" t="s">
        <v>808</v>
      </c>
    </row>
    <row customHeight="1" ht="11.25">
      <c r="A1123" s="5144" t="s">
        <v>2177</v>
      </c>
      <c r="B1123" s="5144" t="s">
        <v>14</v>
      </c>
      <c r="C1123" s="5144" t="s">
        <v>3307</v>
      </c>
      <c r="D1123" s="5144" t="s">
        <v>3308</v>
      </c>
      <c r="E1123" s="5144" t="s">
        <v>3309</v>
      </c>
      <c r="F1123" s="5144" t="s">
        <v>2252</v>
      </c>
      <c r="G1123" s="5144" t="s">
        <v>3310</v>
      </c>
      <c r="H1123" s="5144" t="s">
        <v>24</v>
      </c>
      <c r="I1123" s="5144" t="s">
        <v>808</v>
      </c>
    </row>
    <row customHeight="1" ht="11.25">
      <c r="A1124" s="5144" t="s">
        <v>2177</v>
      </c>
      <c r="B1124" s="5144" t="s">
        <v>14</v>
      </c>
      <c r="C1124" s="5144" t="s">
        <v>3311</v>
      </c>
      <c r="D1124" s="5144" t="s">
        <v>3312</v>
      </c>
      <c r="E1124" s="5144" t="s">
        <v>3313</v>
      </c>
      <c r="F1124" s="5144" t="s">
        <v>2207</v>
      </c>
      <c r="G1124" s="5144" t="s">
        <v>3314</v>
      </c>
      <c r="H1124" s="5144" t="s">
        <v>24</v>
      </c>
      <c r="I1124" s="5144" t="s">
        <v>808</v>
      </c>
    </row>
    <row customHeight="1" ht="11.25">
      <c r="A1125" s="5144" t="s">
        <v>2177</v>
      </c>
      <c r="B1125" s="5144" t="s">
        <v>14</v>
      </c>
      <c r="C1125" s="5144" t="s">
        <v>3319</v>
      </c>
      <c r="D1125" s="5144" t="s">
        <v>3320</v>
      </c>
      <c r="E1125" s="5144" t="s">
        <v>3321</v>
      </c>
      <c r="F1125" s="5144" t="s">
        <v>2467</v>
      </c>
      <c r="G1125" s="5144" t="s">
        <v>3322</v>
      </c>
      <c r="H1125" s="5144" t="s">
        <v>24</v>
      </c>
      <c r="I1125" s="5144" t="s">
        <v>808</v>
      </c>
    </row>
    <row customHeight="1" ht="11.25">
      <c r="A1126" s="5144" t="s">
        <v>2177</v>
      </c>
      <c r="B1126" s="5144" t="s">
        <v>14</v>
      </c>
      <c r="C1126" s="5144" t="s">
        <v>4028</v>
      </c>
      <c r="D1126" s="5144" t="s">
        <v>4029</v>
      </c>
      <c r="E1126" s="5144" t="s">
        <v>4030</v>
      </c>
      <c r="F1126" s="5144" t="s">
        <v>2231</v>
      </c>
      <c r="G1126" s="5144" t="s">
        <v>2438</v>
      </c>
      <c r="H1126" s="5144" t="s">
        <v>24</v>
      </c>
      <c r="I1126" s="5144" t="s">
        <v>808</v>
      </c>
    </row>
    <row customHeight="1" ht="11.25">
      <c r="A1127" s="5144" t="s">
        <v>2177</v>
      </c>
      <c r="B1127" s="5144" t="s">
        <v>14</v>
      </c>
      <c r="C1127" s="5144" t="s">
        <v>4131</v>
      </c>
      <c r="D1127" s="5144" t="s">
        <v>4132</v>
      </c>
      <c r="E1127" s="5144" t="s">
        <v>4133</v>
      </c>
      <c r="F1127" s="5144" t="s">
        <v>2912</v>
      </c>
      <c r="G1127" s="5144" t="s">
        <v>4134</v>
      </c>
      <c r="H1127" s="5144" t="s">
        <v>24</v>
      </c>
      <c r="I1127" s="5144" t="s">
        <v>808</v>
      </c>
    </row>
    <row customHeight="1" ht="11.25">
      <c r="A1128" s="5144" t="s">
        <v>2177</v>
      </c>
      <c r="B1128" s="5144" t="s">
        <v>14</v>
      </c>
      <c r="C1128" s="5144" t="s">
        <v>4031</v>
      </c>
      <c r="D1128" s="5144" t="s">
        <v>3342</v>
      </c>
      <c r="E1128" s="5144" t="s">
        <v>4032</v>
      </c>
      <c r="F1128" s="5144" t="s">
        <v>2912</v>
      </c>
      <c r="G1128" s="5144" t="s">
        <v>4033</v>
      </c>
      <c r="H1128" s="5144" t="s">
        <v>24</v>
      </c>
      <c r="I1128" s="5144" t="s">
        <v>808</v>
      </c>
    </row>
    <row customHeight="1" ht="11.25">
      <c r="A1129" s="5144" t="s">
        <v>2177</v>
      </c>
      <c r="B1129" s="5144" t="s">
        <v>14</v>
      </c>
      <c r="C1129" s="5144" t="s">
        <v>3341</v>
      </c>
      <c r="D1129" s="5144" t="s">
        <v>3342</v>
      </c>
      <c r="E1129" s="5144" t="s">
        <v>3343</v>
      </c>
      <c r="F1129" s="5144" t="s">
        <v>2520</v>
      </c>
      <c r="G1129" s="5144" t="s">
        <v>3344</v>
      </c>
      <c r="H1129" s="5144" t="s">
        <v>24</v>
      </c>
      <c r="I1129" s="5144" t="s">
        <v>808</v>
      </c>
    </row>
    <row customHeight="1" ht="11.25">
      <c r="A1130" s="5144" t="s">
        <v>2177</v>
      </c>
      <c r="B1130" s="5144" t="s">
        <v>14</v>
      </c>
      <c r="C1130" s="5144" t="s">
        <v>3353</v>
      </c>
      <c r="D1130" s="5144" t="s">
        <v>3354</v>
      </c>
      <c r="E1130" s="5144" t="s">
        <v>3355</v>
      </c>
      <c r="F1130" s="5144" t="s">
        <v>2277</v>
      </c>
      <c r="G1130" s="5144" t="s">
        <v>3356</v>
      </c>
      <c r="H1130" s="5144" t="s">
        <v>24</v>
      </c>
      <c r="I1130" s="5144" t="s">
        <v>808</v>
      </c>
    </row>
    <row customHeight="1" ht="11.25">
      <c r="A1131" s="5144" t="s">
        <v>2177</v>
      </c>
      <c r="B1131" s="5144" t="s">
        <v>14</v>
      </c>
      <c r="C1131" s="5144" t="s">
        <v>3357</v>
      </c>
      <c r="D1131" s="5144" t="s">
        <v>3358</v>
      </c>
      <c r="E1131" s="5144" t="s">
        <v>3359</v>
      </c>
      <c r="F1131" s="5144" t="s">
        <v>2202</v>
      </c>
      <c r="G1131" s="5144" t="s">
        <v>3360</v>
      </c>
      <c r="H1131" s="5144" t="s">
        <v>24</v>
      </c>
      <c r="I1131" s="5144" t="s">
        <v>808</v>
      </c>
    </row>
    <row customHeight="1" ht="11.25">
      <c r="A1132" s="5144" t="s">
        <v>2177</v>
      </c>
      <c r="B1132" s="5144" t="s">
        <v>14</v>
      </c>
      <c r="C1132" s="5144" t="s">
        <v>3361</v>
      </c>
      <c r="D1132" s="5144" t="s">
        <v>3362</v>
      </c>
      <c r="E1132" s="5144" t="s">
        <v>3363</v>
      </c>
      <c r="F1132" s="5144" t="s">
        <v>3364</v>
      </c>
      <c r="G1132" s="5144" t="s">
        <v>24</v>
      </c>
      <c r="H1132" s="5144" t="s">
        <v>24</v>
      </c>
      <c r="I1132" s="5144" t="s">
        <v>808</v>
      </c>
    </row>
    <row customHeight="1" ht="11.25">
      <c r="A1133" s="5144" t="s">
        <v>2177</v>
      </c>
      <c r="B1133" s="5144" t="s">
        <v>14</v>
      </c>
      <c r="C1133" s="5144" t="s">
        <v>3373</v>
      </c>
      <c r="D1133" s="5144" t="s">
        <v>3374</v>
      </c>
      <c r="E1133" s="5144" t="s">
        <v>3375</v>
      </c>
      <c r="F1133" s="5144" t="s">
        <v>2231</v>
      </c>
      <c r="G1133" s="5144" t="s">
        <v>3376</v>
      </c>
      <c r="H1133" s="5144" t="s">
        <v>3377</v>
      </c>
      <c r="I1133" s="5144" t="s">
        <v>808</v>
      </c>
    </row>
    <row customHeight="1" ht="11.25">
      <c r="A1134" s="5144" t="s">
        <v>2177</v>
      </c>
      <c r="B1134" s="5144" t="s">
        <v>14</v>
      </c>
      <c r="C1134" s="5144" t="s">
        <v>4038</v>
      </c>
      <c r="D1134" s="5144" t="s">
        <v>4039</v>
      </c>
      <c r="E1134" s="5144" t="s">
        <v>4040</v>
      </c>
      <c r="F1134" s="5144" t="s">
        <v>2467</v>
      </c>
      <c r="G1134" s="5144" t="s">
        <v>4041</v>
      </c>
      <c r="H1134" s="5144" t="s">
        <v>24</v>
      </c>
      <c r="I1134" s="5144" t="s">
        <v>808</v>
      </c>
    </row>
    <row customHeight="1" ht="11.25">
      <c r="A1135" s="5144" t="s">
        <v>2177</v>
      </c>
      <c r="B1135" s="5144" t="s">
        <v>14</v>
      </c>
      <c r="C1135" s="5144" t="s">
        <v>3395</v>
      </c>
      <c r="D1135" s="5144" t="s">
        <v>3396</v>
      </c>
      <c r="E1135" s="5144" t="s">
        <v>3397</v>
      </c>
      <c r="F1135" s="5144" t="s">
        <v>2673</v>
      </c>
      <c r="G1135" s="5144" t="s">
        <v>3398</v>
      </c>
      <c r="H1135" s="5144" t="s">
        <v>24</v>
      </c>
      <c r="I1135" s="5144" t="s">
        <v>808</v>
      </c>
    </row>
    <row customHeight="1" ht="11.25">
      <c r="A1136" s="5144" t="s">
        <v>2177</v>
      </c>
      <c r="B1136" s="5144" t="s">
        <v>14</v>
      </c>
      <c r="C1136" s="5144" t="s">
        <v>4045</v>
      </c>
      <c r="D1136" s="5144" t="s">
        <v>4046</v>
      </c>
      <c r="E1136" s="5144" t="s">
        <v>4047</v>
      </c>
      <c r="F1136" s="5144" t="s">
        <v>2231</v>
      </c>
      <c r="G1136" s="5144" t="s">
        <v>4048</v>
      </c>
      <c r="H1136" s="5144" t="s">
        <v>24</v>
      </c>
      <c r="I1136" s="5144" t="s">
        <v>808</v>
      </c>
    </row>
    <row customHeight="1" ht="11.25">
      <c r="A1137" s="5144" t="s">
        <v>2177</v>
      </c>
      <c r="B1137" s="5144" t="s">
        <v>14</v>
      </c>
      <c r="C1137" s="5144" t="s">
        <v>4135</v>
      </c>
      <c r="D1137" s="5144" t="s">
        <v>4136</v>
      </c>
      <c r="E1137" s="5144" t="s">
        <v>4137</v>
      </c>
      <c r="F1137" s="5144" t="s">
        <v>51</v>
      </c>
      <c r="G1137" s="5144" t="s">
        <v>24</v>
      </c>
      <c r="H1137" s="5144" t="s">
        <v>24</v>
      </c>
      <c r="I1137" s="5144" t="s">
        <v>808</v>
      </c>
    </row>
    <row customHeight="1" ht="11.25">
      <c r="A1138" s="5144" t="s">
        <v>2177</v>
      </c>
      <c r="B1138" s="5144" t="s">
        <v>14</v>
      </c>
      <c r="C1138" s="5144" t="s">
        <v>4049</v>
      </c>
      <c r="D1138" s="5144" t="s">
        <v>4050</v>
      </c>
      <c r="E1138" s="5144" t="s">
        <v>4051</v>
      </c>
      <c r="F1138" s="5144" t="s">
        <v>2231</v>
      </c>
      <c r="G1138" s="5144" t="s">
        <v>4052</v>
      </c>
      <c r="H1138" s="5144" t="s">
        <v>24</v>
      </c>
      <c r="I1138" s="5144" t="s">
        <v>808</v>
      </c>
    </row>
    <row customHeight="1" ht="11.25">
      <c r="A1139" s="5144" t="s">
        <v>2177</v>
      </c>
      <c r="B1139" s="5144" t="s">
        <v>14</v>
      </c>
      <c r="C1139" s="5144" t="s">
        <v>3410</v>
      </c>
      <c r="D1139" s="5144" t="s">
        <v>3411</v>
      </c>
      <c r="E1139" s="5144" t="s">
        <v>3412</v>
      </c>
      <c r="F1139" s="5144" t="s">
        <v>2202</v>
      </c>
      <c r="G1139" s="5144" t="s">
        <v>24</v>
      </c>
      <c r="H1139" s="5144" t="s">
        <v>24</v>
      </c>
      <c r="I1139" s="5144" t="s">
        <v>808</v>
      </c>
    </row>
    <row customHeight="1" ht="11.25">
      <c r="A1140" s="5144" t="s">
        <v>2177</v>
      </c>
      <c r="B1140" s="5144" t="s">
        <v>14</v>
      </c>
      <c r="C1140" s="5144" t="s">
        <v>4138</v>
      </c>
      <c r="D1140" s="5144" t="s">
        <v>4139</v>
      </c>
      <c r="E1140" s="5144" t="s">
        <v>4140</v>
      </c>
      <c r="F1140" s="5144" t="s">
        <v>2288</v>
      </c>
      <c r="G1140" s="5144" t="s">
        <v>24</v>
      </c>
      <c r="H1140" s="5144" t="s">
        <v>24</v>
      </c>
      <c r="I1140" s="5144" t="s">
        <v>808</v>
      </c>
    </row>
    <row customHeight="1" ht="11.25">
      <c r="A1141" s="5144" t="s">
        <v>2177</v>
      </c>
      <c r="B1141" s="5144" t="s">
        <v>14</v>
      </c>
      <c r="C1141" s="5144" t="s">
        <v>4141</v>
      </c>
      <c r="D1141" s="5144" t="s">
        <v>4142</v>
      </c>
      <c r="E1141" s="5144" t="s">
        <v>4143</v>
      </c>
      <c r="F1141" s="5144" t="s">
        <v>2231</v>
      </c>
      <c r="G1141" s="5144" t="s">
        <v>3541</v>
      </c>
      <c r="H1141" s="5144" t="s">
        <v>24</v>
      </c>
      <c r="I1141" s="5144" t="s">
        <v>808</v>
      </c>
    </row>
    <row customHeight="1" ht="11.25">
      <c r="A1142" s="5144" t="s">
        <v>2177</v>
      </c>
      <c r="B1142" s="5144" t="s">
        <v>14</v>
      </c>
      <c r="C1142" s="5144" t="s">
        <v>4144</v>
      </c>
      <c r="D1142" s="5144" t="s">
        <v>4145</v>
      </c>
      <c r="E1142" s="5144" t="s">
        <v>4146</v>
      </c>
      <c r="F1142" s="5144" t="s">
        <v>2467</v>
      </c>
      <c r="G1142" s="5144" t="s">
        <v>4147</v>
      </c>
      <c r="H1142" s="5144" t="s">
        <v>24</v>
      </c>
      <c r="I1142" s="5144" t="s">
        <v>808</v>
      </c>
    </row>
    <row customHeight="1" ht="11.25">
      <c r="A1143" s="5144" t="s">
        <v>2177</v>
      </c>
      <c r="B1143" s="5144" t="s">
        <v>14</v>
      </c>
      <c r="C1143" s="5144" t="s">
        <v>4062</v>
      </c>
      <c r="D1143" s="5144" t="s">
        <v>4063</v>
      </c>
      <c r="E1143" s="5144" t="s">
        <v>4064</v>
      </c>
      <c r="F1143" s="5144" t="s">
        <v>2226</v>
      </c>
      <c r="G1143" s="5144" t="s">
        <v>4065</v>
      </c>
      <c r="H1143" s="5144" t="s">
        <v>24</v>
      </c>
      <c r="I1143" s="5144" t="s">
        <v>808</v>
      </c>
    </row>
    <row customHeight="1" ht="11.25">
      <c r="A1144" s="5144" t="s">
        <v>2177</v>
      </c>
      <c r="B1144" s="5144" t="s">
        <v>14</v>
      </c>
      <c r="C1144" s="5144" t="s">
        <v>4148</v>
      </c>
      <c r="D1144" s="5144" t="s">
        <v>4149</v>
      </c>
      <c r="E1144" s="5144" t="s">
        <v>4150</v>
      </c>
      <c r="F1144" s="5144" t="s">
        <v>2231</v>
      </c>
      <c r="G1144" s="5144" t="s">
        <v>4151</v>
      </c>
      <c r="H1144" s="5144" t="s">
        <v>24</v>
      </c>
      <c r="I1144" s="5144" t="s">
        <v>808</v>
      </c>
    </row>
    <row customHeight="1" ht="11.25">
      <c r="A1145" s="5144" t="s">
        <v>2177</v>
      </c>
      <c r="B1145" s="5144" t="s">
        <v>14</v>
      </c>
      <c r="C1145" s="5144" t="s">
        <v>3422</v>
      </c>
      <c r="D1145" s="5144" t="s">
        <v>3423</v>
      </c>
      <c r="E1145" s="5144" t="s">
        <v>3424</v>
      </c>
      <c r="F1145" s="5144" t="s">
        <v>3425</v>
      </c>
      <c r="G1145" s="5144" t="s">
        <v>24</v>
      </c>
      <c r="H1145" s="5144" t="s">
        <v>24</v>
      </c>
      <c r="I1145" s="5144" t="s">
        <v>808</v>
      </c>
    </row>
    <row customHeight="1" ht="11.25">
      <c r="A1146" s="5144" t="s">
        <v>2177</v>
      </c>
      <c r="B1146" s="5144" t="s">
        <v>14</v>
      </c>
      <c r="C1146" s="5144" t="s">
        <v>4152</v>
      </c>
      <c r="D1146" s="5144" t="s">
        <v>4153</v>
      </c>
      <c r="E1146" s="5144" t="s">
        <v>4154</v>
      </c>
      <c r="F1146" s="5144" t="s">
        <v>3665</v>
      </c>
      <c r="G1146" s="5144" t="s">
        <v>4155</v>
      </c>
      <c r="H1146" s="5144" t="s">
        <v>24</v>
      </c>
      <c r="I1146" s="5144" t="s">
        <v>808</v>
      </c>
    </row>
    <row customHeight="1" ht="11.25">
      <c r="A1147" s="5144" t="s">
        <v>2177</v>
      </c>
      <c r="B1147" s="5144" t="s">
        <v>14</v>
      </c>
      <c r="C1147" s="5144" t="s">
        <v>24</v>
      </c>
      <c r="D1147" s="5144" t="s">
        <v>3430</v>
      </c>
      <c r="E1147" s="5144" t="s">
        <v>3431</v>
      </c>
      <c r="F1147" s="5144" t="s">
        <v>51</v>
      </c>
      <c r="G1147" s="5144" t="s">
        <v>24</v>
      </c>
      <c r="H1147" s="5144" t="s">
        <v>24</v>
      </c>
      <c r="I1147" s="5144" t="s">
        <v>808</v>
      </c>
    </row>
    <row customHeight="1" ht="11.25">
      <c r="A1148" s="5144" t="s">
        <v>2177</v>
      </c>
      <c r="B1148" s="5144" t="s">
        <v>14</v>
      </c>
      <c r="C1148" s="5144" t="s">
        <v>3445</v>
      </c>
      <c r="D1148" s="5144" t="s">
        <v>3446</v>
      </c>
      <c r="E1148" s="5144" t="s">
        <v>3447</v>
      </c>
      <c r="F1148" s="5144" t="s">
        <v>2802</v>
      </c>
      <c r="G1148" s="5144" t="s">
        <v>3448</v>
      </c>
      <c r="H1148" s="5144" t="s">
        <v>24</v>
      </c>
      <c r="I1148" s="5144" t="s">
        <v>808</v>
      </c>
    </row>
    <row customHeight="1" ht="11.25">
      <c r="A1149" s="5144" t="s">
        <v>2177</v>
      </c>
      <c r="B1149" s="5144" t="s">
        <v>14</v>
      </c>
      <c r="C1149" s="5144" t="s">
        <v>3462</v>
      </c>
      <c r="D1149" s="5144" t="s">
        <v>3463</v>
      </c>
      <c r="E1149" s="5144" t="s">
        <v>3464</v>
      </c>
      <c r="F1149" s="5144" t="s">
        <v>3465</v>
      </c>
      <c r="G1149" s="5144" t="s">
        <v>3466</v>
      </c>
      <c r="H1149" s="5144" t="s">
        <v>24</v>
      </c>
      <c r="I1149" s="5144" t="s">
        <v>808</v>
      </c>
    </row>
    <row customHeight="1" ht="11.25">
      <c r="A1150" s="5144" t="s">
        <v>2177</v>
      </c>
      <c r="B1150" s="5144" t="s">
        <v>14</v>
      </c>
      <c r="C1150" s="5144" t="s">
        <v>3472</v>
      </c>
      <c r="D1150" s="5144" t="s">
        <v>3473</v>
      </c>
      <c r="E1150" s="5144" t="s">
        <v>3474</v>
      </c>
      <c r="F1150" s="5144" t="s">
        <v>3475</v>
      </c>
      <c r="G1150" s="5144" t="s">
        <v>3476</v>
      </c>
      <c r="H1150" s="5144" t="s">
        <v>24</v>
      </c>
      <c r="I1150" s="5144" t="s">
        <v>808</v>
      </c>
    </row>
    <row customHeight="1" ht="11.25">
      <c r="A1151" s="5144" t="s">
        <v>2177</v>
      </c>
      <c r="B1151" s="5144" t="s">
        <v>14</v>
      </c>
      <c r="C1151" s="5144" t="s">
        <v>3488</v>
      </c>
      <c r="D1151" s="5144" t="s">
        <v>3489</v>
      </c>
      <c r="E1151" s="5144" t="s">
        <v>3245</v>
      </c>
      <c r="F1151" s="5144" t="s">
        <v>3490</v>
      </c>
      <c r="G1151" s="5144" t="s">
        <v>24</v>
      </c>
      <c r="H1151" s="5144" t="s">
        <v>24</v>
      </c>
      <c r="I1151" s="5144" t="s">
        <v>808</v>
      </c>
    </row>
    <row customHeight="1" ht="11.25">
      <c r="A1152" s="5144" t="s">
        <v>2177</v>
      </c>
      <c r="B1152" s="5144" t="s">
        <v>14</v>
      </c>
      <c r="C1152" s="5144" t="s">
        <v>3501</v>
      </c>
      <c r="D1152" s="5144" t="s">
        <v>3502</v>
      </c>
      <c r="E1152" s="5144" t="s">
        <v>3464</v>
      </c>
      <c r="F1152" s="5144" t="s">
        <v>3503</v>
      </c>
      <c r="G1152" s="5144" t="s">
        <v>24</v>
      </c>
      <c r="H1152" s="5144" t="s">
        <v>24</v>
      </c>
      <c r="I1152" s="5144" t="s">
        <v>808</v>
      </c>
    </row>
    <row customHeight="1" ht="11.25">
      <c r="A1153" s="5144" t="s">
        <v>2177</v>
      </c>
      <c r="B1153" s="5144" t="s">
        <v>14</v>
      </c>
      <c r="C1153" s="5144" t="s">
        <v>24</v>
      </c>
      <c r="D1153" s="5144" t="s">
        <v>2178</v>
      </c>
      <c r="E1153" s="5144" t="s">
        <v>2179</v>
      </c>
      <c r="F1153" s="5144" t="s">
        <v>2180</v>
      </c>
      <c r="G1153" s="5144" t="s">
        <v>24</v>
      </c>
      <c r="H1153" s="5144" t="s">
        <v>24</v>
      </c>
      <c r="I1153" s="5144" t="s">
        <v>1617</v>
      </c>
    </row>
    <row customHeight="1" ht="11.25">
      <c r="A1154" s="5144" t="s">
        <v>2177</v>
      </c>
      <c r="B1154" s="5144" t="s">
        <v>14</v>
      </c>
      <c r="C1154" s="5144" t="s">
        <v>24</v>
      </c>
      <c r="D1154" s="5144" t="s">
        <v>2181</v>
      </c>
      <c r="E1154" s="5144" t="s">
        <v>2182</v>
      </c>
      <c r="F1154" s="5144" t="s">
        <v>2183</v>
      </c>
      <c r="G1154" s="5144" t="s">
        <v>24</v>
      </c>
      <c r="H1154" s="5144" t="s">
        <v>24</v>
      </c>
      <c r="I1154" s="5144" t="s">
        <v>1617</v>
      </c>
    </row>
    <row customHeight="1" ht="11.25">
      <c r="A1155" s="5144" t="s">
        <v>2177</v>
      </c>
      <c r="B1155" s="5144" t="s">
        <v>14</v>
      </c>
      <c r="C1155" s="5144" t="s">
        <v>24</v>
      </c>
      <c r="D1155" s="5144" t="s">
        <v>2184</v>
      </c>
      <c r="E1155" s="5144" t="s">
        <v>2185</v>
      </c>
      <c r="F1155" s="5144" t="s">
        <v>2186</v>
      </c>
      <c r="G1155" s="5144" t="s">
        <v>24</v>
      </c>
      <c r="H1155" s="5144" t="s">
        <v>24</v>
      </c>
      <c r="I1155" s="5144" t="s">
        <v>1617</v>
      </c>
    </row>
    <row customHeight="1" ht="11.25">
      <c r="A1156" s="5144" t="s">
        <v>2177</v>
      </c>
      <c r="B1156" s="5144" t="s">
        <v>14</v>
      </c>
      <c r="C1156" s="5144" t="s">
        <v>24</v>
      </c>
      <c r="D1156" s="5144" t="s">
        <v>2187</v>
      </c>
      <c r="E1156" s="5144" t="s">
        <v>2188</v>
      </c>
      <c r="F1156" s="5144" t="s">
        <v>2189</v>
      </c>
      <c r="G1156" s="5144" t="s">
        <v>24</v>
      </c>
      <c r="H1156" s="5144" t="s">
        <v>24</v>
      </c>
      <c r="I1156" s="5144" t="s">
        <v>1617</v>
      </c>
    </row>
    <row customHeight="1" ht="11.25">
      <c r="A1157" s="5144" t="s">
        <v>2177</v>
      </c>
      <c r="B1157" s="5144" t="s">
        <v>14</v>
      </c>
      <c r="C1157" s="5144" t="s">
        <v>24</v>
      </c>
      <c r="D1157" s="5144" t="s">
        <v>2190</v>
      </c>
      <c r="E1157" s="5144" t="s">
        <v>2191</v>
      </c>
      <c r="F1157" s="5144" t="s">
        <v>2192</v>
      </c>
      <c r="G1157" s="5144" t="s">
        <v>24</v>
      </c>
      <c r="H1157" s="5144" t="s">
        <v>24</v>
      </c>
      <c r="I1157" s="5144" t="s">
        <v>1617</v>
      </c>
    </row>
    <row customHeight="1" ht="11.25">
      <c r="A1158" s="5144" t="s">
        <v>2177</v>
      </c>
      <c r="B1158" s="5144" t="s">
        <v>14</v>
      </c>
      <c r="C1158" s="5144" t="s">
        <v>24</v>
      </c>
      <c r="D1158" s="5144" t="s">
        <v>2193</v>
      </c>
      <c r="E1158" s="5144" t="s">
        <v>2194</v>
      </c>
      <c r="F1158" s="5144" t="s">
        <v>2189</v>
      </c>
      <c r="G1158" s="5144" t="s">
        <v>24</v>
      </c>
      <c r="H1158" s="5144" t="s">
        <v>24</v>
      </c>
      <c r="I1158" s="5144" t="s">
        <v>1617</v>
      </c>
    </row>
    <row customHeight="1" ht="11.25">
      <c r="A1159" s="5144" t="s">
        <v>2177</v>
      </c>
      <c r="B1159" s="5144" t="s">
        <v>14</v>
      </c>
      <c r="C1159" s="5144" t="s">
        <v>24</v>
      </c>
      <c r="D1159" s="5144" t="s">
        <v>2195</v>
      </c>
      <c r="E1159" s="5144" t="s">
        <v>2196</v>
      </c>
      <c r="F1159" s="5144" t="s">
        <v>2186</v>
      </c>
      <c r="G1159" s="5144" t="s">
        <v>24</v>
      </c>
      <c r="H1159" s="5144" t="s">
        <v>24</v>
      </c>
      <c r="I1159" s="5144" t="s">
        <v>1617</v>
      </c>
    </row>
    <row customHeight="1" ht="11.25">
      <c r="A1160" s="5144" t="s">
        <v>2177</v>
      </c>
      <c r="B1160" s="5144" t="s">
        <v>14</v>
      </c>
      <c r="C1160" s="5144" t="s">
        <v>24</v>
      </c>
      <c r="D1160" s="5144" t="s">
        <v>2197</v>
      </c>
      <c r="E1160" s="5144" t="s">
        <v>2198</v>
      </c>
      <c r="F1160" s="5144" t="s">
        <v>2199</v>
      </c>
      <c r="G1160" s="5144" t="s">
        <v>24</v>
      </c>
      <c r="H1160" s="5144" t="s">
        <v>24</v>
      </c>
      <c r="I1160" s="5144" t="s">
        <v>1617</v>
      </c>
    </row>
    <row customHeight="1" ht="11.25">
      <c r="A1161" s="5144" t="s">
        <v>2177</v>
      </c>
      <c r="B1161" s="5144" t="s">
        <v>14</v>
      </c>
      <c r="C1161" s="5144" t="s">
        <v>24</v>
      </c>
      <c r="D1161" s="5144" t="s">
        <v>2200</v>
      </c>
      <c r="E1161" s="5144" t="s">
        <v>2201</v>
      </c>
      <c r="F1161" s="5144" t="s">
        <v>2202</v>
      </c>
      <c r="G1161" s="5144" t="s">
        <v>24</v>
      </c>
      <c r="H1161" s="5144" t="s">
        <v>24</v>
      </c>
      <c r="I1161" s="5144" t="s">
        <v>1617</v>
      </c>
    </row>
    <row customHeight="1" ht="11.25">
      <c r="A1162" s="5144" t="s">
        <v>2177</v>
      </c>
      <c r="B1162" s="5144" t="s">
        <v>14</v>
      </c>
      <c r="C1162" s="5144" t="s">
        <v>24</v>
      </c>
      <c r="D1162" s="5144" t="s">
        <v>2203</v>
      </c>
      <c r="E1162" s="5144" t="s">
        <v>2204</v>
      </c>
      <c r="F1162" s="5144" t="s">
        <v>51</v>
      </c>
      <c r="G1162" s="5144" t="s">
        <v>24</v>
      </c>
      <c r="H1162" s="5144" t="s">
        <v>24</v>
      </c>
      <c r="I1162" s="5144" t="s">
        <v>1617</v>
      </c>
    </row>
    <row customHeight="1" ht="11.25">
      <c r="A1163" s="5144" t="s">
        <v>2177</v>
      </c>
      <c r="B1163" s="5144" t="s">
        <v>14</v>
      </c>
      <c r="C1163" s="5144" t="s">
        <v>24</v>
      </c>
      <c r="D1163" s="5144" t="s">
        <v>2205</v>
      </c>
      <c r="E1163" s="5144" t="s">
        <v>2206</v>
      </c>
      <c r="F1163" s="5144" t="s">
        <v>2207</v>
      </c>
      <c r="G1163" s="5144" t="s">
        <v>24</v>
      </c>
      <c r="H1163" s="5144" t="s">
        <v>24</v>
      </c>
      <c r="I1163" s="5144" t="s">
        <v>1617</v>
      </c>
    </row>
    <row customHeight="1" ht="11.25">
      <c r="A1164" s="5144" t="s">
        <v>2177</v>
      </c>
      <c r="B1164" s="5144" t="s">
        <v>14</v>
      </c>
      <c r="C1164" s="5144" t="s">
        <v>24</v>
      </c>
      <c r="D1164" s="5144" t="s">
        <v>2208</v>
      </c>
      <c r="E1164" s="5144" t="s">
        <v>2209</v>
      </c>
      <c r="F1164" s="5144" t="s">
        <v>2210</v>
      </c>
      <c r="G1164" s="5144" t="s">
        <v>24</v>
      </c>
      <c r="H1164" s="5144" t="s">
        <v>24</v>
      </c>
      <c r="I1164" s="5144" t="s">
        <v>1617</v>
      </c>
    </row>
    <row customHeight="1" ht="11.25">
      <c r="A1165" s="5144" t="s">
        <v>2177</v>
      </c>
      <c r="B1165" s="5144" t="s">
        <v>14</v>
      </c>
      <c r="C1165" s="5144" t="s">
        <v>24</v>
      </c>
      <c r="D1165" s="5144" t="s">
        <v>2211</v>
      </c>
      <c r="E1165" s="5144" t="s">
        <v>2212</v>
      </c>
      <c r="F1165" s="5144" t="s">
        <v>2186</v>
      </c>
      <c r="G1165" s="5144" t="s">
        <v>24</v>
      </c>
      <c r="H1165" s="5144" t="s">
        <v>24</v>
      </c>
      <c r="I1165" s="5144" t="s">
        <v>1617</v>
      </c>
    </row>
    <row customHeight="1" ht="11.25">
      <c r="A1166" s="5144" t="s">
        <v>2177</v>
      </c>
      <c r="B1166" s="5144" t="s">
        <v>14</v>
      </c>
      <c r="C1166" s="5144" t="s">
        <v>24</v>
      </c>
      <c r="D1166" s="5144" t="s">
        <v>2213</v>
      </c>
      <c r="E1166" s="5144" t="s">
        <v>2214</v>
      </c>
      <c r="F1166" s="5144" t="s">
        <v>2189</v>
      </c>
      <c r="G1166" s="5144" t="s">
        <v>24</v>
      </c>
      <c r="H1166" s="5144" t="s">
        <v>24</v>
      </c>
      <c r="I1166" s="5144" t="s">
        <v>1617</v>
      </c>
    </row>
    <row customHeight="1" ht="11.25">
      <c r="A1167" s="5144" t="s">
        <v>2177</v>
      </c>
      <c r="B1167" s="5144" t="s">
        <v>14</v>
      </c>
      <c r="C1167" s="5144" t="s">
        <v>24</v>
      </c>
      <c r="D1167" s="5144" t="s">
        <v>2215</v>
      </c>
      <c r="E1167" s="5144" t="s">
        <v>2216</v>
      </c>
      <c r="F1167" s="5144" t="s">
        <v>2202</v>
      </c>
      <c r="G1167" s="5144" t="s">
        <v>24</v>
      </c>
      <c r="H1167" s="5144" t="s">
        <v>24</v>
      </c>
      <c r="I1167" s="5144" t="s">
        <v>1617</v>
      </c>
    </row>
    <row customHeight="1" ht="11.25">
      <c r="A1168" s="5144" t="s">
        <v>2177</v>
      </c>
      <c r="B1168" s="5144" t="s">
        <v>14</v>
      </c>
      <c r="C1168" s="5144" t="s">
        <v>24</v>
      </c>
      <c r="D1168" s="5144" t="s">
        <v>2217</v>
      </c>
      <c r="E1168" s="5144" t="s">
        <v>2218</v>
      </c>
      <c r="F1168" s="5144" t="s">
        <v>2189</v>
      </c>
      <c r="G1168" s="5144" t="s">
        <v>24</v>
      </c>
      <c r="H1168" s="5144" t="s">
        <v>24</v>
      </c>
      <c r="I1168" s="5144" t="s">
        <v>1617</v>
      </c>
    </row>
    <row customHeight="1" ht="11.25">
      <c r="A1169" s="5144" t="s">
        <v>2177</v>
      </c>
      <c r="B1169" s="5144" t="s">
        <v>14</v>
      </c>
      <c r="C1169" s="5144" t="s">
        <v>24</v>
      </c>
      <c r="D1169" s="5144" t="s">
        <v>2219</v>
      </c>
      <c r="E1169" s="5144" t="s">
        <v>2220</v>
      </c>
      <c r="F1169" s="5144" t="s">
        <v>2221</v>
      </c>
      <c r="G1169" s="5144" t="s">
        <v>24</v>
      </c>
      <c r="H1169" s="5144" t="s">
        <v>24</v>
      </c>
      <c r="I1169" s="5144" t="s">
        <v>1617</v>
      </c>
    </row>
    <row customHeight="1" ht="11.25">
      <c r="A1170" s="5144" t="s">
        <v>2177</v>
      </c>
      <c r="B1170" s="5144" t="s">
        <v>14</v>
      </c>
      <c r="C1170" s="5144" t="s">
        <v>24</v>
      </c>
      <c r="D1170" s="5144" t="s">
        <v>2222</v>
      </c>
      <c r="E1170" s="5144" t="s">
        <v>2223</v>
      </c>
      <c r="F1170" s="5144" t="s">
        <v>2186</v>
      </c>
      <c r="G1170" s="5144" t="s">
        <v>24</v>
      </c>
      <c r="H1170" s="5144" t="s">
        <v>24</v>
      </c>
      <c r="I1170" s="5144" t="s">
        <v>1617</v>
      </c>
    </row>
    <row customHeight="1" ht="11.25">
      <c r="A1171" s="5144" t="s">
        <v>2177</v>
      </c>
      <c r="B1171" s="5144" t="s">
        <v>14</v>
      </c>
      <c r="C1171" s="5144" t="s">
        <v>24</v>
      </c>
      <c r="D1171" s="5144" t="s">
        <v>2224</v>
      </c>
      <c r="E1171" s="5144" t="s">
        <v>2225</v>
      </c>
      <c r="F1171" s="5144" t="s">
        <v>2226</v>
      </c>
      <c r="G1171" s="5144" t="s">
        <v>24</v>
      </c>
      <c r="H1171" s="5144" t="s">
        <v>24</v>
      </c>
      <c r="I1171" s="5144" t="s">
        <v>1617</v>
      </c>
    </row>
    <row customHeight="1" ht="11.25">
      <c r="A1172" s="5144" t="s">
        <v>2177</v>
      </c>
      <c r="B1172" s="5144" t="s">
        <v>14</v>
      </c>
      <c r="C1172" s="5144" t="s">
        <v>24</v>
      </c>
      <c r="D1172" s="5144" t="s">
        <v>2227</v>
      </c>
      <c r="E1172" s="5144" t="s">
        <v>2228</v>
      </c>
      <c r="F1172" s="5144" t="s">
        <v>2186</v>
      </c>
      <c r="G1172" s="5144" t="s">
        <v>24</v>
      </c>
      <c r="H1172" s="5144" t="s">
        <v>24</v>
      </c>
      <c r="I1172" s="5144" t="s">
        <v>1617</v>
      </c>
    </row>
    <row customHeight="1" ht="11.25">
      <c r="A1173" s="5144" t="s">
        <v>2177</v>
      </c>
      <c r="B1173" s="5144" t="s">
        <v>14</v>
      </c>
      <c r="C1173" s="5144" t="s">
        <v>24</v>
      </c>
      <c r="D1173" s="5144" t="s">
        <v>2229</v>
      </c>
      <c r="E1173" s="5144" t="s">
        <v>2230</v>
      </c>
      <c r="F1173" s="5144" t="s">
        <v>2231</v>
      </c>
      <c r="G1173" s="5144" t="s">
        <v>24</v>
      </c>
      <c r="H1173" s="5144" t="s">
        <v>24</v>
      </c>
      <c r="I1173" s="5144" t="s">
        <v>1617</v>
      </c>
    </row>
    <row customHeight="1" ht="11.25">
      <c r="A1174" s="5144" t="s">
        <v>2177</v>
      </c>
      <c r="B1174" s="5144" t="s">
        <v>14</v>
      </c>
      <c r="C1174" s="5144" t="s">
        <v>24</v>
      </c>
      <c r="D1174" s="5144" t="s">
        <v>2232</v>
      </c>
      <c r="E1174" s="5144" t="s">
        <v>2233</v>
      </c>
      <c r="F1174" s="5144" t="s">
        <v>2234</v>
      </c>
      <c r="G1174" s="5144" t="s">
        <v>24</v>
      </c>
      <c r="H1174" s="5144" t="s">
        <v>24</v>
      </c>
      <c r="I1174" s="5144" t="s">
        <v>1617</v>
      </c>
    </row>
    <row customHeight="1" ht="11.25">
      <c r="A1175" s="5144" t="s">
        <v>2177</v>
      </c>
      <c r="B1175" s="5144" t="s">
        <v>14</v>
      </c>
      <c r="C1175" s="5144" t="s">
        <v>24</v>
      </c>
      <c r="D1175" s="5144" t="s">
        <v>2235</v>
      </c>
      <c r="E1175" s="5144" t="s">
        <v>2236</v>
      </c>
      <c r="F1175" s="5144" t="s">
        <v>2231</v>
      </c>
      <c r="G1175" s="5144" t="s">
        <v>24</v>
      </c>
      <c r="H1175" s="5144" t="s">
        <v>24</v>
      </c>
      <c r="I1175" s="5144" t="s">
        <v>1617</v>
      </c>
    </row>
    <row customHeight="1" ht="11.25">
      <c r="A1176" s="5144" t="s">
        <v>2177</v>
      </c>
      <c r="B1176" s="5144" t="s">
        <v>14</v>
      </c>
      <c r="C1176" s="5144" t="s">
        <v>24</v>
      </c>
      <c r="D1176" s="5144" t="s">
        <v>2237</v>
      </c>
      <c r="E1176" s="5144" t="s">
        <v>2238</v>
      </c>
      <c r="F1176" s="5144" t="s">
        <v>2239</v>
      </c>
      <c r="G1176" s="5144" t="s">
        <v>24</v>
      </c>
      <c r="H1176" s="5144" t="s">
        <v>24</v>
      </c>
      <c r="I1176" s="5144" t="s">
        <v>1617</v>
      </c>
    </row>
    <row customHeight="1" ht="11.25">
      <c r="A1177" s="5144" t="s">
        <v>2177</v>
      </c>
      <c r="B1177" s="5144" t="s">
        <v>14</v>
      </c>
      <c r="C1177" s="5144" t="s">
        <v>24</v>
      </c>
      <c r="D1177" s="5144" t="s">
        <v>2240</v>
      </c>
      <c r="E1177" s="5144" t="s">
        <v>2241</v>
      </c>
      <c r="F1177" s="5144" t="s">
        <v>2231</v>
      </c>
      <c r="G1177" s="5144" t="s">
        <v>24</v>
      </c>
      <c r="H1177" s="5144" t="s">
        <v>24</v>
      </c>
      <c r="I1177" s="5144" t="s">
        <v>1617</v>
      </c>
    </row>
    <row customHeight="1" ht="11.25">
      <c r="A1178" s="5144" t="s">
        <v>2177</v>
      </c>
      <c r="B1178" s="5144" t="s">
        <v>14</v>
      </c>
      <c r="C1178" s="5144" t="s">
        <v>24</v>
      </c>
      <c r="D1178" s="5144" t="s">
        <v>2242</v>
      </c>
      <c r="E1178" s="5144" t="s">
        <v>2243</v>
      </c>
      <c r="F1178" s="5144" t="s">
        <v>2234</v>
      </c>
      <c r="G1178" s="5144" t="s">
        <v>24</v>
      </c>
      <c r="H1178" s="5144" t="s">
        <v>24</v>
      </c>
      <c r="I1178" s="5144" t="s">
        <v>1617</v>
      </c>
    </row>
    <row customHeight="1" ht="11.25">
      <c r="A1179" s="5144" t="s">
        <v>2177</v>
      </c>
      <c r="B1179" s="5144" t="s">
        <v>14</v>
      </c>
      <c r="C1179" s="5144" t="s">
        <v>24</v>
      </c>
      <c r="D1179" s="5144" t="s">
        <v>2244</v>
      </c>
      <c r="E1179" s="5144" t="s">
        <v>2245</v>
      </c>
      <c r="F1179" s="5144" t="s">
        <v>2231</v>
      </c>
      <c r="G1179" s="5144" t="s">
        <v>24</v>
      </c>
      <c r="H1179" s="5144" t="s">
        <v>24</v>
      </c>
      <c r="I1179" s="5144" t="s">
        <v>1617</v>
      </c>
    </row>
    <row customHeight="1" ht="11.25">
      <c r="A1180" s="5144" t="s">
        <v>2177</v>
      </c>
      <c r="B1180" s="5144" t="s">
        <v>14</v>
      </c>
      <c r="C1180" s="5144" t="s">
        <v>24</v>
      </c>
      <c r="D1180" s="5144" t="s">
        <v>2246</v>
      </c>
      <c r="E1180" s="5144" t="s">
        <v>2247</v>
      </c>
      <c r="F1180" s="5144" t="s">
        <v>2234</v>
      </c>
      <c r="G1180" s="5144" t="s">
        <v>24</v>
      </c>
      <c r="H1180" s="5144" t="s">
        <v>24</v>
      </c>
      <c r="I1180" s="5144" t="s">
        <v>1617</v>
      </c>
    </row>
    <row customHeight="1" ht="11.25">
      <c r="A1181" s="5144" t="s">
        <v>2177</v>
      </c>
      <c r="B1181" s="5144" t="s">
        <v>14</v>
      </c>
      <c r="C1181" s="5144" t="s">
        <v>24</v>
      </c>
      <c r="D1181" s="5144" t="s">
        <v>2248</v>
      </c>
      <c r="E1181" s="5144" t="s">
        <v>2249</v>
      </c>
      <c r="F1181" s="5144" t="s">
        <v>2234</v>
      </c>
      <c r="G1181" s="5144" t="s">
        <v>24</v>
      </c>
      <c r="H1181" s="5144" t="s">
        <v>24</v>
      </c>
      <c r="I1181" s="5144" t="s">
        <v>1617</v>
      </c>
    </row>
    <row customHeight="1" ht="11.25">
      <c r="A1182" s="5144" t="s">
        <v>2177</v>
      </c>
      <c r="B1182" s="5144" t="s">
        <v>14</v>
      </c>
      <c r="C1182" s="5144" t="s">
        <v>24</v>
      </c>
      <c r="D1182" s="5144" t="s">
        <v>2250</v>
      </c>
      <c r="E1182" s="5144" t="s">
        <v>2251</v>
      </c>
      <c r="F1182" s="5144" t="s">
        <v>2252</v>
      </c>
      <c r="G1182" s="5144" t="s">
        <v>24</v>
      </c>
      <c r="H1182" s="5144" t="s">
        <v>24</v>
      </c>
      <c r="I1182" s="5144" t="s">
        <v>1617</v>
      </c>
    </row>
    <row customHeight="1" ht="11.25">
      <c r="A1183" s="5144" t="s">
        <v>2177</v>
      </c>
      <c r="B1183" s="5144" t="s">
        <v>14</v>
      </c>
      <c r="C1183" s="5144" t="s">
        <v>24</v>
      </c>
      <c r="D1183" s="5144" t="s">
        <v>2253</v>
      </c>
      <c r="E1183" s="5144" t="s">
        <v>2254</v>
      </c>
      <c r="F1183" s="5144" t="s">
        <v>2192</v>
      </c>
      <c r="G1183" s="5144" t="s">
        <v>24</v>
      </c>
      <c r="H1183" s="5144" t="s">
        <v>24</v>
      </c>
      <c r="I1183" s="5144" t="s">
        <v>1617</v>
      </c>
    </row>
    <row customHeight="1" ht="11.25">
      <c r="A1184" s="5144" t="s">
        <v>2177</v>
      </c>
      <c r="B1184" s="5144" t="s">
        <v>14</v>
      </c>
      <c r="C1184" s="5144" t="s">
        <v>24</v>
      </c>
      <c r="D1184" s="5144" t="s">
        <v>2255</v>
      </c>
      <c r="E1184" s="5144" t="s">
        <v>2256</v>
      </c>
      <c r="F1184" s="5144" t="s">
        <v>2234</v>
      </c>
      <c r="G1184" s="5144" t="s">
        <v>24</v>
      </c>
      <c r="H1184" s="5144" t="s">
        <v>24</v>
      </c>
      <c r="I1184" s="5144" t="s">
        <v>1617</v>
      </c>
    </row>
    <row customHeight="1" ht="11.25">
      <c r="A1185" s="5144" t="s">
        <v>2177</v>
      </c>
      <c r="B1185" s="5144" t="s">
        <v>14</v>
      </c>
      <c r="C1185" s="5144" t="s">
        <v>24</v>
      </c>
      <c r="D1185" s="5144" t="s">
        <v>2257</v>
      </c>
      <c r="E1185" s="5144" t="s">
        <v>2258</v>
      </c>
      <c r="F1185" s="5144" t="s">
        <v>2239</v>
      </c>
      <c r="G1185" s="5144" t="s">
        <v>24</v>
      </c>
      <c r="H1185" s="5144" t="s">
        <v>24</v>
      </c>
      <c r="I1185" s="5144" t="s">
        <v>1617</v>
      </c>
    </row>
    <row customHeight="1" ht="11.25">
      <c r="A1186" s="5144" t="s">
        <v>2177</v>
      </c>
      <c r="B1186" s="5144" t="s">
        <v>14</v>
      </c>
      <c r="C1186" s="5144" t="s">
        <v>24</v>
      </c>
      <c r="D1186" s="5144" t="s">
        <v>2259</v>
      </c>
      <c r="E1186" s="5144" t="s">
        <v>2260</v>
      </c>
      <c r="F1186" s="5144" t="s">
        <v>2234</v>
      </c>
      <c r="G1186" s="5144" t="s">
        <v>24</v>
      </c>
      <c r="H1186" s="5144" t="s">
        <v>24</v>
      </c>
      <c r="I1186" s="5144" t="s">
        <v>1617</v>
      </c>
    </row>
    <row customHeight="1" ht="11.25">
      <c r="A1187" s="5144" t="s">
        <v>2177</v>
      </c>
      <c r="B1187" s="5144" t="s">
        <v>14</v>
      </c>
      <c r="C1187" s="5144" t="s">
        <v>24</v>
      </c>
      <c r="D1187" s="5144" t="s">
        <v>2261</v>
      </c>
      <c r="E1187" s="5144" t="s">
        <v>2262</v>
      </c>
      <c r="F1187" s="5144" t="s">
        <v>2202</v>
      </c>
      <c r="G1187" s="5144" t="s">
        <v>24</v>
      </c>
      <c r="H1187" s="5144" t="s">
        <v>24</v>
      </c>
      <c r="I1187" s="5144" t="s">
        <v>1617</v>
      </c>
    </row>
    <row customHeight="1" ht="11.25">
      <c r="A1188" s="5144" t="s">
        <v>2177</v>
      </c>
      <c r="B1188" s="5144" t="s">
        <v>14</v>
      </c>
      <c r="C1188" s="5144" t="s">
        <v>24</v>
      </c>
      <c r="D1188" s="5144" t="s">
        <v>2263</v>
      </c>
      <c r="E1188" s="5144" t="s">
        <v>2264</v>
      </c>
      <c r="F1188" s="5144" t="s">
        <v>2192</v>
      </c>
      <c r="G1188" s="5144" t="s">
        <v>24</v>
      </c>
      <c r="H1188" s="5144" t="s">
        <v>24</v>
      </c>
      <c r="I1188" s="5144" t="s">
        <v>1617</v>
      </c>
    </row>
    <row customHeight="1" ht="11.25">
      <c r="A1189" s="5144" t="s">
        <v>2177</v>
      </c>
      <c r="B1189" s="5144" t="s">
        <v>14</v>
      </c>
      <c r="C1189" s="5144" t="s">
        <v>24</v>
      </c>
      <c r="D1189" s="5144" t="s">
        <v>2265</v>
      </c>
      <c r="E1189" s="5144" t="s">
        <v>2266</v>
      </c>
      <c r="F1189" s="5144" t="s">
        <v>2202</v>
      </c>
      <c r="G1189" s="5144" t="s">
        <v>24</v>
      </c>
      <c r="H1189" s="5144" t="s">
        <v>24</v>
      </c>
      <c r="I1189" s="5144" t="s">
        <v>1617</v>
      </c>
    </row>
    <row customHeight="1" ht="11.25">
      <c r="A1190" s="5144" t="s">
        <v>2177</v>
      </c>
      <c r="B1190" s="5144" t="s">
        <v>14</v>
      </c>
      <c r="C1190" s="5144" t="s">
        <v>24</v>
      </c>
      <c r="D1190" s="5144" t="s">
        <v>2267</v>
      </c>
      <c r="E1190" s="5144" t="s">
        <v>2268</v>
      </c>
      <c r="F1190" s="5144" t="s">
        <v>2221</v>
      </c>
      <c r="G1190" s="5144" t="s">
        <v>24</v>
      </c>
      <c r="H1190" s="5144" t="s">
        <v>24</v>
      </c>
      <c r="I1190" s="5144" t="s">
        <v>1617</v>
      </c>
    </row>
    <row customHeight="1" ht="11.25">
      <c r="A1191" s="5144" t="s">
        <v>2177</v>
      </c>
      <c r="B1191" s="5144" t="s">
        <v>14</v>
      </c>
      <c r="C1191" s="5144" t="s">
        <v>24</v>
      </c>
      <c r="D1191" s="5144" t="s">
        <v>2269</v>
      </c>
      <c r="E1191" s="5144" t="s">
        <v>2270</v>
      </c>
      <c r="F1191" s="5144" t="s">
        <v>2231</v>
      </c>
      <c r="G1191" s="5144" t="s">
        <v>24</v>
      </c>
      <c r="H1191" s="5144" t="s">
        <v>24</v>
      </c>
      <c r="I1191" s="5144" t="s">
        <v>1617</v>
      </c>
    </row>
    <row customHeight="1" ht="11.25">
      <c r="A1192" s="5144" t="s">
        <v>2177</v>
      </c>
      <c r="B1192" s="5144" t="s">
        <v>14</v>
      </c>
      <c r="C1192" s="5144" t="s">
        <v>24</v>
      </c>
      <c r="D1192" s="5144" t="s">
        <v>2271</v>
      </c>
      <c r="E1192" s="5144" t="s">
        <v>2272</v>
      </c>
      <c r="F1192" s="5144" t="s">
        <v>2202</v>
      </c>
      <c r="G1192" s="5144" t="s">
        <v>24</v>
      </c>
      <c r="H1192" s="5144" t="s">
        <v>24</v>
      </c>
      <c r="I1192" s="5144" t="s">
        <v>1617</v>
      </c>
    </row>
    <row customHeight="1" ht="11.25">
      <c r="A1193" s="5144" t="s">
        <v>2177</v>
      </c>
      <c r="B1193" s="5144" t="s">
        <v>14</v>
      </c>
      <c r="C1193" s="5144" t="s">
        <v>24</v>
      </c>
      <c r="D1193" s="5144" t="s">
        <v>2273</v>
      </c>
      <c r="E1193" s="5144" t="s">
        <v>2274</v>
      </c>
      <c r="F1193" s="5144" t="s">
        <v>2231</v>
      </c>
      <c r="G1193" s="5144" t="s">
        <v>24</v>
      </c>
      <c r="H1193" s="5144" t="s">
        <v>24</v>
      </c>
      <c r="I1193" s="5144" t="s">
        <v>1617</v>
      </c>
    </row>
    <row customHeight="1" ht="11.25">
      <c r="A1194" s="5144" t="s">
        <v>2177</v>
      </c>
      <c r="B1194" s="5144" t="s">
        <v>14</v>
      </c>
      <c r="C1194" s="5144" t="s">
        <v>24</v>
      </c>
      <c r="D1194" s="5144" t="s">
        <v>2275</v>
      </c>
      <c r="E1194" s="5144" t="s">
        <v>2276</v>
      </c>
      <c r="F1194" s="5144" t="s">
        <v>2277</v>
      </c>
      <c r="G1194" s="5144" t="s">
        <v>24</v>
      </c>
      <c r="H1194" s="5144" t="s">
        <v>24</v>
      </c>
      <c r="I1194" s="5144" t="s">
        <v>1617</v>
      </c>
    </row>
    <row customHeight="1" ht="11.25">
      <c r="A1195" s="5144" t="s">
        <v>2177</v>
      </c>
      <c r="B1195" s="5144" t="s">
        <v>14</v>
      </c>
      <c r="C1195" s="5144" t="s">
        <v>24</v>
      </c>
      <c r="D1195" s="5144" t="s">
        <v>2278</v>
      </c>
      <c r="E1195" s="5144" t="s">
        <v>2279</v>
      </c>
      <c r="F1195" s="5144" t="s">
        <v>2202</v>
      </c>
      <c r="G1195" s="5144" t="s">
        <v>24</v>
      </c>
      <c r="H1195" s="5144" t="s">
        <v>24</v>
      </c>
      <c r="I1195" s="5144" t="s">
        <v>1617</v>
      </c>
    </row>
    <row customHeight="1" ht="11.25">
      <c r="A1196" s="5144" t="s">
        <v>2177</v>
      </c>
      <c r="B1196" s="5144" t="s">
        <v>14</v>
      </c>
      <c r="C1196" s="5144" t="s">
        <v>24</v>
      </c>
      <c r="D1196" s="5144" t="s">
        <v>2280</v>
      </c>
      <c r="E1196" s="5144" t="s">
        <v>2281</v>
      </c>
      <c r="F1196" s="5144" t="s">
        <v>2202</v>
      </c>
      <c r="G1196" s="5144" t="s">
        <v>24</v>
      </c>
      <c r="H1196" s="5144" t="s">
        <v>24</v>
      </c>
      <c r="I1196" s="5144" t="s">
        <v>1617</v>
      </c>
    </row>
    <row customHeight="1" ht="11.25">
      <c r="A1197" s="5144" t="s">
        <v>2177</v>
      </c>
      <c r="B1197" s="5144" t="s">
        <v>14</v>
      </c>
      <c r="C1197" s="5144" t="s">
        <v>24</v>
      </c>
      <c r="D1197" s="5144" t="s">
        <v>2282</v>
      </c>
      <c r="E1197" s="5144" t="s">
        <v>2283</v>
      </c>
      <c r="F1197" s="5144" t="s">
        <v>2202</v>
      </c>
      <c r="G1197" s="5144" t="s">
        <v>24</v>
      </c>
      <c r="H1197" s="5144" t="s">
        <v>24</v>
      </c>
      <c r="I1197" s="5144" t="s">
        <v>1617</v>
      </c>
    </row>
    <row customHeight="1" ht="11.25">
      <c r="A1198" s="5144" t="s">
        <v>2177</v>
      </c>
      <c r="B1198" s="5144" t="s">
        <v>14</v>
      </c>
      <c r="C1198" s="5144" t="s">
        <v>24</v>
      </c>
      <c r="D1198" s="5144" t="s">
        <v>2284</v>
      </c>
      <c r="E1198" s="5144" t="s">
        <v>2285</v>
      </c>
      <c r="F1198" s="5144" t="s">
        <v>2221</v>
      </c>
      <c r="G1198" s="5144" t="s">
        <v>24</v>
      </c>
      <c r="H1198" s="5144" t="s">
        <v>24</v>
      </c>
      <c r="I1198" s="5144" t="s">
        <v>1617</v>
      </c>
    </row>
    <row customHeight="1" ht="11.25">
      <c r="A1199" s="5144" t="s">
        <v>2177</v>
      </c>
      <c r="B1199" s="5144" t="s">
        <v>14</v>
      </c>
      <c r="C1199" s="5144" t="s">
        <v>24</v>
      </c>
      <c r="D1199" s="5144" t="s">
        <v>2286</v>
      </c>
      <c r="E1199" s="5144" t="s">
        <v>2287</v>
      </c>
      <c r="F1199" s="5144" t="s">
        <v>2288</v>
      </c>
      <c r="G1199" s="5144" t="s">
        <v>24</v>
      </c>
      <c r="H1199" s="5144" t="s">
        <v>24</v>
      </c>
      <c r="I1199" s="5144" t="s">
        <v>1617</v>
      </c>
    </row>
    <row customHeight="1" ht="11.25">
      <c r="A1200" s="5144" t="s">
        <v>2177</v>
      </c>
      <c r="B1200" s="5144" t="s">
        <v>14</v>
      </c>
      <c r="C1200" s="5144" t="s">
        <v>24</v>
      </c>
      <c r="D1200" s="5144" t="s">
        <v>2289</v>
      </c>
      <c r="E1200" s="5144" t="s">
        <v>2290</v>
      </c>
      <c r="F1200" s="5144" t="s">
        <v>2199</v>
      </c>
      <c r="G1200" s="5144" t="s">
        <v>24</v>
      </c>
      <c r="H1200" s="5144" t="s">
        <v>24</v>
      </c>
      <c r="I1200" s="5144" t="s">
        <v>1617</v>
      </c>
    </row>
    <row customHeight="1" ht="11.25">
      <c r="A1201" s="5144" t="s">
        <v>2177</v>
      </c>
      <c r="B1201" s="5144" t="s">
        <v>14</v>
      </c>
      <c r="C1201" s="5144" t="s">
        <v>24</v>
      </c>
      <c r="D1201" s="5144" t="s">
        <v>2291</v>
      </c>
      <c r="E1201" s="5144" t="s">
        <v>2292</v>
      </c>
      <c r="F1201" s="5144" t="s">
        <v>2192</v>
      </c>
      <c r="G1201" s="5144" t="s">
        <v>24</v>
      </c>
      <c r="H1201" s="5144" t="s">
        <v>24</v>
      </c>
      <c r="I1201" s="5144" t="s">
        <v>1617</v>
      </c>
    </row>
    <row customHeight="1" ht="11.25">
      <c r="A1202" s="5144" t="s">
        <v>2177</v>
      </c>
      <c r="B1202" s="5144" t="s">
        <v>14</v>
      </c>
      <c r="C1202" s="5144" t="s">
        <v>24</v>
      </c>
      <c r="D1202" s="5144" t="s">
        <v>2293</v>
      </c>
      <c r="E1202" s="5144" t="s">
        <v>2294</v>
      </c>
      <c r="F1202" s="5144" t="s">
        <v>2202</v>
      </c>
      <c r="G1202" s="5144" t="s">
        <v>24</v>
      </c>
      <c r="H1202" s="5144" t="s">
        <v>24</v>
      </c>
      <c r="I1202" s="5144" t="s">
        <v>1617</v>
      </c>
    </row>
    <row customHeight="1" ht="11.25">
      <c r="A1203" s="5144" t="s">
        <v>2177</v>
      </c>
      <c r="B1203" s="5144" t="s">
        <v>14</v>
      </c>
      <c r="C1203" s="5144" t="s">
        <v>4156</v>
      </c>
      <c r="D1203" s="5144" t="s">
        <v>4157</v>
      </c>
      <c r="E1203" s="5144" t="s">
        <v>4158</v>
      </c>
      <c r="F1203" s="5144" t="s">
        <v>2202</v>
      </c>
      <c r="G1203" s="5144" t="s">
        <v>4159</v>
      </c>
      <c r="H1203" s="5144" t="s">
        <v>24</v>
      </c>
      <c r="I1203" s="5144" t="s">
        <v>1617</v>
      </c>
    </row>
    <row customHeight="1" ht="11.25">
      <c r="A1204" s="5144" t="s">
        <v>2177</v>
      </c>
      <c r="B1204" s="5144" t="s">
        <v>14</v>
      </c>
      <c r="C1204" s="5144" t="s">
        <v>2336</v>
      </c>
      <c r="D1204" s="5144" t="s">
        <v>2337</v>
      </c>
      <c r="E1204" s="5144" t="s">
        <v>2338</v>
      </c>
      <c r="F1204" s="5144" t="s">
        <v>2183</v>
      </c>
      <c r="G1204" s="5144" t="s">
        <v>2339</v>
      </c>
      <c r="H1204" s="5144" t="s">
        <v>24</v>
      </c>
      <c r="I1204" s="5144" t="s">
        <v>1617</v>
      </c>
    </row>
    <row customHeight="1" ht="11.25">
      <c r="A1205" s="5144" t="s">
        <v>2177</v>
      </c>
      <c r="B1205" s="5144" t="s">
        <v>14</v>
      </c>
      <c r="C1205" s="5144" t="s">
        <v>4160</v>
      </c>
      <c r="D1205" s="5144" t="s">
        <v>4161</v>
      </c>
      <c r="E1205" s="5144" t="s">
        <v>4162</v>
      </c>
      <c r="F1205" s="5144" t="s">
        <v>2520</v>
      </c>
      <c r="G1205" s="5144" t="s">
        <v>4163</v>
      </c>
      <c r="H1205" s="5144" t="s">
        <v>24</v>
      </c>
      <c r="I1205" s="5144" t="s">
        <v>1617</v>
      </c>
    </row>
    <row customHeight="1" ht="11.25">
      <c r="A1206" s="5144" t="s">
        <v>2177</v>
      </c>
      <c r="B1206" s="5144" t="s">
        <v>14</v>
      </c>
      <c r="C1206" s="5144" t="s">
        <v>4164</v>
      </c>
      <c r="D1206" s="5144" t="s">
        <v>4165</v>
      </c>
      <c r="E1206" s="5144" t="s">
        <v>4166</v>
      </c>
      <c r="F1206" s="5144" t="s">
        <v>563</v>
      </c>
      <c r="G1206" s="5144" t="s">
        <v>4167</v>
      </c>
      <c r="H1206" s="5144" t="s">
        <v>24</v>
      </c>
      <c r="I1206" s="5144" t="s">
        <v>1617</v>
      </c>
    </row>
    <row customHeight="1" ht="11.25">
      <c r="A1207" s="5144" t="s">
        <v>2177</v>
      </c>
      <c r="B1207" s="5144" t="s">
        <v>14</v>
      </c>
      <c r="C1207" s="5144" t="s">
        <v>4168</v>
      </c>
      <c r="D1207" s="5144" t="s">
        <v>4169</v>
      </c>
      <c r="E1207" s="5144" t="s">
        <v>4170</v>
      </c>
      <c r="F1207" s="5144" t="s">
        <v>563</v>
      </c>
      <c r="G1207" s="5144" t="s">
        <v>4171</v>
      </c>
      <c r="H1207" s="5144" t="s">
        <v>24</v>
      </c>
      <c r="I1207" s="5144" t="s">
        <v>1617</v>
      </c>
    </row>
    <row customHeight="1" ht="11.25">
      <c r="A1208" s="5144" t="s">
        <v>2177</v>
      </c>
      <c r="B1208" s="5144" t="s">
        <v>14</v>
      </c>
      <c r="C1208" s="5144" t="s">
        <v>4172</v>
      </c>
      <c r="D1208" s="5144" t="s">
        <v>4173</v>
      </c>
      <c r="E1208" s="5144" t="s">
        <v>4174</v>
      </c>
      <c r="F1208" s="5144" t="s">
        <v>563</v>
      </c>
      <c r="G1208" s="5144" t="s">
        <v>4175</v>
      </c>
      <c r="H1208" s="5144" t="s">
        <v>24</v>
      </c>
      <c r="I1208" s="5144" t="s">
        <v>1617</v>
      </c>
    </row>
    <row customHeight="1" ht="11.25">
      <c r="A1209" s="5144" t="s">
        <v>2177</v>
      </c>
      <c r="B1209" s="5144" t="s">
        <v>14</v>
      </c>
      <c r="C1209" s="5144" t="s">
        <v>4176</v>
      </c>
      <c r="D1209" s="5144" t="s">
        <v>4177</v>
      </c>
      <c r="E1209" s="5144" t="s">
        <v>4178</v>
      </c>
      <c r="F1209" s="5144" t="s">
        <v>563</v>
      </c>
      <c r="G1209" s="5144" t="s">
        <v>4179</v>
      </c>
      <c r="H1209" s="5144" t="s">
        <v>24</v>
      </c>
      <c r="I1209" s="5144" t="s">
        <v>1617</v>
      </c>
    </row>
    <row customHeight="1" ht="11.25">
      <c r="A1210" s="5144" t="s">
        <v>2177</v>
      </c>
      <c r="B1210" s="5144" t="s">
        <v>14</v>
      </c>
      <c r="C1210" s="5144" t="s">
        <v>3582</v>
      </c>
      <c r="D1210" s="5144" t="s">
        <v>3583</v>
      </c>
      <c r="E1210" s="5144" t="s">
        <v>3584</v>
      </c>
      <c r="F1210" s="5144" t="s">
        <v>563</v>
      </c>
      <c r="G1210" s="5144" t="s">
        <v>3585</v>
      </c>
      <c r="H1210" s="5144" t="s">
        <v>24</v>
      </c>
      <c r="I1210" s="5144" t="s">
        <v>1617</v>
      </c>
    </row>
    <row customHeight="1" ht="11.25">
      <c r="A1211" s="5144" t="s">
        <v>2177</v>
      </c>
      <c r="B1211" s="5144" t="s">
        <v>14</v>
      </c>
      <c r="C1211" s="5144" t="s">
        <v>24</v>
      </c>
      <c r="D1211" s="5144" t="s">
        <v>2447</v>
      </c>
      <c r="E1211" s="5144" t="s">
        <v>2448</v>
      </c>
      <c r="F1211" s="5144" t="s">
        <v>2183</v>
      </c>
      <c r="G1211" s="5144" t="s">
        <v>24</v>
      </c>
      <c r="H1211" s="5144" t="s">
        <v>24</v>
      </c>
      <c r="I1211" s="5144" t="s">
        <v>1617</v>
      </c>
    </row>
    <row customHeight="1" ht="11.25">
      <c r="A1212" s="5144" t="s">
        <v>2177</v>
      </c>
      <c r="B1212" s="5144" t="s">
        <v>14</v>
      </c>
      <c r="C1212" s="5144" t="s">
        <v>2449</v>
      </c>
      <c r="D1212" s="5144" t="s">
        <v>2450</v>
      </c>
      <c r="E1212" s="5144" t="s">
        <v>2451</v>
      </c>
      <c r="F1212" s="5144" t="s">
        <v>2202</v>
      </c>
      <c r="G1212" s="5144" t="s">
        <v>2452</v>
      </c>
      <c r="H1212" s="5144" t="s">
        <v>24</v>
      </c>
      <c r="I1212" s="5144" t="s">
        <v>1617</v>
      </c>
    </row>
    <row customHeight="1" ht="11.25">
      <c r="A1213" s="5144" t="s">
        <v>2177</v>
      </c>
      <c r="B1213" s="5144" t="s">
        <v>14</v>
      </c>
      <c r="C1213" s="5144" t="s">
        <v>24</v>
      </c>
      <c r="D1213" s="5144" t="s">
        <v>2453</v>
      </c>
      <c r="E1213" s="5144" t="s">
        <v>2454</v>
      </c>
      <c r="F1213" s="5144" t="s">
        <v>2231</v>
      </c>
      <c r="G1213" s="5144" t="s">
        <v>24</v>
      </c>
      <c r="H1213" s="5144" t="s">
        <v>24</v>
      </c>
      <c r="I1213" s="5144" t="s">
        <v>1617</v>
      </c>
    </row>
    <row customHeight="1" ht="11.25">
      <c r="A1214" s="5144" t="s">
        <v>2177</v>
      </c>
      <c r="B1214" s="5144" t="s">
        <v>14</v>
      </c>
      <c r="C1214" s="5144" t="s">
        <v>4180</v>
      </c>
      <c r="D1214" s="5144" t="s">
        <v>4181</v>
      </c>
      <c r="E1214" s="5144" t="s">
        <v>4182</v>
      </c>
      <c r="F1214" s="5144" t="s">
        <v>2467</v>
      </c>
      <c r="G1214" s="5144" t="s">
        <v>4183</v>
      </c>
      <c r="H1214" s="5144" t="s">
        <v>24</v>
      </c>
      <c r="I1214" s="5144" t="s">
        <v>1617</v>
      </c>
    </row>
    <row customHeight="1" ht="11.25">
      <c r="A1215" s="5144" t="s">
        <v>2177</v>
      </c>
      <c r="B1215" s="5144" t="s">
        <v>14</v>
      </c>
      <c r="C1215" s="5144" t="s">
        <v>2464</v>
      </c>
      <c r="D1215" s="5144" t="s">
        <v>2465</v>
      </c>
      <c r="E1215" s="5144" t="s">
        <v>2466</v>
      </c>
      <c r="F1215" s="5144" t="s">
        <v>2467</v>
      </c>
      <c r="G1215" s="5144" t="s">
        <v>2468</v>
      </c>
      <c r="H1215" s="5144" t="s">
        <v>24</v>
      </c>
      <c r="I1215" s="5144" t="s">
        <v>1617</v>
      </c>
    </row>
    <row customHeight="1" ht="11.25">
      <c r="A1216" s="5144" t="s">
        <v>2177</v>
      </c>
      <c r="B1216" s="5144" t="s">
        <v>14</v>
      </c>
      <c r="C1216" s="5144" t="s">
        <v>3680</v>
      </c>
      <c r="D1216" s="5144" t="s">
        <v>3681</v>
      </c>
      <c r="E1216" s="5144" t="s">
        <v>3682</v>
      </c>
      <c r="F1216" s="5144" t="s">
        <v>2467</v>
      </c>
      <c r="G1216" s="5144" t="s">
        <v>3683</v>
      </c>
      <c r="H1216" s="5144" t="s">
        <v>24</v>
      </c>
      <c r="I1216" s="5144" t="s">
        <v>1617</v>
      </c>
    </row>
    <row customHeight="1" ht="11.25">
      <c r="A1217" s="5144" t="s">
        <v>2177</v>
      </c>
      <c r="B1217" s="5144" t="s">
        <v>14</v>
      </c>
      <c r="C1217" s="5144" t="s">
        <v>4184</v>
      </c>
      <c r="D1217" s="5144" t="s">
        <v>4185</v>
      </c>
      <c r="E1217" s="5144" t="s">
        <v>4186</v>
      </c>
      <c r="F1217" s="5144" t="s">
        <v>3156</v>
      </c>
      <c r="G1217" s="5144" t="s">
        <v>4187</v>
      </c>
      <c r="H1217" s="5144" t="s">
        <v>24</v>
      </c>
      <c r="I1217" s="5144" t="s">
        <v>1617</v>
      </c>
    </row>
    <row customHeight="1" ht="11.25">
      <c r="A1218" s="5144" t="s">
        <v>2177</v>
      </c>
      <c r="B1218" s="5144" t="s">
        <v>14</v>
      </c>
      <c r="C1218" s="5144" t="s">
        <v>24</v>
      </c>
      <c r="D1218" s="5144" t="s">
        <v>2481</v>
      </c>
      <c r="E1218" s="5144" t="s">
        <v>2482</v>
      </c>
      <c r="F1218" s="5144" t="s">
        <v>2183</v>
      </c>
      <c r="G1218" s="5144" t="s">
        <v>24</v>
      </c>
      <c r="H1218" s="5144" t="s">
        <v>24</v>
      </c>
      <c r="I1218" s="5144" t="s">
        <v>1617</v>
      </c>
    </row>
    <row customHeight="1" ht="11.25">
      <c r="A1219" s="5144" t="s">
        <v>2177</v>
      </c>
      <c r="B1219" s="5144" t="s">
        <v>14</v>
      </c>
      <c r="C1219" s="5144" t="s">
        <v>24</v>
      </c>
      <c r="D1219" s="5144" t="s">
        <v>2483</v>
      </c>
      <c r="E1219" s="5144" t="s">
        <v>2484</v>
      </c>
      <c r="F1219" s="5144" t="s">
        <v>2277</v>
      </c>
      <c r="G1219" s="5144" t="s">
        <v>24</v>
      </c>
      <c r="H1219" s="5144" t="s">
        <v>24</v>
      </c>
      <c r="I1219" s="5144" t="s">
        <v>1617</v>
      </c>
    </row>
    <row customHeight="1" ht="11.25">
      <c r="A1220" s="5144" t="s">
        <v>2177</v>
      </c>
      <c r="B1220" s="5144" t="s">
        <v>14</v>
      </c>
      <c r="C1220" s="5144" t="s">
        <v>24</v>
      </c>
      <c r="D1220" s="5144" t="s">
        <v>2485</v>
      </c>
      <c r="E1220" s="5144" t="s">
        <v>2486</v>
      </c>
      <c r="F1220" s="5144" t="s">
        <v>2183</v>
      </c>
      <c r="G1220" s="5144" t="s">
        <v>24</v>
      </c>
      <c r="H1220" s="5144" t="s">
        <v>24</v>
      </c>
      <c r="I1220" s="5144" t="s">
        <v>1617</v>
      </c>
    </row>
    <row customHeight="1" ht="11.25">
      <c r="A1221" s="5144" t="s">
        <v>2177</v>
      </c>
      <c r="B1221" s="5144" t="s">
        <v>14</v>
      </c>
      <c r="C1221" s="5144" t="s">
        <v>24</v>
      </c>
      <c r="D1221" s="5144" t="s">
        <v>2487</v>
      </c>
      <c r="E1221" s="5144" t="s">
        <v>2488</v>
      </c>
      <c r="F1221" s="5144" t="s">
        <v>2277</v>
      </c>
      <c r="G1221" s="5144" t="s">
        <v>24</v>
      </c>
      <c r="H1221" s="5144" t="s">
        <v>24</v>
      </c>
      <c r="I1221" s="5144" t="s">
        <v>1617</v>
      </c>
    </row>
    <row customHeight="1" ht="11.25">
      <c r="A1222" s="5144" t="s">
        <v>2177</v>
      </c>
      <c r="B1222" s="5144" t="s">
        <v>14</v>
      </c>
      <c r="C1222" s="5144" t="s">
        <v>2636</v>
      </c>
      <c r="D1222" s="5144" t="s">
        <v>2637</v>
      </c>
      <c r="E1222" s="5144" t="s">
        <v>2638</v>
      </c>
      <c r="F1222" s="5144" t="s">
        <v>2186</v>
      </c>
      <c r="G1222" s="5144" t="s">
        <v>2639</v>
      </c>
      <c r="H1222" s="5144" t="s">
        <v>24</v>
      </c>
      <c r="I1222" s="5144" t="s">
        <v>1617</v>
      </c>
    </row>
    <row customHeight="1" ht="11.25">
      <c r="A1223" s="5144" t="s">
        <v>2177</v>
      </c>
      <c r="B1223" s="5144" t="s">
        <v>14</v>
      </c>
      <c r="C1223" s="5144" t="s">
        <v>2723</v>
      </c>
      <c r="D1223" s="5144" t="s">
        <v>2724</v>
      </c>
      <c r="E1223" s="5144" t="s">
        <v>2725</v>
      </c>
      <c r="F1223" s="5144" t="s">
        <v>2192</v>
      </c>
      <c r="G1223" s="5144" t="s">
        <v>2726</v>
      </c>
      <c r="H1223" s="5144" t="s">
        <v>24</v>
      </c>
      <c r="I1223" s="5144" t="s">
        <v>1617</v>
      </c>
    </row>
    <row customHeight="1" ht="11.25">
      <c r="A1224" s="5144" t="s">
        <v>2177</v>
      </c>
      <c r="B1224" s="5144" t="s">
        <v>14</v>
      </c>
      <c r="C1224" s="5144" t="s">
        <v>4188</v>
      </c>
      <c r="D1224" s="5144" t="s">
        <v>4189</v>
      </c>
      <c r="E1224" s="5144" t="s">
        <v>4190</v>
      </c>
      <c r="F1224" s="5144" t="s">
        <v>2912</v>
      </c>
      <c r="G1224" s="5144" t="s">
        <v>4191</v>
      </c>
      <c r="H1224" s="5144" t="s">
        <v>24</v>
      </c>
      <c r="I1224" s="5144" t="s">
        <v>1617</v>
      </c>
    </row>
    <row customHeight="1" ht="11.25">
      <c r="A1225" s="5144" t="s">
        <v>2177</v>
      </c>
      <c r="B1225" s="5144" t="s">
        <v>14</v>
      </c>
      <c r="C1225" s="5144" t="s">
        <v>4192</v>
      </c>
      <c r="D1225" s="5144" t="s">
        <v>4193</v>
      </c>
      <c r="E1225" s="5144" t="s">
        <v>4194</v>
      </c>
      <c r="F1225" s="5144" t="s">
        <v>2277</v>
      </c>
      <c r="G1225" s="5144" t="s">
        <v>4195</v>
      </c>
      <c r="H1225" s="5144" t="s">
        <v>24</v>
      </c>
      <c r="I1225" s="5144" t="s">
        <v>1617</v>
      </c>
    </row>
    <row customHeight="1" ht="11.25">
      <c r="A1226" s="5144" t="s">
        <v>2177</v>
      </c>
      <c r="B1226" s="5144" t="s">
        <v>14</v>
      </c>
      <c r="C1226" s="5144" t="s">
        <v>4196</v>
      </c>
      <c r="D1226" s="5144" t="s">
        <v>4197</v>
      </c>
      <c r="E1226" s="5144" t="s">
        <v>4198</v>
      </c>
      <c r="F1226" s="5144" t="s">
        <v>2252</v>
      </c>
      <c r="G1226" s="5144" t="s">
        <v>4199</v>
      </c>
      <c r="H1226" s="5144" t="s">
        <v>24</v>
      </c>
      <c r="I1226" s="5144" t="s">
        <v>1617</v>
      </c>
    </row>
    <row customHeight="1" ht="11.25">
      <c r="A1227" s="5144" t="s">
        <v>2177</v>
      </c>
      <c r="B1227" s="5144" t="s">
        <v>14</v>
      </c>
      <c r="C1227" s="5144" t="s">
        <v>4200</v>
      </c>
      <c r="D1227" s="5144" t="s">
        <v>4201</v>
      </c>
      <c r="E1227" s="5144" t="s">
        <v>4202</v>
      </c>
      <c r="F1227" s="5144" t="s">
        <v>2505</v>
      </c>
      <c r="G1227" s="5144" t="s">
        <v>4203</v>
      </c>
      <c r="H1227" s="5144" t="s">
        <v>24</v>
      </c>
      <c r="I1227" s="5144" t="s">
        <v>1617</v>
      </c>
    </row>
    <row customHeight="1" ht="11.25">
      <c r="A1228" s="5144" t="s">
        <v>2177</v>
      </c>
      <c r="B1228" s="5144" t="s">
        <v>14</v>
      </c>
      <c r="C1228" s="5144" t="s">
        <v>3899</v>
      </c>
      <c r="D1228" s="5144" t="s">
        <v>3900</v>
      </c>
      <c r="E1228" s="5144" t="s">
        <v>3901</v>
      </c>
      <c r="F1228" s="5144" t="s">
        <v>2467</v>
      </c>
      <c r="G1228" s="5144" t="s">
        <v>3902</v>
      </c>
      <c r="H1228" s="5144" t="s">
        <v>24</v>
      </c>
      <c r="I1228" s="5144" t="s">
        <v>1617</v>
      </c>
    </row>
    <row customHeight="1" ht="11.25">
      <c r="A1229" s="5144" t="s">
        <v>2177</v>
      </c>
      <c r="B1229" s="5144" t="s">
        <v>14</v>
      </c>
      <c r="C1229" s="5144" t="s">
        <v>4204</v>
      </c>
      <c r="D1229" s="5144" t="s">
        <v>4205</v>
      </c>
      <c r="E1229" s="5144" t="s">
        <v>4206</v>
      </c>
      <c r="F1229" s="5144" t="s">
        <v>2231</v>
      </c>
      <c r="G1229" s="5144" t="s">
        <v>4207</v>
      </c>
      <c r="H1229" s="5144" t="s">
        <v>24</v>
      </c>
      <c r="I1229" s="5144" t="s">
        <v>1617</v>
      </c>
    </row>
    <row customHeight="1" ht="11.25">
      <c r="A1230" s="5144" t="s">
        <v>2177</v>
      </c>
      <c r="B1230" s="5144" t="s">
        <v>14</v>
      </c>
      <c r="C1230" s="5144" t="s">
        <v>4208</v>
      </c>
      <c r="D1230" s="5144" t="s">
        <v>4209</v>
      </c>
      <c r="E1230" s="5144" t="s">
        <v>4210</v>
      </c>
      <c r="F1230" s="5144" t="s">
        <v>2288</v>
      </c>
      <c r="G1230" s="5144" t="s">
        <v>4211</v>
      </c>
      <c r="H1230" s="5144" t="s">
        <v>24</v>
      </c>
      <c r="I1230" s="5144" t="s">
        <v>1617</v>
      </c>
    </row>
    <row customHeight="1" ht="11.25">
      <c r="A1231" s="5144" t="s">
        <v>2177</v>
      </c>
      <c r="B1231" s="5144" t="s">
        <v>14</v>
      </c>
      <c r="C1231" s="5144" t="s">
        <v>2887</v>
      </c>
      <c r="D1231" s="5144" t="s">
        <v>2888</v>
      </c>
      <c r="E1231" s="5144" t="s">
        <v>2889</v>
      </c>
      <c r="F1231" s="5144" t="s">
        <v>2520</v>
      </c>
      <c r="G1231" s="5144" t="s">
        <v>24</v>
      </c>
      <c r="H1231" s="5144" t="s">
        <v>24</v>
      </c>
      <c r="I1231" s="5144" t="s">
        <v>1617</v>
      </c>
    </row>
    <row customHeight="1" ht="11.25">
      <c r="A1232" s="5144" t="s">
        <v>2177</v>
      </c>
      <c r="B1232" s="5144" t="s">
        <v>14</v>
      </c>
      <c r="C1232" s="5144" t="s">
        <v>4212</v>
      </c>
      <c r="D1232" s="5144" t="s">
        <v>4213</v>
      </c>
      <c r="E1232" s="5144" t="s">
        <v>4214</v>
      </c>
      <c r="F1232" s="5144" t="s">
        <v>2520</v>
      </c>
      <c r="G1232" s="5144" t="s">
        <v>24</v>
      </c>
      <c r="H1232" s="5144" t="s">
        <v>24</v>
      </c>
      <c r="I1232" s="5144" t="s">
        <v>1617</v>
      </c>
    </row>
    <row customHeight="1" ht="11.25">
      <c r="A1233" s="5144" t="s">
        <v>2177</v>
      </c>
      <c r="B1233" s="5144" t="s">
        <v>14</v>
      </c>
      <c r="C1233" s="5144" t="s">
        <v>4215</v>
      </c>
      <c r="D1233" s="5144" t="s">
        <v>4216</v>
      </c>
      <c r="E1233" s="5144" t="s">
        <v>4217</v>
      </c>
      <c r="F1233" s="5144" t="s">
        <v>2288</v>
      </c>
      <c r="G1233" s="5144" t="s">
        <v>4218</v>
      </c>
      <c r="H1233" s="5144" t="s">
        <v>24</v>
      </c>
      <c r="I1233" s="5144" t="s">
        <v>1617</v>
      </c>
    </row>
    <row customHeight="1" ht="11.25">
      <c r="A1234" s="5144" t="s">
        <v>2177</v>
      </c>
      <c r="B1234" s="5144" t="s">
        <v>14</v>
      </c>
      <c r="C1234" s="5144" t="s">
        <v>4219</v>
      </c>
      <c r="D1234" s="5144" t="s">
        <v>4220</v>
      </c>
      <c r="E1234" s="5144" t="s">
        <v>4221</v>
      </c>
      <c r="F1234" s="5144" t="s">
        <v>2183</v>
      </c>
      <c r="G1234" s="5144" t="s">
        <v>4222</v>
      </c>
      <c r="H1234" s="5144" t="s">
        <v>24</v>
      </c>
      <c r="I1234" s="5144" t="s">
        <v>1617</v>
      </c>
    </row>
    <row customHeight="1" ht="11.25">
      <c r="A1235" s="5144" t="s">
        <v>2177</v>
      </c>
      <c r="B1235" s="5144" t="s">
        <v>14</v>
      </c>
      <c r="C1235" s="5144" t="s">
        <v>4223</v>
      </c>
      <c r="D1235" s="5144" t="s">
        <v>4224</v>
      </c>
      <c r="E1235" s="5144" t="s">
        <v>4225</v>
      </c>
      <c r="F1235" s="5144" t="s">
        <v>2202</v>
      </c>
      <c r="G1235" s="5144" t="s">
        <v>4226</v>
      </c>
      <c r="H1235" s="5144" t="s">
        <v>24</v>
      </c>
      <c r="I1235" s="5144" t="s">
        <v>1617</v>
      </c>
    </row>
    <row customHeight="1" ht="11.25">
      <c r="A1236" s="5144" t="s">
        <v>2177</v>
      </c>
      <c r="B1236" s="5144" t="s">
        <v>14</v>
      </c>
      <c r="C1236" s="5144" t="s">
        <v>4227</v>
      </c>
      <c r="D1236" s="5144" t="s">
        <v>4228</v>
      </c>
      <c r="E1236" s="5144" t="s">
        <v>4229</v>
      </c>
      <c r="F1236" s="5144" t="s">
        <v>2221</v>
      </c>
      <c r="G1236" s="5144" t="s">
        <v>4230</v>
      </c>
      <c r="H1236" s="5144" t="s">
        <v>24</v>
      </c>
      <c r="I1236" s="5144" t="s">
        <v>1617</v>
      </c>
    </row>
    <row customHeight="1" ht="11.25">
      <c r="A1237" s="5144" t="s">
        <v>2177</v>
      </c>
      <c r="B1237" s="5144" t="s">
        <v>14</v>
      </c>
      <c r="C1237" s="5144" t="s">
        <v>4231</v>
      </c>
      <c r="D1237" s="5144" t="s">
        <v>4232</v>
      </c>
      <c r="E1237" s="5144" t="s">
        <v>4233</v>
      </c>
      <c r="F1237" s="5144" t="s">
        <v>2252</v>
      </c>
      <c r="G1237" s="5144" t="s">
        <v>4234</v>
      </c>
      <c r="H1237" s="5144" t="s">
        <v>24</v>
      </c>
      <c r="I1237" s="5144" t="s">
        <v>1617</v>
      </c>
    </row>
    <row customHeight="1" ht="11.25">
      <c r="A1238" s="5144" t="s">
        <v>2177</v>
      </c>
      <c r="B1238" s="5144" t="s">
        <v>14</v>
      </c>
      <c r="C1238" s="5144" t="s">
        <v>4235</v>
      </c>
      <c r="D1238" s="5144" t="s">
        <v>4236</v>
      </c>
      <c r="E1238" s="5144" t="s">
        <v>4237</v>
      </c>
      <c r="F1238" s="5144" t="s">
        <v>4238</v>
      </c>
      <c r="G1238" s="5144" t="s">
        <v>4239</v>
      </c>
      <c r="H1238" s="5144" t="s">
        <v>24</v>
      </c>
      <c r="I1238" s="5144" t="s">
        <v>1617</v>
      </c>
    </row>
    <row customHeight="1" ht="11.25">
      <c r="A1239" s="5144" t="s">
        <v>2177</v>
      </c>
      <c r="B1239" s="5144" t="s">
        <v>14</v>
      </c>
      <c r="C1239" s="5144" t="s">
        <v>4240</v>
      </c>
      <c r="D1239" s="5144" t="s">
        <v>4241</v>
      </c>
      <c r="E1239" s="5144" t="s">
        <v>4242</v>
      </c>
      <c r="F1239" s="5144" t="s">
        <v>2912</v>
      </c>
      <c r="G1239" s="5144" t="s">
        <v>4243</v>
      </c>
      <c r="H1239" s="5144" t="s">
        <v>24</v>
      </c>
      <c r="I1239" s="5144" t="s">
        <v>1617</v>
      </c>
    </row>
    <row customHeight="1" ht="11.25">
      <c r="A1240" s="5144" t="s">
        <v>2177</v>
      </c>
      <c r="B1240" s="5144" t="s">
        <v>14</v>
      </c>
      <c r="C1240" s="5144" t="s">
        <v>4244</v>
      </c>
      <c r="D1240" s="5144" t="s">
        <v>4245</v>
      </c>
      <c r="E1240" s="5144" t="s">
        <v>4246</v>
      </c>
      <c r="F1240" s="5144" t="s">
        <v>2202</v>
      </c>
      <c r="G1240" s="5144" t="s">
        <v>24</v>
      </c>
      <c r="H1240" s="5144" t="s">
        <v>24</v>
      </c>
      <c r="I1240" s="5144" t="s">
        <v>1617</v>
      </c>
    </row>
    <row customHeight="1" ht="11.25">
      <c r="A1241" s="5144" t="s">
        <v>2177</v>
      </c>
      <c r="B1241" s="5144" t="s">
        <v>14</v>
      </c>
      <c r="C1241" s="5144" t="s">
        <v>4247</v>
      </c>
      <c r="D1241" s="5144" t="s">
        <v>4248</v>
      </c>
      <c r="E1241" s="5144" t="s">
        <v>4249</v>
      </c>
      <c r="F1241" s="5144" t="s">
        <v>2207</v>
      </c>
      <c r="G1241" s="5144" t="s">
        <v>4250</v>
      </c>
      <c r="H1241" s="5144" t="s">
        <v>24</v>
      </c>
      <c r="I1241" s="5144" t="s">
        <v>1617</v>
      </c>
    </row>
    <row customHeight="1" ht="11.25">
      <c r="A1242" s="5144" t="s">
        <v>2177</v>
      </c>
      <c r="B1242" s="5144" t="s">
        <v>14</v>
      </c>
      <c r="C1242" s="5144" t="s">
        <v>4251</v>
      </c>
      <c r="D1242" s="5144" t="s">
        <v>4252</v>
      </c>
      <c r="E1242" s="5144" t="s">
        <v>4253</v>
      </c>
      <c r="F1242" s="5144" t="s">
        <v>2207</v>
      </c>
      <c r="G1242" s="5144" t="s">
        <v>4254</v>
      </c>
      <c r="H1242" s="5144" t="s">
        <v>24</v>
      </c>
      <c r="I1242" s="5144" t="s">
        <v>1617</v>
      </c>
    </row>
    <row customHeight="1" ht="11.25">
      <c r="A1243" s="5144" t="s">
        <v>2177</v>
      </c>
      <c r="B1243" s="5144" t="s">
        <v>14</v>
      </c>
      <c r="C1243" s="5144" t="s">
        <v>4255</v>
      </c>
      <c r="D1243" s="5144" t="s">
        <v>4256</v>
      </c>
      <c r="E1243" s="5144" t="s">
        <v>4257</v>
      </c>
      <c r="F1243" s="5144" t="s">
        <v>2231</v>
      </c>
      <c r="G1243" s="5144" t="s">
        <v>4258</v>
      </c>
      <c r="H1243" s="5144" t="s">
        <v>24</v>
      </c>
      <c r="I1243" s="5144" t="s">
        <v>1617</v>
      </c>
    </row>
    <row customHeight="1" ht="11.25">
      <c r="A1244" s="5144" t="s">
        <v>2177</v>
      </c>
      <c r="B1244" s="5144" t="s">
        <v>14</v>
      </c>
      <c r="C1244" s="5144" t="s">
        <v>3243</v>
      </c>
      <c r="D1244" s="5144" t="s">
        <v>3244</v>
      </c>
      <c r="E1244" s="5144" t="s">
        <v>3245</v>
      </c>
      <c r="F1244" s="5144" t="s">
        <v>2505</v>
      </c>
      <c r="G1244" s="5144" t="s">
        <v>24</v>
      </c>
      <c r="H1244" s="5144" t="s">
        <v>24</v>
      </c>
      <c r="I1244" s="5144" t="s">
        <v>1617</v>
      </c>
    </row>
    <row customHeight="1" ht="11.25">
      <c r="A1245" s="5144" t="s">
        <v>2177</v>
      </c>
      <c r="B1245" s="5144" t="s">
        <v>14</v>
      </c>
      <c r="C1245" s="5144" t="s">
        <v>4259</v>
      </c>
      <c r="D1245" s="5144" t="s">
        <v>4260</v>
      </c>
      <c r="E1245" s="5144" t="s">
        <v>4261</v>
      </c>
      <c r="F1245" s="5144" t="s">
        <v>2231</v>
      </c>
      <c r="G1245" s="5144" t="s">
        <v>4262</v>
      </c>
      <c r="H1245" s="5144" t="s">
        <v>24</v>
      </c>
      <c r="I1245" s="5144" t="s">
        <v>1617</v>
      </c>
    </row>
    <row customHeight="1" ht="11.25">
      <c r="A1246" s="5144" t="s">
        <v>2177</v>
      </c>
      <c r="B1246" s="5144" t="s">
        <v>14</v>
      </c>
      <c r="C1246" s="5144" t="s">
        <v>3378</v>
      </c>
      <c r="D1246" s="5144" t="s">
        <v>3379</v>
      </c>
      <c r="E1246" s="5144" t="s">
        <v>3380</v>
      </c>
      <c r="F1246" s="5144" t="s">
        <v>2505</v>
      </c>
      <c r="G1246" s="5144" t="s">
        <v>3381</v>
      </c>
      <c r="H1246" s="5144" t="s">
        <v>3382</v>
      </c>
      <c r="I1246" s="5144" t="s">
        <v>1617</v>
      </c>
    </row>
    <row customHeight="1" ht="11.25">
      <c r="A1247" s="5144" t="s">
        <v>2177</v>
      </c>
      <c r="B1247" s="5144" t="s">
        <v>14</v>
      </c>
      <c r="C1247" s="5144" t="s">
        <v>4263</v>
      </c>
      <c r="D1247" s="5144" t="s">
        <v>4264</v>
      </c>
      <c r="E1247" s="5144" t="s">
        <v>4265</v>
      </c>
      <c r="F1247" s="5144" t="s">
        <v>2186</v>
      </c>
      <c r="G1247" s="5144" t="s">
        <v>24</v>
      </c>
      <c r="H1247" s="5144" t="s">
        <v>24</v>
      </c>
      <c r="I1247" s="5144" t="s">
        <v>1617</v>
      </c>
    </row>
    <row customHeight="1" ht="11.25">
      <c r="A1248" s="5144" t="s">
        <v>2177</v>
      </c>
      <c r="B1248" s="5144" t="s">
        <v>14</v>
      </c>
      <c r="C1248" s="5144" t="s">
        <v>4266</v>
      </c>
      <c r="D1248" s="5144" t="s">
        <v>4267</v>
      </c>
      <c r="E1248" s="5144" t="s">
        <v>4268</v>
      </c>
      <c r="F1248" s="5144" t="s">
        <v>2277</v>
      </c>
      <c r="G1248" s="5144" t="s">
        <v>24</v>
      </c>
      <c r="H1248" s="5144" t="s">
        <v>24</v>
      </c>
      <c r="I1248" s="5144" t="s">
        <v>1617</v>
      </c>
    </row>
    <row customHeight="1" ht="11.25">
      <c r="A1249" s="5144" t="s">
        <v>2177</v>
      </c>
      <c r="B1249" s="5144" t="s">
        <v>14</v>
      </c>
      <c r="C1249" s="5144" t="s">
        <v>4059</v>
      </c>
      <c r="D1249" s="5144" t="s">
        <v>4060</v>
      </c>
      <c r="E1249" s="5144" t="s">
        <v>4061</v>
      </c>
      <c r="F1249" s="5144" t="s">
        <v>2231</v>
      </c>
      <c r="G1249" s="5144" t="s">
        <v>24</v>
      </c>
      <c r="H1249" s="5144" t="s">
        <v>24</v>
      </c>
      <c r="I1249" s="5144" t="s">
        <v>1617</v>
      </c>
    </row>
    <row customHeight="1" ht="11.25">
      <c r="A1250" s="5144" t="s">
        <v>2177</v>
      </c>
      <c r="B1250" s="5144" t="s">
        <v>14</v>
      </c>
      <c r="C1250" s="5144" t="s">
        <v>4269</v>
      </c>
      <c r="D1250" s="5144" t="s">
        <v>4270</v>
      </c>
      <c r="E1250" s="5144" t="s">
        <v>4271</v>
      </c>
      <c r="F1250" s="5144" t="s">
        <v>2180</v>
      </c>
      <c r="G1250" s="5144" t="s">
        <v>24</v>
      </c>
      <c r="H1250" s="5144" t="s">
        <v>24</v>
      </c>
      <c r="I1250" s="5144" t="s">
        <v>1617</v>
      </c>
    </row>
    <row customHeight="1" ht="11.25">
      <c r="A1251" s="5144" t="s">
        <v>2177</v>
      </c>
      <c r="B1251" s="5144" t="s">
        <v>14</v>
      </c>
      <c r="C1251" s="5144" t="s">
        <v>4272</v>
      </c>
      <c r="D1251" s="5144" t="s">
        <v>4273</v>
      </c>
      <c r="E1251" s="5144" t="s">
        <v>4274</v>
      </c>
      <c r="F1251" s="5144" t="s">
        <v>2505</v>
      </c>
      <c r="G1251" s="5144" t="s">
        <v>4275</v>
      </c>
      <c r="H1251" s="5144" t="s">
        <v>24</v>
      </c>
      <c r="I1251" s="5144" t="s">
        <v>1617</v>
      </c>
    </row>
    <row customHeight="1" ht="11.25">
      <c r="A1252" s="5144" t="s">
        <v>2177</v>
      </c>
      <c r="B1252" s="5144" t="s">
        <v>14</v>
      </c>
      <c r="C1252" s="5144" t="s">
        <v>4152</v>
      </c>
      <c r="D1252" s="5144" t="s">
        <v>4153</v>
      </c>
      <c r="E1252" s="5144" t="s">
        <v>4154</v>
      </c>
      <c r="F1252" s="5144" t="s">
        <v>3665</v>
      </c>
      <c r="G1252" s="5144" t="s">
        <v>4155</v>
      </c>
      <c r="H1252" s="5144" t="s">
        <v>24</v>
      </c>
      <c r="I1252" s="5144" t="s">
        <v>1617</v>
      </c>
    </row>
    <row customHeight="1" ht="11.25">
      <c r="A1253" s="5144" t="s">
        <v>2177</v>
      </c>
      <c r="B1253" s="5144" t="s">
        <v>14</v>
      </c>
      <c r="C1253" s="5144" t="s">
        <v>24</v>
      </c>
      <c r="D1253" s="5144" t="s">
        <v>3430</v>
      </c>
      <c r="E1253" s="5144" t="s">
        <v>3431</v>
      </c>
      <c r="F1253" s="5144" t="s">
        <v>51</v>
      </c>
      <c r="G1253" s="5144" t="s">
        <v>24</v>
      </c>
      <c r="H1253" s="5144" t="s">
        <v>24</v>
      </c>
      <c r="I1253" s="5144" t="s">
        <v>1617</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3D4EC68-780F-4306-EA05-72D448FDE128}" mc:Ignorable="x14ac xr xr2 xr3">
  <sheetPr>
    <tabColor rgb="FFFFCC99"/>
  </sheetPr>
  <dimension ref="A1:G490"/>
  <sheetViews>
    <sheetView topLeftCell="A1" showGridLines="0" workbookViewId="0">
      <selection activeCell="A1" sqref="A1"/>
    </sheetView>
  </sheetViews>
  <sheetFormatPr customHeight="1" defaultRowHeight="11.25"/>
  <cols>
    <col min="1" max="1" style="4554" width="9.140625"/>
  </cols>
  <sheetData>
    <row customHeight="1" ht="11.25">
      <c r="A1" s="373" t="s">
        <v>4276</v>
      </c>
      <c r="B1" s="48" t="s">
        <v>4277</v>
      </c>
      <c r="C1" s="48" t="s">
        <v>4278</v>
      </c>
      <c r="D1" s="48" t="s">
        <v>4279</v>
      </c>
      <c r="E1" s="0" t="s">
        <v>4280</v>
      </c>
      <c r="F1" s="0" t="s">
        <v>4281</v>
      </c>
      <c r="G1" s="0" t="s">
        <v>4282</v>
      </c>
    </row>
    <row customHeight="1" ht="11.25">
      <c r="A2" s="373" t="s">
        <v>14</v>
      </c>
      <c r="B2" s="0" t="s">
        <v>4283</v>
      </c>
      <c r="C2" s="0" t="s">
        <v>4284</v>
      </c>
      <c r="D2" s="0" t="s">
        <v>4283</v>
      </c>
      <c r="E2" s="0" t="s">
        <v>4284</v>
      </c>
      <c r="F2" s="0" t="s">
        <v>4285</v>
      </c>
      <c r="G2" s="0" t="s">
        <v>110</v>
      </c>
    </row>
    <row customHeight="1" ht="11.25">
      <c r="A3" s="373" t="s">
        <v>14</v>
      </c>
      <c r="B3" s="0" t="s">
        <v>4283</v>
      </c>
      <c r="C3" s="0" t="s">
        <v>4284</v>
      </c>
      <c r="D3" s="0" t="s">
        <v>4286</v>
      </c>
      <c r="E3" s="0" t="s">
        <v>4287</v>
      </c>
      <c r="F3" s="0" t="s">
        <v>4288</v>
      </c>
      <c r="G3" s="0" t="s">
        <v>111</v>
      </c>
    </row>
    <row customHeight="1" ht="11.25">
      <c r="A4" s="373" t="s">
        <v>14</v>
      </c>
      <c r="B4" s="0" t="s">
        <v>4283</v>
      </c>
      <c r="C4" s="0" t="s">
        <v>4284</v>
      </c>
      <c r="D4" s="0" t="s">
        <v>4289</v>
      </c>
      <c r="E4" s="0" t="s">
        <v>4290</v>
      </c>
      <c r="F4" s="0" t="s">
        <v>4288</v>
      </c>
      <c r="G4" s="0" t="s">
        <v>90</v>
      </c>
    </row>
    <row customHeight="1" ht="11.25">
      <c r="A5" s="373" t="s">
        <v>14</v>
      </c>
      <c r="B5" s="0" t="s">
        <v>4283</v>
      </c>
      <c r="C5" s="0" t="s">
        <v>4284</v>
      </c>
      <c r="D5" s="0" t="s">
        <v>4291</v>
      </c>
      <c r="E5" s="0" t="s">
        <v>4292</v>
      </c>
      <c r="F5" s="0" t="s">
        <v>4288</v>
      </c>
      <c r="G5" s="0" t="s">
        <v>91</v>
      </c>
    </row>
    <row customHeight="1" ht="11.25">
      <c r="A6" s="373" t="s">
        <v>14</v>
      </c>
      <c r="B6" s="0" t="s">
        <v>4283</v>
      </c>
      <c r="C6" s="0" t="s">
        <v>4284</v>
      </c>
      <c r="D6" s="0" t="s">
        <v>4293</v>
      </c>
      <c r="E6" s="0" t="s">
        <v>4294</v>
      </c>
      <c r="F6" s="0" t="s">
        <v>4288</v>
      </c>
      <c r="G6" s="0" t="s">
        <v>112</v>
      </c>
    </row>
    <row customHeight="1" ht="11.25">
      <c r="A7" s="373" t="s">
        <v>14</v>
      </c>
      <c r="B7" s="0" t="s">
        <v>4283</v>
      </c>
      <c r="C7" s="0" t="s">
        <v>4284</v>
      </c>
      <c r="D7" s="0" t="s">
        <v>4295</v>
      </c>
      <c r="E7" s="0" t="s">
        <v>4296</v>
      </c>
      <c r="F7" s="0" t="s">
        <v>4288</v>
      </c>
      <c r="G7" s="0" t="s">
        <v>92</v>
      </c>
    </row>
    <row customHeight="1" ht="11.25">
      <c r="A8" s="373" t="s">
        <v>14</v>
      </c>
      <c r="B8" s="0" t="s">
        <v>4283</v>
      </c>
      <c r="C8" s="0" t="s">
        <v>4284</v>
      </c>
      <c r="D8" s="0" t="s">
        <v>4297</v>
      </c>
      <c r="E8" s="0" t="s">
        <v>4298</v>
      </c>
      <c r="F8" s="0" t="s">
        <v>4288</v>
      </c>
      <c r="G8" s="0" t="s">
        <v>93</v>
      </c>
    </row>
    <row customHeight="1" ht="11.25">
      <c r="A9" s="373" t="s">
        <v>14</v>
      </c>
      <c r="B9" s="0" t="s">
        <v>4283</v>
      </c>
      <c r="C9" s="0" t="s">
        <v>4284</v>
      </c>
      <c r="D9" s="0" t="s">
        <v>4299</v>
      </c>
      <c r="E9" s="0" t="s">
        <v>4300</v>
      </c>
      <c r="F9" s="0" t="s">
        <v>4288</v>
      </c>
      <c r="G9" s="0" t="s">
        <v>113</v>
      </c>
    </row>
    <row customHeight="1" ht="11.25">
      <c r="A10" s="373" t="s">
        <v>14</v>
      </c>
      <c r="B10" s="0" t="s">
        <v>4283</v>
      </c>
      <c r="C10" s="0" t="s">
        <v>4284</v>
      </c>
      <c r="D10" s="0" t="s">
        <v>4301</v>
      </c>
      <c r="E10" s="0" t="s">
        <v>4302</v>
      </c>
      <c r="F10" s="0" t="s">
        <v>4288</v>
      </c>
      <c r="G10" s="0" t="s">
        <v>149</v>
      </c>
    </row>
    <row customHeight="1" ht="11.25">
      <c r="A11" s="373" t="s">
        <v>14</v>
      </c>
      <c r="B11" s="0" t="s">
        <v>4283</v>
      </c>
      <c r="C11" s="0" t="s">
        <v>4284</v>
      </c>
      <c r="D11" s="0" t="s">
        <v>4303</v>
      </c>
      <c r="E11" s="0" t="s">
        <v>4304</v>
      </c>
      <c r="F11" s="0" t="s">
        <v>4288</v>
      </c>
      <c r="G11" s="0" t="s">
        <v>150</v>
      </c>
    </row>
    <row customHeight="1" ht="11.25">
      <c r="A12" s="373" t="s">
        <v>14</v>
      </c>
      <c r="B12" s="0" t="s">
        <v>4283</v>
      </c>
      <c r="C12" s="0" t="s">
        <v>4284</v>
      </c>
      <c r="D12" s="0" t="s">
        <v>4305</v>
      </c>
      <c r="E12" s="0" t="s">
        <v>4306</v>
      </c>
      <c r="F12" s="0" t="s">
        <v>4288</v>
      </c>
      <c r="G12" s="0" t="s">
        <v>151</v>
      </c>
    </row>
    <row customHeight="1" ht="11.25">
      <c r="A13" s="373" t="s">
        <v>14</v>
      </c>
      <c r="B13" s="0" t="s">
        <v>4283</v>
      </c>
      <c r="C13" s="0" t="s">
        <v>4284</v>
      </c>
      <c r="D13" s="0" t="s">
        <v>4307</v>
      </c>
      <c r="E13" s="0" t="s">
        <v>4308</v>
      </c>
      <c r="F13" s="0" t="s">
        <v>4288</v>
      </c>
      <c r="G13" s="0" t="s">
        <v>152</v>
      </c>
    </row>
    <row customHeight="1" ht="11.25">
      <c r="A14" s="373" t="s">
        <v>14</v>
      </c>
      <c r="B14" s="0" t="s">
        <v>4283</v>
      </c>
      <c r="C14" s="0" t="s">
        <v>4284</v>
      </c>
      <c r="D14" s="0" t="s">
        <v>4309</v>
      </c>
      <c r="E14" s="0" t="s">
        <v>4310</v>
      </c>
      <c r="F14" s="0" t="s">
        <v>4288</v>
      </c>
      <c r="G14" s="0" t="s">
        <v>153</v>
      </c>
    </row>
    <row customHeight="1" ht="11.25">
      <c r="A15" s="373" t="s">
        <v>14</v>
      </c>
      <c r="B15" s="0" t="s">
        <v>4283</v>
      </c>
      <c r="C15" s="0" t="s">
        <v>4284</v>
      </c>
      <c r="D15" s="0" t="s">
        <v>4311</v>
      </c>
      <c r="E15" s="0" t="s">
        <v>4312</v>
      </c>
      <c r="F15" s="0" t="s">
        <v>4288</v>
      </c>
      <c r="G15" s="0" t="s">
        <v>154</v>
      </c>
    </row>
    <row customHeight="1" ht="11.25">
      <c r="A16" s="373" t="s">
        <v>14</v>
      </c>
      <c r="B16" s="0" t="s">
        <v>4283</v>
      </c>
      <c r="C16" s="0" t="s">
        <v>4284</v>
      </c>
      <c r="D16" s="0" t="s">
        <v>4313</v>
      </c>
      <c r="E16" s="0" t="s">
        <v>4314</v>
      </c>
      <c r="F16" s="0" t="s">
        <v>4288</v>
      </c>
      <c r="G16" s="0" t="s">
        <v>1463</v>
      </c>
    </row>
    <row customHeight="1" ht="11.25">
      <c r="A17" s="373" t="s">
        <v>14</v>
      </c>
      <c r="B17" s="0" t="s">
        <v>4283</v>
      </c>
      <c r="C17" s="0" t="s">
        <v>4284</v>
      </c>
      <c r="D17" s="0" t="s">
        <v>4315</v>
      </c>
      <c r="E17" s="0" t="s">
        <v>4316</v>
      </c>
      <c r="F17" s="0" t="s">
        <v>4288</v>
      </c>
      <c r="G17" s="0" t="s">
        <v>1469</v>
      </c>
    </row>
    <row customHeight="1" ht="11.25">
      <c r="A18" s="373" t="s">
        <v>14</v>
      </c>
      <c r="B18" s="0" t="s">
        <v>4283</v>
      </c>
      <c r="C18" s="0" t="s">
        <v>4284</v>
      </c>
      <c r="D18" s="0" t="s">
        <v>4317</v>
      </c>
      <c r="E18" s="0" t="s">
        <v>4318</v>
      </c>
      <c r="F18" s="0" t="s">
        <v>4288</v>
      </c>
      <c r="G18" s="0" t="s">
        <v>1480</v>
      </c>
    </row>
    <row customHeight="1" ht="11.25">
      <c r="A19" s="373" t="s">
        <v>14</v>
      </c>
      <c r="B19" s="0" t="s">
        <v>4283</v>
      </c>
      <c r="C19" s="0" t="s">
        <v>4284</v>
      </c>
      <c r="D19" s="0" t="s">
        <v>4319</v>
      </c>
      <c r="E19" s="0" t="s">
        <v>4320</v>
      </c>
      <c r="F19" s="0" t="s">
        <v>4288</v>
      </c>
      <c r="G19" s="0" t="s">
        <v>1494</v>
      </c>
    </row>
    <row customHeight="1" ht="11.25">
      <c r="A20" s="373" t="s">
        <v>14</v>
      </c>
      <c r="B20" s="0" t="s">
        <v>4293</v>
      </c>
      <c r="C20" s="0" t="s">
        <v>4321</v>
      </c>
      <c r="D20" s="0" t="s">
        <v>4293</v>
      </c>
      <c r="E20" s="0" t="s">
        <v>4321</v>
      </c>
      <c r="F20" s="0" t="s">
        <v>4322</v>
      </c>
      <c r="G20" s="0" t="s">
        <v>1506</v>
      </c>
    </row>
    <row customHeight="1" ht="11.25">
      <c r="A21" s="373" t="s">
        <v>14</v>
      </c>
      <c r="B21" s="0" t="s">
        <v>4323</v>
      </c>
      <c r="C21" s="0" t="s">
        <v>4324</v>
      </c>
      <c r="D21" s="0" t="s">
        <v>4323</v>
      </c>
      <c r="E21" s="0" t="s">
        <v>4324</v>
      </c>
      <c r="F21" s="0" t="s">
        <v>4285</v>
      </c>
      <c r="G21" s="0" t="s">
        <v>1514</v>
      </c>
    </row>
    <row customHeight="1" ht="11.25">
      <c r="A22" s="373" t="s">
        <v>14</v>
      </c>
      <c r="B22" s="0" t="s">
        <v>4323</v>
      </c>
      <c r="C22" s="0" t="s">
        <v>4324</v>
      </c>
      <c r="D22" s="0" t="s">
        <v>4325</v>
      </c>
      <c r="E22" s="0" t="s">
        <v>4326</v>
      </c>
      <c r="F22" s="0" t="s">
        <v>4327</v>
      </c>
      <c r="G22" s="0" t="s">
        <v>1530</v>
      </c>
    </row>
    <row customHeight="1" ht="11.25">
      <c r="A23" s="373" t="s">
        <v>14</v>
      </c>
      <c r="B23" s="0" t="s">
        <v>4323</v>
      </c>
      <c r="C23" s="0" t="s">
        <v>4324</v>
      </c>
      <c r="D23" s="0" t="s">
        <v>4328</v>
      </c>
      <c r="E23" s="0" t="s">
        <v>4329</v>
      </c>
      <c r="F23" s="0" t="s">
        <v>4330</v>
      </c>
      <c r="G23" s="0" t="s">
        <v>1537</v>
      </c>
    </row>
    <row customHeight="1" ht="11.25">
      <c r="A24" s="373" t="s">
        <v>14</v>
      </c>
      <c r="B24" s="0" t="s">
        <v>4323</v>
      </c>
      <c r="C24" s="0" t="s">
        <v>4324</v>
      </c>
      <c r="D24" s="0" t="s">
        <v>4331</v>
      </c>
      <c r="E24" s="0" t="s">
        <v>4332</v>
      </c>
      <c r="F24" s="0" t="s">
        <v>4288</v>
      </c>
      <c r="G24" s="0" t="s">
        <v>1545</v>
      </c>
    </row>
    <row customHeight="1" ht="11.25">
      <c r="A25" s="373" t="s">
        <v>14</v>
      </c>
      <c r="B25" s="0" t="s">
        <v>4323</v>
      </c>
      <c r="C25" s="0" t="s">
        <v>4324</v>
      </c>
      <c r="D25" s="0" t="s">
        <v>4333</v>
      </c>
      <c r="E25" s="0" t="s">
        <v>4334</v>
      </c>
      <c r="F25" s="0" t="s">
        <v>4288</v>
      </c>
      <c r="G25" s="0" t="s">
        <v>1552</v>
      </c>
    </row>
    <row customHeight="1" ht="11.25">
      <c r="A26" s="373" t="s">
        <v>14</v>
      </c>
      <c r="B26" s="0" t="s">
        <v>4335</v>
      </c>
      <c r="C26" s="0" t="s">
        <v>4336</v>
      </c>
      <c r="D26" s="0" t="s">
        <v>4335</v>
      </c>
      <c r="E26" s="0" t="s">
        <v>4336</v>
      </c>
      <c r="F26" s="0" t="s">
        <v>4285</v>
      </c>
      <c r="G26" s="0" t="s">
        <v>1556</v>
      </c>
    </row>
    <row customHeight="1" ht="11.25">
      <c r="A27" s="373" t="s">
        <v>14</v>
      </c>
      <c r="B27" s="0" t="s">
        <v>4335</v>
      </c>
      <c r="C27" s="0" t="s">
        <v>4336</v>
      </c>
      <c r="D27" s="0" t="s">
        <v>4337</v>
      </c>
      <c r="E27" s="0" t="s">
        <v>4338</v>
      </c>
      <c r="F27" s="0" t="s">
        <v>4288</v>
      </c>
      <c r="G27" s="0" t="s">
        <v>1561</v>
      </c>
    </row>
    <row customHeight="1" ht="11.25">
      <c r="A28" s="373" t="s">
        <v>14</v>
      </c>
      <c r="B28" s="0" t="s">
        <v>4335</v>
      </c>
      <c r="C28" s="0" t="s">
        <v>4336</v>
      </c>
      <c r="D28" s="0" t="s">
        <v>4339</v>
      </c>
      <c r="E28" s="0" t="s">
        <v>4340</v>
      </c>
      <c r="F28" s="0" t="s">
        <v>4330</v>
      </c>
      <c r="G28" s="0" t="s">
        <v>1569</v>
      </c>
    </row>
    <row customHeight="1" ht="11.25">
      <c r="A29" s="373" t="s">
        <v>14</v>
      </c>
      <c r="B29" s="0" t="s">
        <v>4335</v>
      </c>
      <c r="C29" s="0" t="s">
        <v>4336</v>
      </c>
      <c r="D29" s="0" t="s">
        <v>4341</v>
      </c>
      <c r="E29" s="0" t="s">
        <v>4342</v>
      </c>
      <c r="F29" s="0" t="s">
        <v>4288</v>
      </c>
      <c r="G29" s="0" t="s">
        <v>1571</v>
      </c>
    </row>
    <row customHeight="1" ht="11.25">
      <c r="A30" s="373" t="s">
        <v>14</v>
      </c>
      <c r="B30" s="0" t="s">
        <v>4335</v>
      </c>
      <c r="C30" s="0" t="s">
        <v>4336</v>
      </c>
      <c r="D30" s="0" t="s">
        <v>4343</v>
      </c>
      <c r="E30" s="0" t="s">
        <v>4344</v>
      </c>
      <c r="F30" s="0" t="s">
        <v>4288</v>
      </c>
      <c r="G30" s="0" t="s">
        <v>1574</v>
      </c>
    </row>
    <row customHeight="1" ht="11.25">
      <c r="A31" s="373" t="s">
        <v>14</v>
      </c>
      <c r="B31" s="0" t="s">
        <v>4335</v>
      </c>
      <c r="C31" s="0" t="s">
        <v>4336</v>
      </c>
      <c r="D31" s="0" t="s">
        <v>4345</v>
      </c>
      <c r="E31" s="0" t="s">
        <v>4346</v>
      </c>
      <c r="F31" s="0" t="s">
        <v>4288</v>
      </c>
      <c r="G31" s="0" t="s">
        <v>1579</v>
      </c>
    </row>
    <row customHeight="1" ht="11.25">
      <c r="A32" s="373" t="s">
        <v>14</v>
      </c>
      <c r="B32" s="0" t="s">
        <v>4335</v>
      </c>
      <c r="C32" s="0" t="s">
        <v>4336</v>
      </c>
      <c r="D32" s="0" t="s">
        <v>4347</v>
      </c>
      <c r="E32" s="0" t="s">
        <v>4348</v>
      </c>
      <c r="F32" s="0" t="s">
        <v>4288</v>
      </c>
      <c r="G32" s="0" t="s">
        <v>1581</v>
      </c>
    </row>
    <row customHeight="1" ht="11.25">
      <c r="A33" s="373" t="s">
        <v>14</v>
      </c>
      <c r="B33" s="0" t="s">
        <v>4335</v>
      </c>
      <c r="C33" s="0" t="s">
        <v>4336</v>
      </c>
      <c r="D33" s="0" t="s">
        <v>4349</v>
      </c>
      <c r="E33" s="0" t="s">
        <v>4350</v>
      </c>
      <c r="F33" s="0" t="s">
        <v>4288</v>
      </c>
      <c r="G33" s="0" t="s">
        <v>1583</v>
      </c>
    </row>
    <row customHeight="1" ht="11.25">
      <c r="A34" s="373" t="s">
        <v>14</v>
      </c>
      <c r="B34" s="0" t="s">
        <v>4335</v>
      </c>
      <c r="C34" s="0" t="s">
        <v>4336</v>
      </c>
      <c r="D34" s="0" t="s">
        <v>4351</v>
      </c>
      <c r="E34" s="0" t="s">
        <v>4352</v>
      </c>
      <c r="F34" s="0" t="s">
        <v>4288</v>
      </c>
      <c r="G34" s="0" t="s">
        <v>1585</v>
      </c>
    </row>
    <row customHeight="1" ht="11.25">
      <c r="A35" s="373" t="s">
        <v>14</v>
      </c>
      <c r="B35" s="0" t="s">
        <v>4353</v>
      </c>
      <c r="C35" s="0" t="s">
        <v>4354</v>
      </c>
      <c r="D35" s="0" t="s">
        <v>4353</v>
      </c>
      <c r="E35" s="0" t="s">
        <v>4354</v>
      </c>
      <c r="F35" s="0" t="s">
        <v>4285</v>
      </c>
      <c r="G35" s="0" t="s">
        <v>1590</v>
      </c>
    </row>
    <row customHeight="1" ht="11.25">
      <c r="A36" s="373" t="s">
        <v>14</v>
      </c>
      <c r="B36" s="0" t="s">
        <v>4353</v>
      </c>
      <c r="C36" s="0" t="s">
        <v>4354</v>
      </c>
      <c r="D36" s="0" t="s">
        <v>4355</v>
      </c>
      <c r="E36" s="0" t="s">
        <v>4356</v>
      </c>
      <c r="F36" s="0" t="s">
        <v>4288</v>
      </c>
      <c r="G36" s="0" t="s">
        <v>1595</v>
      </c>
    </row>
    <row customHeight="1" ht="11.25">
      <c r="A37" s="373" t="s">
        <v>14</v>
      </c>
      <c r="B37" s="0" t="s">
        <v>4353</v>
      </c>
      <c r="C37" s="0" t="s">
        <v>4354</v>
      </c>
      <c r="D37" s="0" t="s">
        <v>4357</v>
      </c>
      <c r="E37" s="0" t="s">
        <v>4358</v>
      </c>
      <c r="F37" s="0" t="s">
        <v>4288</v>
      </c>
      <c r="G37" s="0" t="s">
        <v>1599</v>
      </c>
    </row>
    <row customHeight="1" ht="11.25">
      <c r="A38" s="373" t="s">
        <v>14</v>
      </c>
      <c r="B38" s="0" t="s">
        <v>4353</v>
      </c>
      <c r="C38" s="0" t="s">
        <v>4354</v>
      </c>
      <c r="D38" s="0" t="s">
        <v>4359</v>
      </c>
      <c r="E38" s="0" t="s">
        <v>4360</v>
      </c>
      <c r="F38" s="0" t="s">
        <v>4288</v>
      </c>
      <c r="G38" s="0" t="s">
        <v>1607</v>
      </c>
    </row>
    <row customHeight="1" ht="11.25">
      <c r="A39" s="373" t="s">
        <v>14</v>
      </c>
      <c r="B39" s="0" t="s">
        <v>4353</v>
      </c>
      <c r="C39" s="0" t="s">
        <v>4354</v>
      </c>
      <c r="D39" s="0" t="s">
        <v>4361</v>
      </c>
      <c r="E39" s="0" t="s">
        <v>4362</v>
      </c>
      <c r="F39" s="0" t="s">
        <v>4288</v>
      </c>
      <c r="G39" s="0" t="s">
        <v>1613</v>
      </c>
    </row>
    <row customHeight="1" ht="11.25">
      <c r="A40" s="373" t="s">
        <v>14</v>
      </c>
      <c r="B40" s="0" t="s">
        <v>4353</v>
      </c>
      <c r="C40" s="0" t="s">
        <v>4354</v>
      </c>
      <c r="D40" s="0" t="s">
        <v>4363</v>
      </c>
      <c r="E40" s="0" t="s">
        <v>4364</v>
      </c>
      <c r="F40" s="0" t="s">
        <v>4288</v>
      </c>
      <c r="G40" s="0" t="s">
        <v>1618</v>
      </c>
    </row>
    <row customHeight="1" ht="11.25">
      <c r="A41" s="373" t="s">
        <v>14</v>
      </c>
      <c r="B41" s="0" t="s">
        <v>4353</v>
      </c>
      <c r="C41" s="0" t="s">
        <v>4354</v>
      </c>
      <c r="D41" s="0" t="s">
        <v>4365</v>
      </c>
      <c r="E41" s="0" t="s">
        <v>4366</v>
      </c>
      <c r="F41" s="0" t="s">
        <v>4288</v>
      </c>
      <c r="G41" s="0" t="s">
        <v>1622</v>
      </c>
    </row>
    <row customHeight="1" ht="11.25">
      <c r="A42" s="373" t="s">
        <v>14</v>
      </c>
      <c r="B42" s="0" t="s">
        <v>4353</v>
      </c>
      <c r="C42" s="0" t="s">
        <v>4354</v>
      </c>
      <c r="D42" s="0" t="s">
        <v>4367</v>
      </c>
      <c r="E42" s="0" t="s">
        <v>4368</v>
      </c>
      <c r="F42" s="0" t="s">
        <v>4288</v>
      </c>
      <c r="G42" s="0" t="s">
        <v>1625</v>
      </c>
    </row>
    <row customHeight="1" ht="11.25">
      <c r="A43" s="373" t="s">
        <v>14</v>
      </c>
      <c r="B43" s="0" t="s">
        <v>4353</v>
      </c>
      <c r="C43" s="0" t="s">
        <v>4354</v>
      </c>
      <c r="D43" s="0" t="s">
        <v>4369</v>
      </c>
      <c r="E43" s="0" t="s">
        <v>4370</v>
      </c>
      <c r="F43" s="0" t="s">
        <v>4288</v>
      </c>
      <c r="G43" s="0" t="s">
        <v>1632</v>
      </c>
    </row>
    <row customHeight="1" ht="11.25">
      <c r="A44" s="373" t="s">
        <v>14</v>
      </c>
      <c r="B44" s="0" t="s">
        <v>4353</v>
      </c>
      <c r="C44" s="0" t="s">
        <v>4354</v>
      </c>
      <c r="D44" s="0" t="s">
        <v>4371</v>
      </c>
      <c r="E44" s="0" t="s">
        <v>4372</v>
      </c>
      <c r="F44" s="0" t="s">
        <v>4288</v>
      </c>
      <c r="G44" s="0" t="s">
        <v>1641</v>
      </c>
    </row>
    <row customHeight="1" ht="11.25">
      <c r="A45" s="373" t="s">
        <v>14</v>
      </c>
      <c r="B45" s="0" t="s">
        <v>4353</v>
      </c>
      <c r="C45" s="0" t="s">
        <v>4354</v>
      </c>
      <c r="D45" s="0" t="s">
        <v>4373</v>
      </c>
      <c r="E45" s="0" t="s">
        <v>4374</v>
      </c>
      <c r="F45" s="0" t="s">
        <v>4288</v>
      </c>
      <c r="G45" s="0" t="s">
        <v>1646</v>
      </c>
    </row>
    <row customHeight="1" ht="11.25">
      <c r="A46" s="373" t="s">
        <v>14</v>
      </c>
      <c r="B46" s="0" t="s">
        <v>4353</v>
      </c>
      <c r="C46" s="0" t="s">
        <v>4354</v>
      </c>
      <c r="D46" s="0" t="s">
        <v>4375</v>
      </c>
      <c r="E46" s="0" t="s">
        <v>4376</v>
      </c>
      <c r="F46" s="0" t="s">
        <v>4288</v>
      </c>
      <c r="G46" s="0" t="s">
        <v>1650</v>
      </c>
    </row>
    <row customHeight="1" ht="11.25">
      <c r="A47" s="373" t="s">
        <v>14</v>
      </c>
      <c r="B47" s="0" t="s">
        <v>4353</v>
      </c>
      <c r="C47" s="0" t="s">
        <v>4354</v>
      </c>
      <c r="D47" s="0" t="s">
        <v>4377</v>
      </c>
      <c r="E47" s="0" t="s">
        <v>4378</v>
      </c>
      <c r="F47" s="0" t="s">
        <v>4288</v>
      </c>
      <c r="G47" s="0" t="s">
        <v>1656</v>
      </c>
    </row>
    <row customHeight="1" ht="11.25">
      <c r="A48" s="373" t="s">
        <v>14</v>
      </c>
      <c r="B48" s="0" t="s">
        <v>4379</v>
      </c>
      <c r="C48" s="0" t="s">
        <v>4380</v>
      </c>
      <c r="D48" s="0" t="s">
        <v>4381</v>
      </c>
      <c r="E48" s="0" t="s">
        <v>4382</v>
      </c>
      <c r="F48" s="0" t="s">
        <v>4330</v>
      </c>
      <c r="G48" s="0" t="s">
        <v>1661</v>
      </c>
    </row>
    <row customHeight="1" ht="11.25">
      <c r="A49" s="373" t="s">
        <v>14</v>
      </c>
      <c r="B49" s="0" t="s">
        <v>4379</v>
      </c>
      <c r="C49" s="0" t="s">
        <v>4380</v>
      </c>
      <c r="D49" s="0" t="s">
        <v>4383</v>
      </c>
      <c r="E49" s="0" t="s">
        <v>4384</v>
      </c>
      <c r="F49" s="0" t="s">
        <v>4330</v>
      </c>
      <c r="G49" s="0" t="s">
        <v>1664</v>
      </c>
    </row>
    <row customHeight="1" ht="11.25">
      <c r="A50" s="373" t="s">
        <v>14</v>
      </c>
      <c r="B50" s="0" t="s">
        <v>4379</v>
      </c>
      <c r="C50" s="0" t="s">
        <v>4380</v>
      </c>
      <c r="D50" s="0" t="s">
        <v>4379</v>
      </c>
      <c r="E50" s="0" t="s">
        <v>4380</v>
      </c>
      <c r="F50" s="0" t="s">
        <v>4285</v>
      </c>
      <c r="G50" s="0" t="s">
        <v>1668</v>
      </c>
    </row>
    <row customHeight="1" ht="11.25">
      <c r="A51" s="373" t="s">
        <v>14</v>
      </c>
      <c r="B51" s="0" t="s">
        <v>4379</v>
      </c>
      <c r="C51" s="0" t="s">
        <v>4380</v>
      </c>
      <c r="D51" s="0" t="s">
        <v>4385</v>
      </c>
      <c r="E51" s="0" t="s">
        <v>4386</v>
      </c>
      <c r="F51" s="0" t="s">
        <v>4327</v>
      </c>
      <c r="G51" s="0" t="s">
        <v>1672</v>
      </c>
    </row>
    <row customHeight="1" ht="11.25">
      <c r="A52" s="373" t="s">
        <v>14</v>
      </c>
      <c r="B52" s="0" t="s">
        <v>4379</v>
      </c>
      <c r="C52" s="0" t="s">
        <v>4380</v>
      </c>
      <c r="D52" s="0" t="s">
        <v>4387</v>
      </c>
      <c r="E52" s="0" t="s">
        <v>4388</v>
      </c>
      <c r="F52" s="0" t="s">
        <v>4288</v>
      </c>
      <c r="G52" s="0" t="s">
        <v>1676</v>
      </c>
    </row>
    <row customHeight="1" ht="11.25">
      <c r="A53" s="373" t="s">
        <v>14</v>
      </c>
      <c r="B53" s="0" t="s">
        <v>4379</v>
      </c>
      <c r="C53" s="0" t="s">
        <v>4380</v>
      </c>
      <c r="D53" s="0" t="s">
        <v>4389</v>
      </c>
      <c r="E53" s="0" t="s">
        <v>4390</v>
      </c>
      <c r="F53" s="0" t="s">
        <v>4330</v>
      </c>
      <c r="G53" s="0" t="s">
        <v>1678</v>
      </c>
    </row>
    <row customHeight="1" ht="11.25">
      <c r="A54" s="373" t="s">
        <v>14</v>
      </c>
      <c r="B54" s="0" t="s">
        <v>4379</v>
      </c>
      <c r="C54" s="0" t="s">
        <v>4380</v>
      </c>
      <c r="D54" s="0" t="s">
        <v>4391</v>
      </c>
      <c r="E54" s="0" t="s">
        <v>4392</v>
      </c>
      <c r="F54" s="0" t="s">
        <v>4330</v>
      </c>
      <c r="G54" s="0" t="s">
        <v>1681</v>
      </c>
    </row>
    <row customHeight="1" ht="11.25">
      <c r="A55" s="373" t="s">
        <v>14</v>
      </c>
      <c r="B55" s="0" t="s">
        <v>4393</v>
      </c>
      <c r="C55" s="0" t="s">
        <v>4394</v>
      </c>
      <c r="D55" s="0" t="s">
        <v>4395</v>
      </c>
      <c r="E55" s="0" t="s">
        <v>4396</v>
      </c>
      <c r="F55" s="0" t="s">
        <v>4288</v>
      </c>
      <c r="G55" s="0" t="s">
        <v>1685</v>
      </c>
    </row>
    <row customHeight="1" ht="11.25">
      <c r="A56" s="373" t="s">
        <v>14</v>
      </c>
      <c r="B56" s="0" t="s">
        <v>4393</v>
      </c>
      <c r="C56" s="0" t="s">
        <v>4394</v>
      </c>
      <c r="D56" s="0" t="s">
        <v>4397</v>
      </c>
      <c r="E56" s="0" t="s">
        <v>4398</v>
      </c>
      <c r="F56" s="0" t="s">
        <v>4288</v>
      </c>
      <c r="G56" s="0" t="s">
        <v>1688</v>
      </c>
    </row>
    <row customHeight="1" ht="11.25">
      <c r="A57" s="373" t="s">
        <v>14</v>
      </c>
      <c r="B57" s="0" t="s">
        <v>4393</v>
      </c>
      <c r="C57" s="0" t="s">
        <v>4394</v>
      </c>
      <c r="D57" s="0" t="s">
        <v>4393</v>
      </c>
      <c r="E57" s="0" t="s">
        <v>4394</v>
      </c>
      <c r="F57" s="0" t="s">
        <v>4285</v>
      </c>
      <c r="G57" s="0" t="s">
        <v>1691</v>
      </c>
    </row>
    <row customHeight="1" ht="11.25">
      <c r="A58" s="373" t="s">
        <v>14</v>
      </c>
      <c r="B58" s="0" t="s">
        <v>4393</v>
      </c>
      <c r="C58" s="0" t="s">
        <v>4394</v>
      </c>
      <c r="D58" s="0" t="s">
        <v>4399</v>
      </c>
      <c r="E58" s="0" t="s">
        <v>4400</v>
      </c>
      <c r="F58" s="0" t="s">
        <v>4288</v>
      </c>
      <c r="G58" s="0" t="s">
        <v>1694</v>
      </c>
    </row>
    <row customHeight="1" ht="11.25">
      <c r="A59" s="373" t="s">
        <v>14</v>
      </c>
      <c r="B59" s="0" t="s">
        <v>4393</v>
      </c>
      <c r="C59" s="0" t="s">
        <v>4394</v>
      </c>
      <c r="D59" s="0" t="s">
        <v>4401</v>
      </c>
      <c r="E59" s="0" t="s">
        <v>4402</v>
      </c>
      <c r="F59" s="0" t="s">
        <v>4288</v>
      </c>
      <c r="G59" s="0" t="s">
        <v>1698</v>
      </c>
    </row>
    <row customHeight="1" ht="11.25">
      <c r="A60" s="373" t="s">
        <v>14</v>
      </c>
      <c r="B60" s="0" t="s">
        <v>4393</v>
      </c>
      <c r="C60" s="0" t="s">
        <v>4394</v>
      </c>
      <c r="D60" s="0" t="s">
        <v>4403</v>
      </c>
      <c r="E60" s="0" t="s">
        <v>4404</v>
      </c>
      <c r="F60" s="0" t="s">
        <v>4288</v>
      </c>
      <c r="G60" s="0" t="s">
        <v>1701</v>
      </c>
    </row>
    <row customHeight="1" ht="11.25">
      <c r="A61" s="373" t="s">
        <v>14</v>
      </c>
      <c r="B61" s="0" t="s">
        <v>4393</v>
      </c>
      <c r="C61" s="0" t="s">
        <v>4394</v>
      </c>
      <c r="D61" s="0" t="s">
        <v>4405</v>
      </c>
      <c r="E61" s="0" t="s">
        <v>4406</v>
      </c>
      <c r="F61" s="0" t="s">
        <v>4288</v>
      </c>
      <c r="G61" s="0" t="s">
        <v>4407</v>
      </c>
    </row>
    <row customHeight="1" ht="11.25">
      <c r="A62" s="373" t="s">
        <v>14</v>
      </c>
      <c r="B62" s="0" t="s">
        <v>4393</v>
      </c>
      <c r="C62" s="0" t="s">
        <v>4394</v>
      </c>
      <c r="D62" s="0" t="s">
        <v>4408</v>
      </c>
      <c r="E62" s="0" t="s">
        <v>4409</v>
      </c>
      <c r="F62" s="0" t="s">
        <v>4288</v>
      </c>
      <c r="G62" s="0" t="s">
        <v>4410</v>
      </c>
    </row>
    <row customHeight="1" ht="11.25">
      <c r="A63" s="373" t="s">
        <v>14</v>
      </c>
      <c r="B63" s="0" t="s">
        <v>4393</v>
      </c>
      <c r="C63" s="0" t="s">
        <v>4394</v>
      </c>
      <c r="D63" s="0" t="s">
        <v>4411</v>
      </c>
      <c r="E63" s="0" t="s">
        <v>4412</v>
      </c>
      <c r="F63" s="0" t="s">
        <v>4288</v>
      </c>
      <c r="G63" s="0" t="s">
        <v>4413</v>
      </c>
    </row>
    <row customHeight="1" ht="11.25">
      <c r="A64" s="373" t="s">
        <v>14</v>
      </c>
      <c r="B64" s="0" t="s">
        <v>4393</v>
      </c>
      <c r="C64" s="0" t="s">
        <v>4394</v>
      </c>
      <c r="D64" s="0" t="s">
        <v>4414</v>
      </c>
      <c r="E64" s="0" t="s">
        <v>4415</v>
      </c>
      <c r="F64" s="0" t="s">
        <v>4288</v>
      </c>
      <c r="G64" s="0" t="s">
        <v>4416</v>
      </c>
    </row>
    <row customHeight="1" ht="11.25">
      <c r="A65" s="373" t="s">
        <v>14</v>
      </c>
      <c r="B65" s="0" t="s">
        <v>4393</v>
      </c>
      <c r="C65" s="0" t="s">
        <v>4394</v>
      </c>
      <c r="D65" s="0" t="s">
        <v>4417</v>
      </c>
      <c r="E65" s="0" t="s">
        <v>4418</v>
      </c>
      <c r="F65" s="0" t="s">
        <v>4288</v>
      </c>
      <c r="G65" s="0" t="s">
        <v>4419</v>
      </c>
    </row>
    <row customHeight="1" ht="11.25">
      <c r="A66" s="373" t="s">
        <v>14</v>
      </c>
      <c r="B66" s="0" t="s">
        <v>4393</v>
      </c>
      <c r="C66" s="0" t="s">
        <v>4394</v>
      </c>
      <c r="D66" s="0" t="s">
        <v>4420</v>
      </c>
      <c r="E66" s="0" t="s">
        <v>4421</v>
      </c>
      <c r="F66" s="0" t="s">
        <v>4288</v>
      </c>
      <c r="G66" s="0" t="s">
        <v>4422</v>
      </c>
    </row>
    <row customHeight="1" ht="11.25">
      <c r="A67" s="373" t="s">
        <v>14</v>
      </c>
      <c r="B67" s="0" t="s">
        <v>4393</v>
      </c>
      <c r="C67" s="0" t="s">
        <v>4394</v>
      </c>
      <c r="D67" s="0" t="s">
        <v>4423</v>
      </c>
      <c r="E67" s="0" t="s">
        <v>4424</v>
      </c>
      <c r="F67" s="0" t="s">
        <v>4288</v>
      </c>
      <c r="G67" s="0" t="s">
        <v>1923</v>
      </c>
    </row>
    <row customHeight="1" ht="11.25">
      <c r="A68" s="373" t="s">
        <v>14</v>
      </c>
      <c r="B68" s="0" t="s">
        <v>4393</v>
      </c>
      <c r="C68" s="0" t="s">
        <v>4394</v>
      </c>
      <c r="D68" s="0" t="s">
        <v>4425</v>
      </c>
      <c r="E68" s="0" t="s">
        <v>4426</v>
      </c>
      <c r="F68" s="0" t="s">
        <v>4288</v>
      </c>
      <c r="G68" s="0" t="s">
        <v>4427</v>
      </c>
    </row>
    <row customHeight="1" ht="11.25">
      <c r="A69" s="373" t="s">
        <v>14</v>
      </c>
      <c r="B69" s="0" t="s">
        <v>4428</v>
      </c>
      <c r="C69" s="0" t="s">
        <v>4429</v>
      </c>
      <c r="D69" s="0" t="s">
        <v>4430</v>
      </c>
      <c r="E69" s="0" t="s">
        <v>4431</v>
      </c>
      <c r="F69" s="0" t="s">
        <v>4288</v>
      </c>
      <c r="G69" s="0" t="s">
        <v>2134</v>
      </c>
    </row>
    <row customHeight="1" ht="11.25">
      <c r="A70" s="373" t="s">
        <v>14</v>
      </c>
      <c r="B70" s="0" t="s">
        <v>4428</v>
      </c>
      <c r="C70" s="0" t="s">
        <v>4429</v>
      </c>
      <c r="D70" s="0" t="s">
        <v>4428</v>
      </c>
      <c r="E70" s="0" t="s">
        <v>4429</v>
      </c>
      <c r="F70" s="0" t="s">
        <v>4285</v>
      </c>
      <c r="G70" s="0" t="s">
        <v>4432</v>
      </c>
    </row>
    <row customHeight="1" ht="11.25">
      <c r="A71" s="373" t="s">
        <v>14</v>
      </c>
      <c r="B71" s="0" t="s">
        <v>4428</v>
      </c>
      <c r="C71" s="0" t="s">
        <v>4429</v>
      </c>
      <c r="D71" s="0" t="s">
        <v>4433</v>
      </c>
      <c r="E71" s="0" t="s">
        <v>4434</v>
      </c>
      <c r="F71" s="0" t="s">
        <v>4327</v>
      </c>
      <c r="G71" s="0" t="s">
        <v>4435</v>
      </c>
    </row>
    <row customHeight="1" ht="11.25">
      <c r="A72" s="373" t="s">
        <v>14</v>
      </c>
      <c r="B72" s="0" t="s">
        <v>4428</v>
      </c>
      <c r="C72" s="0" t="s">
        <v>4429</v>
      </c>
      <c r="D72" s="0" t="s">
        <v>4436</v>
      </c>
      <c r="E72" s="0" t="s">
        <v>4437</v>
      </c>
      <c r="F72" s="0" t="s">
        <v>4288</v>
      </c>
      <c r="G72" s="0" t="s">
        <v>4438</v>
      </c>
    </row>
    <row customHeight="1" ht="11.25">
      <c r="A73" s="373" t="s">
        <v>14</v>
      </c>
      <c r="B73" s="0" t="s">
        <v>4428</v>
      </c>
      <c r="C73" s="0" t="s">
        <v>4429</v>
      </c>
      <c r="D73" s="0" t="s">
        <v>4439</v>
      </c>
      <c r="E73" s="0" t="s">
        <v>4440</v>
      </c>
      <c r="F73" s="0" t="s">
        <v>4288</v>
      </c>
      <c r="G73" s="0" t="s">
        <v>4441</v>
      </c>
    </row>
    <row customHeight="1" ht="11.25">
      <c r="A74" s="373" t="s">
        <v>14</v>
      </c>
      <c r="B74" s="0" t="s">
        <v>4428</v>
      </c>
      <c r="C74" s="0" t="s">
        <v>4429</v>
      </c>
      <c r="D74" s="0" t="s">
        <v>4442</v>
      </c>
      <c r="E74" s="0" t="s">
        <v>4443</v>
      </c>
      <c r="F74" s="0" t="s">
        <v>4288</v>
      </c>
      <c r="G74" s="0" t="s">
        <v>4444</v>
      </c>
    </row>
    <row customHeight="1" ht="11.25">
      <c r="A75" s="373" t="s">
        <v>14</v>
      </c>
      <c r="B75" s="0" t="s">
        <v>4428</v>
      </c>
      <c r="C75" s="0" t="s">
        <v>4429</v>
      </c>
      <c r="D75" s="0" t="s">
        <v>4445</v>
      </c>
      <c r="E75" s="0" t="s">
        <v>4446</v>
      </c>
      <c r="F75" s="0" t="s">
        <v>4288</v>
      </c>
      <c r="G75" s="0" t="s">
        <v>4447</v>
      </c>
    </row>
    <row customHeight="1" ht="11.25">
      <c r="A76" s="373" t="s">
        <v>14</v>
      </c>
      <c r="B76" s="0" t="s">
        <v>4428</v>
      </c>
      <c r="C76" s="0" t="s">
        <v>4429</v>
      </c>
      <c r="D76" s="0" t="s">
        <v>4448</v>
      </c>
      <c r="E76" s="0" t="s">
        <v>4449</v>
      </c>
      <c r="F76" s="0" t="s">
        <v>4288</v>
      </c>
      <c r="G76" s="0" t="s">
        <v>4450</v>
      </c>
    </row>
    <row customHeight="1" ht="11.25">
      <c r="A77" s="373" t="s">
        <v>14</v>
      </c>
      <c r="B77" s="0" t="s">
        <v>4428</v>
      </c>
      <c r="C77" s="0" t="s">
        <v>4429</v>
      </c>
      <c r="D77" s="0" t="s">
        <v>4451</v>
      </c>
      <c r="E77" s="0" t="s">
        <v>4452</v>
      </c>
      <c r="F77" s="0" t="s">
        <v>4288</v>
      </c>
      <c r="G77" s="0" t="s">
        <v>4453</v>
      </c>
    </row>
    <row customHeight="1" ht="11.25">
      <c r="A78" s="373" t="s">
        <v>14</v>
      </c>
      <c r="B78" s="0" t="s">
        <v>4428</v>
      </c>
      <c r="C78" s="0" t="s">
        <v>4429</v>
      </c>
      <c r="D78" s="0" t="s">
        <v>4454</v>
      </c>
      <c r="E78" s="0" t="s">
        <v>4455</v>
      </c>
      <c r="F78" s="0" t="s">
        <v>4288</v>
      </c>
      <c r="G78" s="0" t="s">
        <v>4456</v>
      </c>
    </row>
    <row customHeight="1" ht="11.25">
      <c r="A79" s="373" t="s">
        <v>14</v>
      </c>
      <c r="B79" s="0" t="s">
        <v>4428</v>
      </c>
      <c r="C79" s="0" t="s">
        <v>4429</v>
      </c>
      <c r="D79" s="0" t="s">
        <v>4457</v>
      </c>
      <c r="E79" s="0" t="s">
        <v>4458</v>
      </c>
      <c r="F79" s="0" t="s">
        <v>4288</v>
      </c>
      <c r="G79" s="0" t="s">
        <v>4459</v>
      </c>
    </row>
    <row customHeight="1" ht="11.25">
      <c r="A80" s="373" t="s">
        <v>14</v>
      </c>
      <c r="B80" s="0" t="s">
        <v>4428</v>
      </c>
      <c r="C80" s="0" t="s">
        <v>4429</v>
      </c>
      <c r="D80" s="0" t="s">
        <v>4460</v>
      </c>
      <c r="E80" s="0" t="s">
        <v>4461</v>
      </c>
      <c r="F80" s="0" t="s">
        <v>4288</v>
      </c>
      <c r="G80" s="0" t="s">
        <v>4462</v>
      </c>
    </row>
    <row customHeight="1" ht="11.25">
      <c r="A81" s="373" t="s">
        <v>14</v>
      </c>
      <c r="B81" s="0" t="s">
        <v>4428</v>
      </c>
      <c r="C81" s="0" t="s">
        <v>4429</v>
      </c>
      <c r="D81" s="0" t="s">
        <v>4463</v>
      </c>
      <c r="E81" s="0" t="s">
        <v>4464</v>
      </c>
      <c r="F81" s="0" t="s">
        <v>4288</v>
      </c>
      <c r="G81" s="0" t="s">
        <v>4465</v>
      </c>
    </row>
    <row customHeight="1" ht="11.25">
      <c r="A82" s="373" t="s">
        <v>14</v>
      </c>
      <c r="B82" s="0" t="s">
        <v>4428</v>
      </c>
      <c r="C82" s="0" t="s">
        <v>4429</v>
      </c>
      <c r="D82" s="0" t="s">
        <v>4466</v>
      </c>
      <c r="E82" s="0" t="s">
        <v>4467</v>
      </c>
      <c r="F82" s="0" t="s">
        <v>4288</v>
      </c>
      <c r="G82" s="0" t="s">
        <v>4468</v>
      </c>
    </row>
    <row customHeight="1" ht="11.25">
      <c r="A83" s="373" t="s">
        <v>14</v>
      </c>
      <c r="B83" s="0" t="s">
        <v>4428</v>
      </c>
      <c r="C83" s="0" t="s">
        <v>4429</v>
      </c>
      <c r="D83" s="0" t="s">
        <v>4469</v>
      </c>
      <c r="E83" s="0" t="s">
        <v>4470</v>
      </c>
      <c r="F83" s="0" t="s">
        <v>4471</v>
      </c>
      <c r="G83" s="0" t="s">
        <v>4472</v>
      </c>
    </row>
    <row customHeight="1" ht="11.25">
      <c r="A84" s="373" t="s">
        <v>14</v>
      </c>
      <c r="B84" s="0" t="s">
        <v>4428</v>
      </c>
      <c r="C84" s="0" t="s">
        <v>4429</v>
      </c>
      <c r="D84" s="0" t="s">
        <v>4473</v>
      </c>
      <c r="E84" s="0" t="s">
        <v>4474</v>
      </c>
      <c r="F84" s="0" t="s">
        <v>4288</v>
      </c>
      <c r="G84" s="0" t="s">
        <v>4475</v>
      </c>
    </row>
    <row customHeight="1" ht="11.25">
      <c r="A85" s="373" t="s">
        <v>14</v>
      </c>
      <c r="B85" s="0" t="s">
        <v>4428</v>
      </c>
      <c r="C85" s="0" t="s">
        <v>4429</v>
      </c>
      <c r="D85" s="0" t="s">
        <v>4476</v>
      </c>
      <c r="E85" s="0" t="s">
        <v>4477</v>
      </c>
      <c r="F85" s="0" t="s">
        <v>4288</v>
      </c>
      <c r="G85" s="0" t="s">
        <v>4478</v>
      </c>
    </row>
    <row customHeight="1" ht="11.25">
      <c r="A86" s="373" t="s">
        <v>14</v>
      </c>
      <c r="B86" s="0" t="s">
        <v>4428</v>
      </c>
      <c r="C86" s="0" t="s">
        <v>4429</v>
      </c>
      <c r="D86" s="0" t="s">
        <v>4479</v>
      </c>
      <c r="E86" s="0" t="s">
        <v>4480</v>
      </c>
      <c r="F86" s="0" t="s">
        <v>4288</v>
      </c>
      <c r="G86" s="0" t="s">
        <v>4481</v>
      </c>
    </row>
    <row customHeight="1" ht="11.25">
      <c r="A87" s="373" t="s">
        <v>14</v>
      </c>
      <c r="B87" s="0" t="s">
        <v>4428</v>
      </c>
      <c r="C87" s="0" t="s">
        <v>4429</v>
      </c>
      <c r="D87" s="0" t="s">
        <v>4482</v>
      </c>
      <c r="E87" s="0" t="s">
        <v>4483</v>
      </c>
      <c r="F87" s="0" t="s">
        <v>4288</v>
      </c>
      <c r="G87" s="0" t="s">
        <v>4484</v>
      </c>
    </row>
    <row customHeight="1" ht="11.25">
      <c r="A88" s="373" t="s">
        <v>14</v>
      </c>
      <c r="B88" s="0" t="s">
        <v>4428</v>
      </c>
      <c r="C88" s="0" t="s">
        <v>4429</v>
      </c>
      <c r="D88" s="0" t="s">
        <v>4485</v>
      </c>
      <c r="E88" s="0" t="s">
        <v>4486</v>
      </c>
      <c r="F88" s="0" t="s">
        <v>4288</v>
      </c>
      <c r="G88" s="0" t="s">
        <v>4487</v>
      </c>
    </row>
    <row customHeight="1" ht="11.25">
      <c r="A89" s="373" t="s">
        <v>14</v>
      </c>
      <c r="B89" s="0" t="s">
        <v>4428</v>
      </c>
      <c r="C89" s="0" t="s">
        <v>4429</v>
      </c>
      <c r="D89" s="0" t="s">
        <v>4488</v>
      </c>
      <c r="E89" s="0" t="s">
        <v>4489</v>
      </c>
      <c r="F89" s="0" t="s">
        <v>4288</v>
      </c>
      <c r="G89" s="0" t="s">
        <v>4490</v>
      </c>
    </row>
    <row customHeight="1" ht="11.25">
      <c r="A90" s="373" t="s">
        <v>14</v>
      </c>
      <c r="B90" s="0" t="s">
        <v>4428</v>
      </c>
      <c r="C90" s="0" t="s">
        <v>4429</v>
      </c>
      <c r="D90" s="0" t="s">
        <v>4491</v>
      </c>
      <c r="E90" s="0" t="s">
        <v>4492</v>
      </c>
      <c r="F90" s="0" t="s">
        <v>4288</v>
      </c>
      <c r="G90" s="0" t="s">
        <v>4493</v>
      </c>
    </row>
    <row customHeight="1" ht="11.25">
      <c r="A91" s="373" t="s">
        <v>14</v>
      </c>
      <c r="B91" s="0" t="s">
        <v>4428</v>
      </c>
      <c r="C91" s="0" t="s">
        <v>4429</v>
      </c>
      <c r="D91" s="0" t="s">
        <v>4494</v>
      </c>
      <c r="E91" s="0" t="s">
        <v>4495</v>
      </c>
      <c r="F91" s="0" t="s">
        <v>4288</v>
      </c>
      <c r="G91" s="0" t="s">
        <v>4496</v>
      </c>
    </row>
    <row customHeight="1" ht="11.25">
      <c r="A92" s="373" t="s">
        <v>14</v>
      </c>
      <c r="B92" s="0" t="s">
        <v>4428</v>
      </c>
      <c r="C92" s="0" t="s">
        <v>4429</v>
      </c>
      <c r="D92" s="0" t="s">
        <v>4497</v>
      </c>
      <c r="E92" s="0" t="s">
        <v>4498</v>
      </c>
      <c r="F92" s="0" t="s">
        <v>4288</v>
      </c>
      <c r="G92" s="0" t="s">
        <v>4499</v>
      </c>
    </row>
    <row customHeight="1" ht="11.25">
      <c r="A93" s="373" t="s">
        <v>14</v>
      </c>
      <c r="B93" s="0" t="s">
        <v>4428</v>
      </c>
      <c r="C93" s="0" t="s">
        <v>4429</v>
      </c>
      <c r="D93" s="0" t="s">
        <v>4500</v>
      </c>
      <c r="E93" s="0" t="s">
        <v>4501</v>
      </c>
      <c r="F93" s="0" t="s">
        <v>4288</v>
      </c>
      <c r="G93" s="0" t="s">
        <v>4502</v>
      </c>
    </row>
    <row customHeight="1" ht="11.25">
      <c r="A94" s="373" t="s">
        <v>14</v>
      </c>
      <c r="B94" s="0" t="s">
        <v>4428</v>
      </c>
      <c r="C94" s="0" t="s">
        <v>4429</v>
      </c>
      <c r="D94" s="0" t="s">
        <v>4503</v>
      </c>
      <c r="E94" s="0" t="s">
        <v>4504</v>
      </c>
      <c r="F94" s="0" t="s">
        <v>4288</v>
      </c>
      <c r="G94" s="0" t="s">
        <v>4505</v>
      </c>
    </row>
    <row customHeight="1" ht="11.25">
      <c r="A95" s="373" t="s">
        <v>14</v>
      </c>
      <c r="B95" s="0" t="s">
        <v>4428</v>
      </c>
      <c r="C95" s="0" t="s">
        <v>4429</v>
      </c>
      <c r="D95" s="0" t="s">
        <v>4506</v>
      </c>
      <c r="E95" s="0" t="s">
        <v>4507</v>
      </c>
      <c r="F95" s="0" t="s">
        <v>4288</v>
      </c>
      <c r="G95" s="0" t="s">
        <v>4508</v>
      </c>
    </row>
    <row customHeight="1" ht="11.25">
      <c r="A96" s="373" t="s">
        <v>14</v>
      </c>
      <c r="B96" s="0" t="s">
        <v>4509</v>
      </c>
      <c r="C96" s="0" t="s">
        <v>4510</v>
      </c>
      <c r="D96" s="0" t="s">
        <v>4511</v>
      </c>
      <c r="E96" s="0" t="s">
        <v>4512</v>
      </c>
      <c r="F96" s="0" t="s">
        <v>4288</v>
      </c>
      <c r="G96" s="0" t="s">
        <v>4513</v>
      </c>
    </row>
    <row customHeight="1" ht="11.25">
      <c r="A97" s="373" t="s">
        <v>14</v>
      </c>
      <c r="B97" s="0" t="s">
        <v>4509</v>
      </c>
      <c r="C97" s="0" t="s">
        <v>4510</v>
      </c>
      <c r="D97" s="0" t="s">
        <v>4509</v>
      </c>
      <c r="E97" s="0" t="s">
        <v>4510</v>
      </c>
      <c r="F97" s="0" t="s">
        <v>4285</v>
      </c>
      <c r="G97" s="0" t="s">
        <v>4514</v>
      </c>
    </row>
    <row customHeight="1" ht="11.25">
      <c r="A98" s="373" t="s">
        <v>14</v>
      </c>
      <c r="B98" s="0" t="s">
        <v>4509</v>
      </c>
      <c r="C98" s="0" t="s">
        <v>4510</v>
      </c>
      <c r="D98" s="0" t="s">
        <v>4515</v>
      </c>
      <c r="E98" s="0" t="s">
        <v>4516</v>
      </c>
      <c r="F98" s="0" t="s">
        <v>4330</v>
      </c>
      <c r="G98" s="0" t="s">
        <v>4517</v>
      </c>
    </row>
    <row customHeight="1" ht="11.25">
      <c r="A99" s="373" t="s">
        <v>14</v>
      </c>
      <c r="B99" s="0" t="s">
        <v>4509</v>
      </c>
      <c r="C99" s="0" t="s">
        <v>4510</v>
      </c>
      <c r="D99" s="0" t="s">
        <v>4518</v>
      </c>
      <c r="E99" s="0" t="s">
        <v>4519</v>
      </c>
      <c r="F99" s="0" t="s">
        <v>4288</v>
      </c>
      <c r="G99" s="0" t="s">
        <v>4520</v>
      </c>
    </row>
    <row customHeight="1" ht="11.25">
      <c r="A100" s="373" t="s">
        <v>14</v>
      </c>
      <c r="B100" s="0" t="s">
        <v>4509</v>
      </c>
      <c r="C100" s="0" t="s">
        <v>4510</v>
      </c>
      <c r="D100" s="0" t="s">
        <v>4521</v>
      </c>
      <c r="E100" s="0" t="s">
        <v>4522</v>
      </c>
      <c r="F100" s="0" t="s">
        <v>4288</v>
      </c>
      <c r="G100" s="0" t="s">
        <v>4523</v>
      </c>
    </row>
    <row customHeight="1" ht="11.25">
      <c r="A101" s="373" t="s">
        <v>14</v>
      </c>
      <c r="B101" s="0" t="s">
        <v>4509</v>
      </c>
      <c r="C101" s="0" t="s">
        <v>4510</v>
      </c>
      <c r="D101" s="0" t="s">
        <v>4524</v>
      </c>
      <c r="E101" s="0" t="s">
        <v>4525</v>
      </c>
      <c r="F101" s="0" t="s">
        <v>4471</v>
      </c>
      <c r="G101" s="0" t="s">
        <v>4526</v>
      </c>
    </row>
    <row customHeight="1" ht="11.25">
      <c r="A102" s="373" t="s">
        <v>14</v>
      </c>
      <c r="B102" s="0" t="s">
        <v>4509</v>
      </c>
      <c r="C102" s="0" t="s">
        <v>4510</v>
      </c>
      <c r="D102" s="0" t="s">
        <v>4527</v>
      </c>
      <c r="E102" s="0" t="s">
        <v>4528</v>
      </c>
      <c r="F102" s="0" t="s">
        <v>4288</v>
      </c>
      <c r="G102" s="0" t="s">
        <v>4529</v>
      </c>
    </row>
    <row customHeight="1" ht="11.25">
      <c r="A103" s="373" t="s">
        <v>14</v>
      </c>
      <c r="B103" s="0" t="s">
        <v>4509</v>
      </c>
      <c r="C103" s="0" t="s">
        <v>4510</v>
      </c>
      <c r="D103" s="0" t="s">
        <v>4530</v>
      </c>
      <c r="E103" s="0" t="s">
        <v>4531</v>
      </c>
      <c r="F103" s="0" t="s">
        <v>4288</v>
      </c>
      <c r="G103" s="0" t="s">
        <v>4532</v>
      </c>
    </row>
    <row customHeight="1" ht="11.25">
      <c r="A104" s="373" t="s">
        <v>14</v>
      </c>
      <c r="B104" s="0" t="s">
        <v>4509</v>
      </c>
      <c r="C104" s="0" t="s">
        <v>4510</v>
      </c>
      <c r="D104" s="0" t="s">
        <v>4533</v>
      </c>
      <c r="E104" s="0" t="s">
        <v>4534</v>
      </c>
      <c r="F104" s="0" t="s">
        <v>4288</v>
      </c>
      <c r="G104" s="0" t="s">
        <v>4535</v>
      </c>
    </row>
    <row customHeight="1" ht="11.25">
      <c r="A105" s="373" t="s">
        <v>14</v>
      </c>
      <c r="B105" s="0" t="s">
        <v>4509</v>
      </c>
      <c r="C105" s="0" t="s">
        <v>4510</v>
      </c>
      <c r="D105" s="0" t="s">
        <v>4536</v>
      </c>
      <c r="E105" s="0" t="s">
        <v>4537</v>
      </c>
      <c r="F105" s="0" t="s">
        <v>4288</v>
      </c>
      <c r="G105" s="0" t="s">
        <v>4538</v>
      </c>
    </row>
    <row customHeight="1" ht="11.25">
      <c r="A106" s="373" t="s">
        <v>14</v>
      </c>
      <c r="B106" s="0" t="s">
        <v>4509</v>
      </c>
      <c r="C106" s="0" t="s">
        <v>4510</v>
      </c>
      <c r="D106" s="0" t="s">
        <v>4539</v>
      </c>
      <c r="E106" s="0" t="s">
        <v>4540</v>
      </c>
      <c r="F106" s="0" t="s">
        <v>4288</v>
      </c>
      <c r="G106" s="0" t="s">
        <v>4541</v>
      </c>
    </row>
    <row customHeight="1" ht="11.25">
      <c r="A107" s="373" t="s">
        <v>14</v>
      </c>
      <c r="B107" s="0" t="s">
        <v>4509</v>
      </c>
      <c r="C107" s="0" t="s">
        <v>4510</v>
      </c>
      <c r="D107" s="0" t="s">
        <v>4542</v>
      </c>
      <c r="E107" s="0" t="s">
        <v>4543</v>
      </c>
      <c r="F107" s="0" t="s">
        <v>4288</v>
      </c>
      <c r="G107" s="0" t="s">
        <v>4544</v>
      </c>
    </row>
    <row customHeight="1" ht="11.25">
      <c r="A108" s="373" t="s">
        <v>14</v>
      </c>
      <c r="B108" s="0" t="s">
        <v>4545</v>
      </c>
      <c r="C108" s="0" t="s">
        <v>4546</v>
      </c>
      <c r="D108" s="0" t="s">
        <v>4547</v>
      </c>
      <c r="E108" s="0" t="s">
        <v>4548</v>
      </c>
      <c r="F108" s="0" t="s">
        <v>4288</v>
      </c>
      <c r="G108" s="0" t="s">
        <v>4549</v>
      </c>
    </row>
    <row customHeight="1" ht="11.25">
      <c r="A109" s="373" t="s">
        <v>14</v>
      </c>
      <c r="B109" s="0" t="s">
        <v>4545</v>
      </c>
      <c r="C109" s="0" t="s">
        <v>4546</v>
      </c>
      <c r="D109" s="0" t="s">
        <v>4550</v>
      </c>
      <c r="E109" s="0" t="s">
        <v>4551</v>
      </c>
      <c r="F109" s="0" t="s">
        <v>4288</v>
      </c>
      <c r="G109" s="0" t="s">
        <v>4552</v>
      </c>
    </row>
    <row customHeight="1" ht="11.25">
      <c r="A110" s="373" t="s">
        <v>14</v>
      </c>
      <c r="B110" s="0" t="s">
        <v>4545</v>
      </c>
      <c r="C110" s="0" t="s">
        <v>4546</v>
      </c>
      <c r="D110" s="0" t="s">
        <v>4553</v>
      </c>
      <c r="E110" s="0" t="s">
        <v>4554</v>
      </c>
      <c r="F110" s="0" t="s">
        <v>4288</v>
      </c>
      <c r="G110" s="0" t="s">
        <v>4555</v>
      </c>
    </row>
    <row customHeight="1" ht="11.25">
      <c r="A111" s="373" t="s">
        <v>14</v>
      </c>
      <c r="B111" s="0" t="s">
        <v>4545</v>
      </c>
      <c r="C111" s="0" t="s">
        <v>4546</v>
      </c>
      <c r="D111" s="0" t="s">
        <v>4556</v>
      </c>
      <c r="E111" s="0" t="s">
        <v>4557</v>
      </c>
      <c r="F111" s="0" t="s">
        <v>4288</v>
      </c>
      <c r="G111" s="0" t="s">
        <v>4558</v>
      </c>
    </row>
    <row customHeight="1" ht="11.25">
      <c r="A112" s="373" t="s">
        <v>14</v>
      </c>
      <c r="B112" s="0" t="s">
        <v>4545</v>
      </c>
      <c r="C112" s="0" t="s">
        <v>4546</v>
      </c>
      <c r="D112" s="0" t="s">
        <v>4545</v>
      </c>
      <c r="E112" s="0" t="s">
        <v>4546</v>
      </c>
      <c r="F112" s="0" t="s">
        <v>4285</v>
      </c>
      <c r="G112" s="0" t="s">
        <v>4559</v>
      </c>
    </row>
    <row customHeight="1" ht="11.25">
      <c r="A113" s="373" t="s">
        <v>14</v>
      </c>
      <c r="B113" s="0" t="s">
        <v>4545</v>
      </c>
      <c r="C113" s="0" t="s">
        <v>4546</v>
      </c>
      <c r="D113" s="0" t="s">
        <v>4560</v>
      </c>
      <c r="E113" s="0" t="s">
        <v>4561</v>
      </c>
      <c r="F113" s="0" t="s">
        <v>4330</v>
      </c>
      <c r="G113" s="0" t="s">
        <v>4562</v>
      </c>
    </row>
    <row customHeight="1" ht="11.25">
      <c r="A114" s="373" t="s">
        <v>14</v>
      </c>
      <c r="B114" s="0" t="s">
        <v>4545</v>
      </c>
      <c r="C114" s="0" t="s">
        <v>4546</v>
      </c>
      <c r="D114" s="0" t="s">
        <v>4563</v>
      </c>
      <c r="E114" s="0" t="s">
        <v>4564</v>
      </c>
      <c r="F114" s="0" t="s">
        <v>4288</v>
      </c>
      <c r="G114" s="0" t="s">
        <v>4565</v>
      </c>
    </row>
    <row customHeight="1" ht="11.25">
      <c r="A115" s="373" t="s">
        <v>14</v>
      </c>
      <c r="B115" s="0" t="s">
        <v>4545</v>
      </c>
      <c r="C115" s="0" t="s">
        <v>4546</v>
      </c>
      <c r="D115" s="0" t="s">
        <v>4566</v>
      </c>
      <c r="E115" s="0" t="s">
        <v>4567</v>
      </c>
      <c r="F115" s="0" t="s">
        <v>4288</v>
      </c>
      <c r="G115" s="0" t="s">
        <v>4568</v>
      </c>
    </row>
    <row customHeight="1" ht="11.25">
      <c r="A116" s="373" t="s">
        <v>14</v>
      </c>
      <c r="B116" s="0" t="s">
        <v>4545</v>
      </c>
      <c r="C116" s="0" t="s">
        <v>4546</v>
      </c>
      <c r="D116" s="0" t="s">
        <v>4569</v>
      </c>
      <c r="E116" s="0" t="s">
        <v>4570</v>
      </c>
      <c r="F116" s="0" t="s">
        <v>4288</v>
      </c>
      <c r="G116" s="0" t="s">
        <v>4571</v>
      </c>
    </row>
    <row customHeight="1" ht="11.25">
      <c r="A117" s="373" t="s">
        <v>14</v>
      </c>
      <c r="B117" s="0" t="s">
        <v>4545</v>
      </c>
      <c r="C117" s="0" t="s">
        <v>4546</v>
      </c>
      <c r="D117" s="0" t="s">
        <v>4572</v>
      </c>
      <c r="E117" s="0" t="s">
        <v>4573</v>
      </c>
      <c r="F117" s="0" t="s">
        <v>4288</v>
      </c>
      <c r="G117" s="0" t="s">
        <v>4574</v>
      </c>
    </row>
    <row customHeight="1" ht="11.25">
      <c r="A118" s="373" t="s">
        <v>14</v>
      </c>
      <c r="B118" s="0" t="s">
        <v>4545</v>
      </c>
      <c r="C118" s="0" t="s">
        <v>4546</v>
      </c>
      <c r="D118" s="0" t="s">
        <v>4575</v>
      </c>
      <c r="E118" s="0" t="s">
        <v>4576</v>
      </c>
      <c r="F118" s="0" t="s">
        <v>4288</v>
      </c>
      <c r="G118" s="0" t="s">
        <v>4577</v>
      </c>
    </row>
    <row customHeight="1" ht="11.25">
      <c r="A119" s="373" t="s">
        <v>14</v>
      </c>
      <c r="B119" s="0" t="s">
        <v>4545</v>
      </c>
      <c r="C119" s="0" t="s">
        <v>4546</v>
      </c>
      <c r="D119" s="0" t="s">
        <v>4578</v>
      </c>
      <c r="E119" s="0" t="s">
        <v>4579</v>
      </c>
      <c r="F119" s="0" t="s">
        <v>4330</v>
      </c>
      <c r="G119" s="0" t="s">
        <v>4580</v>
      </c>
    </row>
    <row customHeight="1" ht="11.25">
      <c r="A120" s="373" t="s">
        <v>14</v>
      </c>
      <c r="B120" s="0" t="s">
        <v>4545</v>
      </c>
      <c r="C120" s="0" t="s">
        <v>4546</v>
      </c>
      <c r="D120" s="0" t="s">
        <v>4581</v>
      </c>
      <c r="E120" s="0" t="s">
        <v>4582</v>
      </c>
      <c r="F120" s="0" t="s">
        <v>4288</v>
      </c>
      <c r="G120" s="0" t="s">
        <v>4583</v>
      </c>
    </row>
    <row customHeight="1" ht="11.25">
      <c r="A121" s="373" t="s">
        <v>14</v>
      </c>
      <c r="B121" s="0" t="s">
        <v>4545</v>
      </c>
      <c r="C121" s="0" t="s">
        <v>4546</v>
      </c>
      <c r="D121" s="0" t="s">
        <v>4584</v>
      </c>
      <c r="E121" s="0" t="s">
        <v>4585</v>
      </c>
      <c r="F121" s="0" t="s">
        <v>4288</v>
      </c>
      <c r="G121" s="0" t="s">
        <v>4586</v>
      </c>
    </row>
    <row customHeight="1" ht="11.25">
      <c r="A122" s="373" t="s">
        <v>14</v>
      </c>
      <c r="B122" s="0" t="s">
        <v>4545</v>
      </c>
      <c r="C122" s="0" t="s">
        <v>4546</v>
      </c>
      <c r="D122" s="0" t="s">
        <v>4587</v>
      </c>
      <c r="E122" s="0" t="s">
        <v>4588</v>
      </c>
      <c r="F122" s="0" t="s">
        <v>4288</v>
      </c>
      <c r="G122" s="0" t="s">
        <v>4589</v>
      </c>
    </row>
    <row customHeight="1" ht="11.25">
      <c r="A123" s="373" t="s">
        <v>14</v>
      </c>
      <c r="B123" s="0" t="s">
        <v>4545</v>
      </c>
      <c r="C123" s="0" t="s">
        <v>4546</v>
      </c>
      <c r="D123" s="0" t="s">
        <v>4590</v>
      </c>
      <c r="E123" s="0" t="s">
        <v>4591</v>
      </c>
      <c r="F123" s="0" t="s">
        <v>4288</v>
      </c>
      <c r="G123" s="0" t="s">
        <v>4592</v>
      </c>
    </row>
    <row customHeight="1" ht="11.25">
      <c r="A124" s="373" t="s">
        <v>14</v>
      </c>
      <c r="B124" s="0" t="s">
        <v>4593</v>
      </c>
      <c r="C124" s="0" t="s">
        <v>4594</v>
      </c>
      <c r="D124" s="0" t="s">
        <v>4595</v>
      </c>
      <c r="E124" s="0" t="s">
        <v>4596</v>
      </c>
      <c r="F124" s="0" t="s">
        <v>4288</v>
      </c>
      <c r="G124" s="0" t="s">
        <v>4597</v>
      </c>
    </row>
    <row customHeight="1" ht="11.25">
      <c r="A125" s="373" t="s">
        <v>14</v>
      </c>
      <c r="B125" s="0" t="s">
        <v>4593</v>
      </c>
      <c r="C125" s="0" t="s">
        <v>4594</v>
      </c>
      <c r="D125" s="0" t="s">
        <v>4598</v>
      </c>
      <c r="E125" s="0" t="s">
        <v>4599</v>
      </c>
      <c r="F125" s="0" t="s">
        <v>4288</v>
      </c>
      <c r="G125" s="0" t="s">
        <v>4600</v>
      </c>
    </row>
    <row customHeight="1" ht="11.25">
      <c r="A126" s="373" t="s">
        <v>14</v>
      </c>
      <c r="B126" s="0" t="s">
        <v>4593</v>
      </c>
      <c r="C126" s="0" t="s">
        <v>4594</v>
      </c>
      <c r="D126" s="0" t="s">
        <v>4593</v>
      </c>
      <c r="E126" s="0" t="s">
        <v>4594</v>
      </c>
      <c r="F126" s="0" t="s">
        <v>4285</v>
      </c>
      <c r="G126" s="0" t="s">
        <v>4601</v>
      </c>
    </row>
    <row customHeight="1" ht="11.25">
      <c r="A127" s="373" t="s">
        <v>14</v>
      </c>
      <c r="B127" s="0" t="s">
        <v>4593</v>
      </c>
      <c r="C127" s="0" t="s">
        <v>4594</v>
      </c>
      <c r="D127" s="0" t="s">
        <v>4602</v>
      </c>
      <c r="E127" s="0" t="s">
        <v>4603</v>
      </c>
      <c r="F127" s="0" t="s">
        <v>4288</v>
      </c>
      <c r="G127" s="0" t="s">
        <v>4604</v>
      </c>
    </row>
    <row customHeight="1" ht="11.25">
      <c r="A128" s="373" t="s">
        <v>14</v>
      </c>
      <c r="B128" s="0" t="s">
        <v>4593</v>
      </c>
      <c r="C128" s="0" t="s">
        <v>4594</v>
      </c>
      <c r="D128" s="0" t="s">
        <v>4605</v>
      </c>
      <c r="E128" s="0" t="s">
        <v>4606</v>
      </c>
      <c r="F128" s="0" t="s">
        <v>4288</v>
      </c>
      <c r="G128" s="0" t="s">
        <v>4607</v>
      </c>
    </row>
    <row customHeight="1" ht="11.25">
      <c r="A129" s="373" t="s">
        <v>14</v>
      </c>
      <c r="B129" s="0" t="s">
        <v>4593</v>
      </c>
      <c r="C129" s="0" t="s">
        <v>4594</v>
      </c>
      <c r="D129" s="0" t="s">
        <v>4608</v>
      </c>
      <c r="E129" s="0" t="s">
        <v>4609</v>
      </c>
      <c r="F129" s="0" t="s">
        <v>4288</v>
      </c>
      <c r="G129" s="0" t="s">
        <v>4610</v>
      </c>
    </row>
    <row customHeight="1" ht="11.25">
      <c r="A130" s="373" t="s">
        <v>14</v>
      </c>
      <c r="B130" s="0" t="s">
        <v>4593</v>
      </c>
      <c r="C130" s="0" t="s">
        <v>4594</v>
      </c>
      <c r="D130" s="0" t="s">
        <v>4611</v>
      </c>
      <c r="E130" s="0" t="s">
        <v>4612</v>
      </c>
      <c r="F130" s="0" t="s">
        <v>4288</v>
      </c>
      <c r="G130" s="0" t="s">
        <v>4613</v>
      </c>
    </row>
    <row customHeight="1" ht="11.25">
      <c r="A131" s="373" t="s">
        <v>14</v>
      </c>
      <c r="B131" s="0" t="s">
        <v>4593</v>
      </c>
      <c r="C131" s="0" t="s">
        <v>4594</v>
      </c>
      <c r="D131" s="0" t="s">
        <v>4614</v>
      </c>
      <c r="E131" s="0" t="s">
        <v>4615</v>
      </c>
      <c r="F131" s="0" t="s">
        <v>4288</v>
      </c>
      <c r="G131" s="0" t="s">
        <v>4616</v>
      </c>
    </row>
    <row customHeight="1" ht="11.25">
      <c r="A132" s="373" t="s">
        <v>14</v>
      </c>
      <c r="B132" s="0" t="s">
        <v>4593</v>
      </c>
      <c r="C132" s="0" t="s">
        <v>4594</v>
      </c>
      <c r="D132" s="0" t="s">
        <v>4617</v>
      </c>
      <c r="E132" s="0" t="s">
        <v>4618</v>
      </c>
      <c r="F132" s="0" t="s">
        <v>4288</v>
      </c>
      <c r="G132" s="0" t="s">
        <v>4619</v>
      </c>
    </row>
    <row customHeight="1" ht="11.25">
      <c r="A133" s="373" t="s">
        <v>14</v>
      </c>
      <c r="B133" s="0" t="s">
        <v>4593</v>
      </c>
      <c r="C133" s="0" t="s">
        <v>4594</v>
      </c>
      <c r="D133" s="0" t="s">
        <v>4620</v>
      </c>
      <c r="E133" s="0" t="s">
        <v>4621</v>
      </c>
      <c r="F133" s="0" t="s">
        <v>4288</v>
      </c>
      <c r="G133" s="0" t="s">
        <v>4622</v>
      </c>
    </row>
    <row customHeight="1" ht="11.25">
      <c r="A134" s="373" t="s">
        <v>14</v>
      </c>
      <c r="B134" s="0" t="s">
        <v>4593</v>
      </c>
      <c r="C134" s="0" t="s">
        <v>4594</v>
      </c>
      <c r="D134" s="0" t="s">
        <v>4623</v>
      </c>
      <c r="E134" s="0" t="s">
        <v>4624</v>
      </c>
      <c r="F134" s="0" t="s">
        <v>4288</v>
      </c>
      <c r="G134" s="0" t="s">
        <v>4625</v>
      </c>
    </row>
    <row customHeight="1" ht="11.25">
      <c r="A135" s="373" t="s">
        <v>14</v>
      </c>
      <c r="B135" s="0" t="s">
        <v>4593</v>
      </c>
      <c r="C135" s="0" t="s">
        <v>4594</v>
      </c>
      <c r="D135" s="0" t="s">
        <v>4626</v>
      </c>
      <c r="E135" s="0" t="s">
        <v>4627</v>
      </c>
      <c r="F135" s="0" t="s">
        <v>4288</v>
      </c>
      <c r="G135" s="0" t="s">
        <v>4628</v>
      </c>
    </row>
    <row customHeight="1" ht="11.25">
      <c r="A136" s="373" t="s">
        <v>14</v>
      </c>
      <c r="B136" s="0" t="s">
        <v>4593</v>
      </c>
      <c r="C136" s="0" t="s">
        <v>4594</v>
      </c>
      <c r="D136" s="0" t="s">
        <v>4629</v>
      </c>
      <c r="E136" s="0" t="s">
        <v>4630</v>
      </c>
      <c r="F136" s="0" t="s">
        <v>4288</v>
      </c>
      <c r="G136" s="0" t="s">
        <v>4631</v>
      </c>
    </row>
    <row customHeight="1" ht="11.25">
      <c r="A137" s="373" t="s">
        <v>14</v>
      </c>
      <c r="B137" s="0" t="s">
        <v>4632</v>
      </c>
      <c r="C137" s="0" t="s">
        <v>4633</v>
      </c>
      <c r="D137" s="0" t="s">
        <v>4632</v>
      </c>
      <c r="E137" s="0" t="s">
        <v>4633</v>
      </c>
      <c r="F137" s="0" t="s">
        <v>4322</v>
      </c>
      <c r="G137" s="0" t="s">
        <v>4634</v>
      </c>
    </row>
    <row customHeight="1" ht="11.25">
      <c r="A138" s="373" t="s">
        <v>14</v>
      </c>
      <c r="B138" s="0" t="s">
        <v>4635</v>
      </c>
      <c r="C138" s="0" t="s">
        <v>4636</v>
      </c>
      <c r="D138" s="0" t="s">
        <v>4637</v>
      </c>
      <c r="E138" s="0" t="s">
        <v>4638</v>
      </c>
      <c r="F138" s="0" t="s">
        <v>4330</v>
      </c>
      <c r="G138" s="0" t="s">
        <v>4639</v>
      </c>
    </row>
    <row customHeight="1" ht="11.25">
      <c r="A139" s="373" t="s">
        <v>14</v>
      </c>
      <c r="B139" s="0" t="s">
        <v>4635</v>
      </c>
      <c r="C139" s="0" t="s">
        <v>4636</v>
      </c>
      <c r="D139" s="0" t="s">
        <v>4640</v>
      </c>
      <c r="E139" s="0" t="s">
        <v>4641</v>
      </c>
      <c r="F139" s="0" t="s">
        <v>4288</v>
      </c>
      <c r="G139" s="0" t="s">
        <v>4642</v>
      </c>
    </row>
    <row customHeight="1" ht="11.25">
      <c r="A140" s="373" t="s">
        <v>14</v>
      </c>
      <c r="B140" s="0" t="s">
        <v>4635</v>
      </c>
      <c r="C140" s="0" t="s">
        <v>4636</v>
      </c>
      <c r="D140" s="0" t="s">
        <v>4643</v>
      </c>
      <c r="E140" s="0" t="s">
        <v>4644</v>
      </c>
      <c r="F140" s="0" t="s">
        <v>4288</v>
      </c>
      <c r="G140" s="0" t="s">
        <v>4645</v>
      </c>
    </row>
    <row customHeight="1" ht="11.25">
      <c r="A141" s="373" t="s">
        <v>14</v>
      </c>
      <c r="B141" s="0" t="s">
        <v>4635</v>
      </c>
      <c r="C141" s="0" t="s">
        <v>4636</v>
      </c>
      <c r="D141" s="0" t="s">
        <v>4646</v>
      </c>
      <c r="E141" s="0" t="s">
        <v>4647</v>
      </c>
      <c r="F141" s="0" t="s">
        <v>4288</v>
      </c>
      <c r="G141" s="0" t="s">
        <v>4648</v>
      </c>
    </row>
    <row customHeight="1" ht="11.25">
      <c r="A142" s="373" t="s">
        <v>14</v>
      </c>
      <c r="B142" s="0" t="s">
        <v>4635</v>
      </c>
      <c r="C142" s="0" t="s">
        <v>4636</v>
      </c>
      <c r="D142" s="0" t="s">
        <v>4635</v>
      </c>
      <c r="E142" s="0" t="s">
        <v>4636</v>
      </c>
      <c r="F142" s="0" t="s">
        <v>4285</v>
      </c>
      <c r="G142" s="0" t="s">
        <v>4649</v>
      </c>
    </row>
    <row customHeight="1" ht="11.25">
      <c r="A143" s="373" t="s">
        <v>14</v>
      </c>
      <c r="B143" s="0" t="s">
        <v>4635</v>
      </c>
      <c r="C143" s="0" t="s">
        <v>4636</v>
      </c>
      <c r="D143" s="0" t="s">
        <v>4650</v>
      </c>
      <c r="E143" s="0" t="s">
        <v>4651</v>
      </c>
      <c r="F143" s="0" t="s">
        <v>4288</v>
      </c>
      <c r="G143" s="0" t="s">
        <v>4652</v>
      </c>
    </row>
    <row customHeight="1" ht="11.25">
      <c r="A144" s="373" t="s">
        <v>14</v>
      </c>
      <c r="B144" s="0" t="s">
        <v>4635</v>
      </c>
      <c r="C144" s="0" t="s">
        <v>4636</v>
      </c>
      <c r="D144" s="0" t="s">
        <v>4653</v>
      </c>
      <c r="E144" s="0" t="s">
        <v>4654</v>
      </c>
      <c r="F144" s="0" t="s">
        <v>4330</v>
      </c>
      <c r="G144" s="0" t="s">
        <v>4655</v>
      </c>
    </row>
    <row customHeight="1" ht="11.25">
      <c r="A145" s="373" t="s">
        <v>14</v>
      </c>
      <c r="B145" s="0" t="s">
        <v>4635</v>
      </c>
      <c r="C145" s="0" t="s">
        <v>4636</v>
      </c>
      <c r="D145" s="0" t="s">
        <v>4656</v>
      </c>
      <c r="E145" s="0" t="s">
        <v>4657</v>
      </c>
      <c r="F145" s="0" t="s">
        <v>4288</v>
      </c>
      <c r="G145" s="0" t="s">
        <v>4658</v>
      </c>
    </row>
    <row customHeight="1" ht="11.25">
      <c r="A146" s="373" t="s">
        <v>14</v>
      </c>
      <c r="B146" s="0" t="s">
        <v>4635</v>
      </c>
      <c r="C146" s="0" t="s">
        <v>4636</v>
      </c>
      <c r="D146" s="0" t="s">
        <v>4659</v>
      </c>
      <c r="E146" s="0" t="s">
        <v>4660</v>
      </c>
      <c r="F146" s="0" t="s">
        <v>4288</v>
      </c>
      <c r="G146" s="0" t="s">
        <v>4661</v>
      </c>
    </row>
    <row customHeight="1" ht="11.25">
      <c r="A147" s="373" t="s">
        <v>14</v>
      </c>
      <c r="B147" s="0" t="s">
        <v>4635</v>
      </c>
      <c r="C147" s="0" t="s">
        <v>4636</v>
      </c>
      <c r="D147" s="0" t="s">
        <v>4662</v>
      </c>
      <c r="E147" s="0" t="s">
        <v>4663</v>
      </c>
      <c r="F147" s="0" t="s">
        <v>4330</v>
      </c>
      <c r="G147" s="0" t="s">
        <v>4664</v>
      </c>
    </row>
    <row customHeight="1" ht="11.25">
      <c r="A148" s="373" t="s">
        <v>14</v>
      </c>
      <c r="B148" s="0" t="s">
        <v>4635</v>
      </c>
      <c r="C148" s="0" t="s">
        <v>4636</v>
      </c>
      <c r="D148" s="0" t="s">
        <v>4665</v>
      </c>
      <c r="E148" s="0" t="s">
        <v>4666</v>
      </c>
      <c r="F148" s="0" t="s">
        <v>4288</v>
      </c>
      <c r="G148" s="0" t="s">
        <v>4667</v>
      </c>
    </row>
    <row customHeight="1" ht="11.25">
      <c r="A149" s="373" t="s">
        <v>14</v>
      </c>
      <c r="B149" s="0" t="s">
        <v>4635</v>
      </c>
      <c r="C149" s="0" t="s">
        <v>4636</v>
      </c>
      <c r="D149" s="0" t="s">
        <v>4668</v>
      </c>
      <c r="E149" s="0" t="s">
        <v>4669</v>
      </c>
      <c r="F149" s="0" t="s">
        <v>4288</v>
      </c>
      <c r="G149" s="0" t="s">
        <v>4670</v>
      </c>
    </row>
    <row customHeight="1" ht="11.25">
      <c r="A150" s="373" t="s">
        <v>14</v>
      </c>
      <c r="B150" s="0" t="s">
        <v>4635</v>
      </c>
      <c r="C150" s="0" t="s">
        <v>4636</v>
      </c>
      <c r="D150" s="0" t="s">
        <v>4671</v>
      </c>
      <c r="E150" s="0" t="s">
        <v>4672</v>
      </c>
      <c r="F150" s="0" t="s">
        <v>4288</v>
      </c>
      <c r="G150" s="0" t="s">
        <v>4673</v>
      </c>
    </row>
    <row customHeight="1" ht="11.25">
      <c r="A151" s="373" t="s">
        <v>14</v>
      </c>
      <c r="B151" s="0" t="s">
        <v>4635</v>
      </c>
      <c r="C151" s="0" t="s">
        <v>4636</v>
      </c>
      <c r="D151" s="0" t="s">
        <v>4674</v>
      </c>
      <c r="E151" s="0" t="s">
        <v>4675</v>
      </c>
      <c r="F151" s="0" t="s">
        <v>4288</v>
      </c>
      <c r="G151" s="0" t="s">
        <v>4676</v>
      </c>
    </row>
    <row customHeight="1" ht="11.25">
      <c r="A152" s="373" t="s">
        <v>14</v>
      </c>
      <c r="B152" s="0" t="s">
        <v>4635</v>
      </c>
      <c r="C152" s="0" t="s">
        <v>4636</v>
      </c>
      <c r="D152" s="0" t="s">
        <v>4677</v>
      </c>
      <c r="E152" s="0" t="s">
        <v>4678</v>
      </c>
      <c r="F152" s="0" t="s">
        <v>4288</v>
      </c>
      <c r="G152" s="0" t="s">
        <v>4679</v>
      </c>
    </row>
    <row customHeight="1" ht="11.25">
      <c r="A153" s="373" t="s">
        <v>14</v>
      </c>
      <c r="B153" s="0" t="s">
        <v>4635</v>
      </c>
      <c r="C153" s="0" t="s">
        <v>4636</v>
      </c>
      <c r="D153" s="0" t="s">
        <v>4680</v>
      </c>
      <c r="E153" s="0" t="s">
        <v>4681</v>
      </c>
      <c r="F153" s="0" t="s">
        <v>4288</v>
      </c>
      <c r="G153" s="0" t="s">
        <v>4682</v>
      </c>
    </row>
    <row customHeight="1" ht="11.25">
      <c r="A154" s="373" t="s">
        <v>14</v>
      </c>
      <c r="B154" s="0" t="s">
        <v>4635</v>
      </c>
      <c r="C154" s="0" t="s">
        <v>4636</v>
      </c>
      <c r="D154" s="0" t="s">
        <v>4683</v>
      </c>
      <c r="E154" s="0" t="s">
        <v>4684</v>
      </c>
      <c r="F154" s="0" t="s">
        <v>4288</v>
      </c>
      <c r="G154" s="0" t="s">
        <v>4685</v>
      </c>
    </row>
    <row customHeight="1" ht="11.25">
      <c r="A155" s="373" t="s">
        <v>14</v>
      </c>
      <c r="B155" s="0" t="s">
        <v>4635</v>
      </c>
      <c r="C155" s="0" t="s">
        <v>4636</v>
      </c>
      <c r="D155" s="0" t="s">
        <v>4686</v>
      </c>
      <c r="E155" s="0" t="s">
        <v>4687</v>
      </c>
      <c r="F155" s="0" t="s">
        <v>4288</v>
      </c>
      <c r="G155" s="0" t="s">
        <v>4688</v>
      </c>
    </row>
    <row customHeight="1" ht="11.25">
      <c r="A156" s="373" t="s">
        <v>14</v>
      </c>
      <c r="B156" s="0" t="s">
        <v>4635</v>
      </c>
      <c r="C156" s="0" t="s">
        <v>4636</v>
      </c>
      <c r="D156" s="0" t="s">
        <v>4689</v>
      </c>
      <c r="E156" s="0" t="s">
        <v>4690</v>
      </c>
      <c r="F156" s="0" t="s">
        <v>4288</v>
      </c>
      <c r="G156" s="0" t="s">
        <v>4691</v>
      </c>
    </row>
    <row customHeight="1" ht="11.25">
      <c r="A157" s="373" t="s">
        <v>14</v>
      </c>
      <c r="B157" s="0" t="s">
        <v>4635</v>
      </c>
      <c r="C157" s="0" t="s">
        <v>4636</v>
      </c>
      <c r="D157" s="0" t="s">
        <v>4692</v>
      </c>
      <c r="E157" s="0" t="s">
        <v>4693</v>
      </c>
      <c r="F157" s="0" t="s">
        <v>4288</v>
      </c>
      <c r="G157" s="0" t="s">
        <v>4694</v>
      </c>
    </row>
    <row customHeight="1" ht="11.25">
      <c r="A158" s="373" t="s">
        <v>14</v>
      </c>
      <c r="B158" s="0" t="s">
        <v>4635</v>
      </c>
      <c r="C158" s="0" t="s">
        <v>4636</v>
      </c>
      <c r="D158" s="0" t="s">
        <v>4695</v>
      </c>
      <c r="E158" s="0" t="s">
        <v>4696</v>
      </c>
      <c r="F158" s="0" t="s">
        <v>4288</v>
      </c>
      <c r="G158" s="0" t="s">
        <v>4697</v>
      </c>
    </row>
    <row customHeight="1" ht="11.25">
      <c r="A159" s="373" t="s">
        <v>14</v>
      </c>
      <c r="B159" s="0" t="s">
        <v>4635</v>
      </c>
      <c r="C159" s="0" t="s">
        <v>4636</v>
      </c>
      <c r="D159" s="0" t="s">
        <v>4698</v>
      </c>
      <c r="E159" s="0" t="s">
        <v>4699</v>
      </c>
      <c r="F159" s="0" t="s">
        <v>4288</v>
      </c>
      <c r="G159" s="0" t="s">
        <v>4700</v>
      </c>
    </row>
    <row customHeight="1" ht="11.25">
      <c r="A160" s="373" t="s">
        <v>14</v>
      </c>
      <c r="B160" s="0" t="s">
        <v>4701</v>
      </c>
      <c r="C160" s="0" t="s">
        <v>4702</v>
      </c>
      <c r="D160" s="0" t="s">
        <v>4701</v>
      </c>
      <c r="E160" s="0" t="s">
        <v>4702</v>
      </c>
      <c r="F160" s="0" t="s">
        <v>4285</v>
      </c>
      <c r="G160" s="0" t="s">
        <v>4703</v>
      </c>
    </row>
    <row customHeight="1" ht="11.25">
      <c r="A161" s="373" t="s">
        <v>14</v>
      </c>
      <c r="B161" s="0" t="s">
        <v>4701</v>
      </c>
      <c r="C161" s="0" t="s">
        <v>4702</v>
      </c>
      <c r="D161" s="0" t="s">
        <v>4704</v>
      </c>
      <c r="E161" s="0" t="s">
        <v>4705</v>
      </c>
      <c r="F161" s="0" t="s">
        <v>4288</v>
      </c>
      <c r="G161" s="0" t="s">
        <v>4706</v>
      </c>
    </row>
    <row customHeight="1" ht="11.25">
      <c r="A162" s="373" t="s">
        <v>14</v>
      </c>
      <c r="B162" s="0" t="s">
        <v>4701</v>
      </c>
      <c r="C162" s="0" t="s">
        <v>4702</v>
      </c>
      <c r="D162" s="0" t="s">
        <v>4707</v>
      </c>
      <c r="E162" s="0" t="s">
        <v>4708</v>
      </c>
      <c r="F162" s="0" t="s">
        <v>4288</v>
      </c>
      <c r="G162" s="0" t="s">
        <v>4709</v>
      </c>
    </row>
    <row customHeight="1" ht="11.25">
      <c r="A163" s="373" t="s">
        <v>14</v>
      </c>
      <c r="B163" s="0" t="s">
        <v>4701</v>
      </c>
      <c r="C163" s="0" t="s">
        <v>4702</v>
      </c>
      <c r="D163" s="0" t="s">
        <v>4710</v>
      </c>
      <c r="E163" s="0" t="s">
        <v>4711</v>
      </c>
      <c r="F163" s="0" t="s">
        <v>4288</v>
      </c>
      <c r="G163" s="0" t="s">
        <v>4712</v>
      </c>
    </row>
    <row customHeight="1" ht="11.25">
      <c r="A164" s="373" t="s">
        <v>14</v>
      </c>
      <c r="B164" s="0" t="s">
        <v>4701</v>
      </c>
      <c r="C164" s="0" t="s">
        <v>4702</v>
      </c>
      <c r="D164" s="0" t="s">
        <v>4713</v>
      </c>
      <c r="E164" s="0" t="s">
        <v>4714</v>
      </c>
      <c r="F164" s="0" t="s">
        <v>4288</v>
      </c>
      <c r="G164" s="0" t="s">
        <v>4715</v>
      </c>
    </row>
    <row customHeight="1" ht="11.25">
      <c r="A165" s="373" t="s">
        <v>14</v>
      </c>
      <c r="B165" s="0" t="s">
        <v>4701</v>
      </c>
      <c r="C165" s="0" t="s">
        <v>4702</v>
      </c>
      <c r="D165" s="0" t="s">
        <v>4716</v>
      </c>
      <c r="E165" s="0" t="s">
        <v>4717</v>
      </c>
      <c r="F165" s="0" t="s">
        <v>4330</v>
      </c>
      <c r="G165" s="0" t="s">
        <v>4718</v>
      </c>
    </row>
    <row customHeight="1" ht="11.25">
      <c r="A166" s="373" t="s">
        <v>14</v>
      </c>
      <c r="B166" s="0" t="s">
        <v>4701</v>
      </c>
      <c r="C166" s="0" t="s">
        <v>4702</v>
      </c>
      <c r="D166" s="0" t="s">
        <v>4719</v>
      </c>
      <c r="E166" s="0" t="s">
        <v>4720</v>
      </c>
      <c r="F166" s="0" t="s">
        <v>4288</v>
      </c>
      <c r="G166" s="0" t="s">
        <v>4721</v>
      </c>
    </row>
    <row customHeight="1" ht="11.25">
      <c r="A167" s="373" t="s">
        <v>14</v>
      </c>
      <c r="B167" s="0" t="s">
        <v>4701</v>
      </c>
      <c r="C167" s="0" t="s">
        <v>4702</v>
      </c>
      <c r="D167" s="0" t="s">
        <v>4722</v>
      </c>
      <c r="E167" s="0" t="s">
        <v>4723</v>
      </c>
      <c r="F167" s="0" t="s">
        <v>4471</v>
      </c>
      <c r="G167" s="0" t="s">
        <v>4724</v>
      </c>
    </row>
    <row customHeight="1" ht="11.25">
      <c r="A168" s="373" t="s">
        <v>14</v>
      </c>
      <c r="B168" s="0" t="s">
        <v>4701</v>
      </c>
      <c r="C168" s="0" t="s">
        <v>4702</v>
      </c>
      <c r="D168" s="0" t="s">
        <v>4725</v>
      </c>
      <c r="E168" s="0" t="s">
        <v>4726</v>
      </c>
      <c r="F168" s="0" t="s">
        <v>4288</v>
      </c>
      <c r="G168" s="0" t="s">
        <v>4727</v>
      </c>
    </row>
    <row customHeight="1" ht="11.25">
      <c r="A169" s="373" t="s">
        <v>14</v>
      </c>
      <c r="B169" s="0" t="s">
        <v>4701</v>
      </c>
      <c r="C169" s="0" t="s">
        <v>4702</v>
      </c>
      <c r="D169" s="0" t="s">
        <v>4728</v>
      </c>
      <c r="E169" s="0" t="s">
        <v>4729</v>
      </c>
      <c r="F169" s="0" t="s">
        <v>4288</v>
      </c>
      <c r="G169" s="0" t="s">
        <v>4730</v>
      </c>
    </row>
    <row customHeight="1" ht="11.25">
      <c r="A170" s="373" t="s">
        <v>14</v>
      </c>
      <c r="B170" s="0" t="s">
        <v>4701</v>
      </c>
      <c r="C170" s="0" t="s">
        <v>4702</v>
      </c>
      <c r="D170" s="0" t="s">
        <v>4731</v>
      </c>
      <c r="E170" s="0" t="s">
        <v>4732</v>
      </c>
      <c r="F170" s="0" t="s">
        <v>4288</v>
      </c>
      <c r="G170" s="0" t="s">
        <v>4733</v>
      </c>
    </row>
    <row customHeight="1" ht="11.25">
      <c r="A171" s="373" t="s">
        <v>14</v>
      </c>
      <c r="B171" s="0" t="s">
        <v>4701</v>
      </c>
      <c r="C171" s="0" t="s">
        <v>4702</v>
      </c>
      <c r="D171" s="0" t="s">
        <v>4734</v>
      </c>
      <c r="E171" s="0" t="s">
        <v>4735</v>
      </c>
      <c r="F171" s="0" t="s">
        <v>4330</v>
      </c>
      <c r="G171" s="0" t="s">
        <v>4736</v>
      </c>
    </row>
    <row customHeight="1" ht="11.25">
      <c r="A172" s="373" t="s">
        <v>14</v>
      </c>
      <c r="B172" s="0" t="s">
        <v>4701</v>
      </c>
      <c r="C172" s="0" t="s">
        <v>4702</v>
      </c>
      <c r="D172" s="0" t="s">
        <v>4737</v>
      </c>
      <c r="E172" s="0" t="s">
        <v>4738</v>
      </c>
      <c r="F172" s="0" t="s">
        <v>4330</v>
      </c>
      <c r="G172" s="0" t="s">
        <v>4739</v>
      </c>
    </row>
    <row customHeight="1" ht="11.25">
      <c r="A173" s="373" t="s">
        <v>14</v>
      </c>
      <c r="B173" s="0" t="s">
        <v>4740</v>
      </c>
      <c r="C173" s="0" t="s">
        <v>4741</v>
      </c>
      <c r="D173" s="0" t="s">
        <v>4742</v>
      </c>
      <c r="E173" s="0" t="s">
        <v>4743</v>
      </c>
      <c r="F173" s="0" t="s">
        <v>4288</v>
      </c>
      <c r="G173" s="0" t="s">
        <v>4744</v>
      </c>
    </row>
    <row customHeight="1" ht="11.25">
      <c r="A174" s="373" t="s">
        <v>14</v>
      </c>
      <c r="B174" s="0" t="s">
        <v>4740</v>
      </c>
      <c r="C174" s="0" t="s">
        <v>4741</v>
      </c>
      <c r="D174" s="0" t="s">
        <v>4740</v>
      </c>
      <c r="E174" s="0" t="s">
        <v>4741</v>
      </c>
      <c r="F174" s="0" t="s">
        <v>4285</v>
      </c>
      <c r="G174" s="0" t="s">
        <v>4745</v>
      </c>
    </row>
    <row customHeight="1" ht="11.25">
      <c r="A175" s="373" t="s">
        <v>14</v>
      </c>
      <c r="B175" s="0" t="s">
        <v>4740</v>
      </c>
      <c r="C175" s="0" t="s">
        <v>4741</v>
      </c>
      <c r="D175" s="0" t="s">
        <v>4746</v>
      </c>
      <c r="E175" s="0" t="s">
        <v>4747</v>
      </c>
      <c r="F175" s="0" t="s">
        <v>4288</v>
      </c>
      <c r="G175" s="0" t="s">
        <v>4748</v>
      </c>
    </row>
    <row customHeight="1" ht="11.25">
      <c r="A176" s="373" t="s">
        <v>14</v>
      </c>
      <c r="B176" s="0" t="s">
        <v>4740</v>
      </c>
      <c r="C176" s="0" t="s">
        <v>4741</v>
      </c>
      <c r="D176" s="0" t="s">
        <v>4749</v>
      </c>
      <c r="E176" s="0" t="s">
        <v>4750</v>
      </c>
      <c r="F176" s="0" t="s">
        <v>4288</v>
      </c>
      <c r="G176" s="0" t="s">
        <v>4751</v>
      </c>
    </row>
    <row customHeight="1" ht="11.25">
      <c r="A177" s="373" t="s">
        <v>14</v>
      </c>
      <c r="B177" s="0" t="s">
        <v>4740</v>
      </c>
      <c r="C177" s="0" t="s">
        <v>4741</v>
      </c>
      <c r="D177" s="0" t="s">
        <v>4752</v>
      </c>
      <c r="E177" s="0" t="s">
        <v>4753</v>
      </c>
      <c r="F177" s="0" t="s">
        <v>4288</v>
      </c>
      <c r="G177" s="0" t="s">
        <v>4754</v>
      </c>
    </row>
    <row customHeight="1" ht="11.25">
      <c r="A178" s="373" t="s">
        <v>14</v>
      </c>
      <c r="B178" s="0" t="s">
        <v>4755</v>
      </c>
      <c r="C178" s="0" t="s">
        <v>4756</v>
      </c>
      <c r="D178" s="0" t="s">
        <v>4757</v>
      </c>
      <c r="E178" s="0" t="s">
        <v>4758</v>
      </c>
      <c r="F178" s="0" t="s">
        <v>4288</v>
      </c>
      <c r="G178" s="0" t="s">
        <v>4759</v>
      </c>
    </row>
    <row customHeight="1" ht="11.25">
      <c r="A179" s="373" t="s">
        <v>14</v>
      </c>
      <c r="B179" s="0" t="s">
        <v>4755</v>
      </c>
      <c r="C179" s="0" t="s">
        <v>4756</v>
      </c>
      <c r="D179" s="0" t="s">
        <v>4760</v>
      </c>
      <c r="E179" s="0" t="s">
        <v>4761</v>
      </c>
      <c r="F179" s="0" t="s">
        <v>4288</v>
      </c>
      <c r="G179" s="0" t="s">
        <v>4762</v>
      </c>
    </row>
    <row customHeight="1" ht="11.25">
      <c r="A180" s="373" t="s">
        <v>14</v>
      </c>
      <c r="B180" s="0" t="s">
        <v>4755</v>
      </c>
      <c r="C180" s="0" t="s">
        <v>4756</v>
      </c>
      <c r="D180" s="0" t="s">
        <v>4763</v>
      </c>
      <c r="E180" s="0" t="s">
        <v>4764</v>
      </c>
      <c r="F180" s="0" t="s">
        <v>4288</v>
      </c>
      <c r="G180" s="0" t="s">
        <v>4765</v>
      </c>
    </row>
    <row customHeight="1" ht="11.25">
      <c r="A181" s="373" t="s">
        <v>14</v>
      </c>
      <c r="B181" s="0" t="s">
        <v>4755</v>
      </c>
      <c r="C181" s="0" t="s">
        <v>4756</v>
      </c>
      <c r="D181" s="0" t="s">
        <v>4766</v>
      </c>
      <c r="E181" s="0" t="s">
        <v>4767</v>
      </c>
      <c r="F181" s="0" t="s">
        <v>4288</v>
      </c>
      <c r="G181" s="0" t="s">
        <v>4768</v>
      </c>
    </row>
    <row customHeight="1" ht="11.25">
      <c r="A182" s="373" t="s">
        <v>14</v>
      </c>
      <c r="B182" s="0" t="s">
        <v>4755</v>
      </c>
      <c r="C182" s="0" t="s">
        <v>4756</v>
      </c>
      <c r="D182" s="0" t="s">
        <v>4769</v>
      </c>
      <c r="E182" s="0" t="s">
        <v>4770</v>
      </c>
      <c r="F182" s="0" t="s">
        <v>4288</v>
      </c>
      <c r="G182" s="0" t="s">
        <v>4771</v>
      </c>
    </row>
    <row customHeight="1" ht="11.25">
      <c r="A183" s="373" t="s">
        <v>14</v>
      </c>
      <c r="B183" s="0" t="s">
        <v>4755</v>
      </c>
      <c r="C183" s="0" t="s">
        <v>4756</v>
      </c>
      <c r="D183" s="0" t="s">
        <v>4772</v>
      </c>
      <c r="E183" s="0" t="s">
        <v>4773</v>
      </c>
      <c r="F183" s="0" t="s">
        <v>4288</v>
      </c>
      <c r="G183" s="0" t="s">
        <v>4774</v>
      </c>
    </row>
    <row customHeight="1" ht="11.25">
      <c r="A184" s="373" t="s">
        <v>14</v>
      </c>
      <c r="B184" s="0" t="s">
        <v>4755</v>
      </c>
      <c r="C184" s="0" t="s">
        <v>4756</v>
      </c>
      <c r="D184" s="0" t="s">
        <v>4775</v>
      </c>
      <c r="E184" s="0" t="s">
        <v>4776</v>
      </c>
      <c r="F184" s="0" t="s">
        <v>4288</v>
      </c>
      <c r="G184" s="0" t="s">
        <v>4777</v>
      </c>
    </row>
    <row customHeight="1" ht="11.25">
      <c r="A185" s="373" t="s">
        <v>14</v>
      </c>
      <c r="B185" s="0" t="s">
        <v>4755</v>
      </c>
      <c r="C185" s="0" t="s">
        <v>4756</v>
      </c>
      <c r="D185" s="0" t="s">
        <v>4778</v>
      </c>
      <c r="E185" s="0" t="s">
        <v>4779</v>
      </c>
      <c r="F185" s="0" t="s">
        <v>4288</v>
      </c>
      <c r="G185" s="0" t="s">
        <v>4780</v>
      </c>
    </row>
    <row customHeight="1" ht="11.25">
      <c r="A186" s="373" t="s">
        <v>14</v>
      </c>
      <c r="B186" s="0" t="s">
        <v>4755</v>
      </c>
      <c r="C186" s="0" t="s">
        <v>4756</v>
      </c>
      <c r="D186" s="0" t="s">
        <v>4781</v>
      </c>
      <c r="E186" s="0" t="s">
        <v>4782</v>
      </c>
      <c r="F186" s="0" t="s">
        <v>4288</v>
      </c>
      <c r="G186" s="0" t="s">
        <v>4783</v>
      </c>
    </row>
    <row customHeight="1" ht="11.25">
      <c r="A187" s="373" t="s">
        <v>14</v>
      </c>
      <c r="B187" s="0" t="s">
        <v>4755</v>
      </c>
      <c r="C187" s="0" t="s">
        <v>4756</v>
      </c>
      <c r="D187" s="0" t="s">
        <v>4650</v>
      </c>
      <c r="E187" s="0" t="s">
        <v>4784</v>
      </c>
      <c r="F187" s="0" t="s">
        <v>4288</v>
      </c>
      <c r="G187" s="0" t="s">
        <v>4785</v>
      </c>
    </row>
    <row customHeight="1" ht="11.25">
      <c r="A188" s="373" t="s">
        <v>14</v>
      </c>
      <c r="B188" s="0" t="s">
        <v>4755</v>
      </c>
      <c r="C188" s="0" t="s">
        <v>4756</v>
      </c>
      <c r="D188" s="0" t="s">
        <v>4755</v>
      </c>
      <c r="E188" s="0" t="s">
        <v>4756</v>
      </c>
      <c r="F188" s="0" t="s">
        <v>4285</v>
      </c>
      <c r="G188" s="0" t="s">
        <v>4786</v>
      </c>
    </row>
    <row customHeight="1" ht="11.25">
      <c r="A189" s="373" t="s">
        <v>14</v>
      </c>
      <c r="B189" s="0" t="s">
        <v>4755</v>
      </c>
      <c r="C189" s="0" t="s">
        <v>4756</v>
      </c>
      <c r="D189" s="0" t="s">
        <v>4787</v>
      </c>
      <c r="E189" s="0" t="s">
        <v>4788</v>
      </c>
      <c r="F189" s="0" t="s">
        <v>4330</v>
      </c>
      <c r="G189" s="0" t="s">
        <v>4789</v>
      </c>
    </row>
    <row customHeight="1" ht="11.25">
      <c r="A190" s="373" t="s">
        <v>14</v>
      </c>
      <c r="B190" s="0" t="s">
        <v>4755</v>
      </c>
      <c r="C190" s="0" t="s">
        <v>4756</v>
      </c>
      <c r="D190" s="0" t="s">
        <v>4790</v>
      </c>
      <c r="E190" s="0" t="s">
        <v>4791</v>
      </c>
      <c r="F190" s="0" t="s">
        <v>4288</v>
      </c>
      <c r="G190" s="0" t="s">
        <v>4792</v>
      </c>
    </row>
    <row customHeight="1" ht="11.25">
      <c r="A191" s="373" t="s">
        <v>14</v>
      </c>
      <c r="B191" s="0" t="s">
        <v>4755</v>
      </c>
      <c r="C191" s="0" t="s">
        <v>4756</v>
      </c>
      <c r="D191" s="0" t="s">
        <v>4793</v>
      </c>
      <c r="E191" s="0" t="s">
        <v>4794</v>
      </c>
      <c r="F191" s="0" t="s">
        <v>4288</v>
      </c>
      <c r="G191" s="0" t="s">
        <v>4795</v>
      </c>
    </row>
    <row customHeight="1" ht="11.25">
      <c r="A192" s="373" t="s">
        <v>14</v>
      </c>
      <c r="B192" s="0" t="s">
        <v>4755</v>
      </c>
      <c r="C192" s="0" t="s">
        <v>4756</v>
      </c>
      <c r="D192" s="0" t="s">
        <v>4796</v>
      </c>
      <c r="E192" s="0" t="s">
        <v>4797</v>
      </c>
      <c r="F192" s="0" t="s">
        <v>4288</v>
      </c>
      <c r="G192" s="0" t="s">
        <v>4798</v>
      </c>
    </row>
    <row customHeight="1" ht="11.25">
      <c r="A193" s="373" t="s">
        <v>14</v>
      </c>
      <c r="B193" s="0" t="s">
        <v>4799</v>
      </c>
      <c r="C193" s="0" t="s">
        <v>4800</v>
      </c>
      <c r="D193" s="0" t="s">
        <v>4801</v>
      </c>
      <c r="E193" s="0" t="s">
        <v>4802</v>
      </c>
      <c r="F193" s="0" t="s">
        <v>4330</v>
      </c>
      <c r="G193" s="0" t="s">
        <v>4803</v>
      </c>
    </row>
    <row customHeight="1" ht="11.25">
      <c r="A194" s="373" t="s">
        <v>14</v>
      </c>
      <c r="B194" s="0" t="s">
        <v>4799</v>
      </c>
      <c r="C194" s="0" t="s">
        <v>4800</v>
      </c>
      <c r="D194" s="0" t="s">
        <v>4804</v>
      </c>
      <c r="E194" s="0" t="s">
        <v>4805</v>
      </c>
      <c r="F194" s="0" t="s">
        <v>4288</v>
      </c>
      <c r="G194" s="0" t="s">
        <v>4806</v>
      </c>
    </row>
    <row customHeight="1" ht="11.25">
      <c r="A195" s="373" t="s">
        <v>14</v>
      </c>
      <c r="B195" s="0" t="s">
        <v>4799</v>
      </c>
      <c r="C195" s="0" t="s">
        <v>4800</v>
      </c>
      <c r="D195" s="0" t="s">
        <v>4807</v>
      </c>
      <c r="E195" s="0" t="s">
        <v>4808</v>
      </c>
      <c r="F195" s="0" t="s">
        <v>4288</v>
      </c>
      <c r="G195" s="0" t="s">
        <v>4809</v>
      </c>
    </row>
    <row customHeight="1" ht="11.25">
      <c r="A196" s="373" t="s">
        <v>14</v>
      </c>
      <c r="B196" s="0" t="s">
        <v>4799</v>
      </c>
      <c r="C196" s="0" t="s">
        <v>4800</v>
      </c>
      <c r="D196" s="0" t="s">
        <v>4810</v>
      </c>
      <c r="E196" s="0" t="s">
        <v>4811</v>
      </c>
      <c r="F196" s="0" t="s">
        <v>4288</v>
      </c>
      <c r="G196" s="0" t="s">
        <v>4812</v>
      </c>
    </row>
    <row customHeight="1" ht="11.25">
      <c r="A197" s="373" t="s">
        <v>14</v>
      </c>
      <c r="B197" s="0" t="s">
        <v>4799</v>
      </c>
      <c r="C197" s="0" t="s">
        <v>4800</v>
      </c>
      <c r="D197" s="0" t="s">
        <v>4799</v>
      </c>
      <c r="E197" s="0" t="s">
        <v>4800</v>
      </c>
      <c r="F197" s="0" t="s">
        <v>4285</v>
      </c>
      <c r="G197" s="0" t="s">
        <v>4813</v>
      </c>
    </row>
    <row customHeight="1" ht="11.25">
      <c r="A198" s="373" t="s">
        <v>14</v>
      </c>
      <c r="B198" s="0" t="s">
        <v>4799</v>
      </c>
      <c r="C198" s="0" t="s">
        <v>4800</v>
      </c>
      <c r="D198" s="0" t="s">
        <v>4814</v>
      </c>
      <c r="E198" s="0" t="s">
        <v>4815</v>
      </c>
      <c r="F198" s="0" t="s">
        <v>4327</v>
      </c>
      <c r="G198" s="0" t="s">
        <v>4816</v>
      </c>
    </row>
    <row customHeight="1" ht="11.25">
      <c r="A199" s="373" t="s">
        <v>14</v>
      </c>
      <c r="B199" s="0" t="s">
        <v>4799</v>
      </c>
      <c r="C199" s="0" t="s">
        <v>4800</v>
      </c>
      <c r="D199" s="0" t="s">
        <v>4817</v>
      </c>
      <c r="E199" s="0" t="s">
        <v>4818</v>
      </c>
      <c r="F199" s="0" t="s">
        <v>4288</v>
      </c>
      <c r="G199" s="0" t="s">
        <v>4819</v>
      </c>
    </row>
    <row customHeight="1" ht="11.25">
      <c r="A200" s="373" t="s">
        <v>14</v>
      </c>
      <c r="B200" s="0" t="s">
        <v>4799</v>
      </c>
      <c r="C200" s="0" t="s">
        <v>4800</v>
      </c>
      <c r="D200" s="0" t="s">
        <v>4820</v>
      </c>
      <c r="E200" s="0" t="s">
        <v>4821</v>
      </c>
      <c r="F200" s="0" t="s">
        <v>4288</v>
      </c>
      <c r="G200" s="0" t="s">
        <v>4822</v>
      </c>
    </row>
    <row customHeight="1" ht="11.25">
      <c r="A201" s="373" t="s">
        <v>14</v>
      </c>
      <c r="B201" s="0" t="s">
        <v>4799</v>
      </c>
      <c r="C201" s="0" t="s">
        <v>4800</v>
      </c>
      <c r="D201" s="0" t="s">
        <v>4823</v>
      </c>
      <c r="E201" s="0" t="s">
        <v>4824</v>
      </c>
      <c r="F201" s="0" t="s">
        <v>4288</v>
      </c>
      <c r="G201" s="0" t="s">
        <v>4825</v>
      </c>
    </row>
    <row customHeight="1" ht="11.25">
      <c r="A202" s="373" t="s">
        <v>14</v>
      </c>
      <c r="B202" s="0" t="s">
        <v>4799</v>
      </c>
      <c r="C202" s="0" t="s">
        <v>4800</v>
      </c>
      <c r="D202" s="0" t="s">
        <v>4826</v>
      </c>
      <c r="E202" s="0" t="s">
        <v>4827</v>
      </c>
      <c r="F202" s="0" t="s">
        <v>4471</v>
      </c>
      <c r="G202" s="0" t="s">
        <v>4828</v>
      </c>
    </row>
    <row customHeight="1" ht="11.25">
      <c r="A203" s="373" t="s">
        <v>14</v>
      </c>
      <c r="B203" s="0" t="s">
        <v>4799</v>
      </c>
      <c r="C203" s="0" t="s">
        <v>4800</v>
      </c>
      <c r="D203" s="0" t="s">
        <v>4829</v>
      </c>
      <c r="E203" s="0" t="s">
        <v>4830</v>
      </c>
      <c r="F203" s="0" t="s">
        <v>4288</v>
      </c>
      <c r="G203" s="0" t="s">
        <v>4831</v>
      </c>
    </row>
    <row customHeight="1" ht="11.25">
      <c r="A204" s="373" t="s">
        <v>14</v>
      </c>
      <c r="B204" s="0" t="s">
        <v>4799</v>
      </c>
      <c r="C204" s="0" t="s">
        <v>4800</v>
      </c>
      <c r="D204" s="0" t="s">
        <v>4725</v>
      </c>
      <c r="E204" s="0" t="s">
        <v>4832</v>
      </c>
      <c r="F204" s="0" t="s">
        <v>4288</v>
      </c>
      <c r="G204" s="0" t="s">
        <v>4833</v>
      </c>
    </row>
    <row customHeight="1" ht="11.25">
      <c r="A205" s="373" t="s">
        <v>14</v>
      </c>
      <c r="B205" s="0" t="s">
        <v>4799</v>
      </c>
      <c r="C205" s="0" t="s">
        <v>4800</v>
      </c>
      <c r="D205" s="0" t="s">
        <v>4834</v>
      </c>
      <c r="E205" s="0" t="s">
        <v>4835</v>
      </c>
      <c r="F205" s="0" t="s">
        <v>4288</v>
      </c>
      <c r="G205" s="0" t="s">
        <v>4836</v>
      </c>
    </row>
    <row customHeight="1" ht="11.25">
      <c r="A206" s="373" t="s">
        <v>14</v>
      </c>
      <c r="B206" s="0" t="s">
        <v>4799</v>
      </c>
      <c r="C206" s="0" t="s">
        <v>4800</v>
      </c>
      <c r="D206" s="0" t="s">
        <v>4837</v>
      </c>
      <c r="E206" s="0" t="s">
        <v>4838</v>
      </c>
      <c r="F206" s="0" t="s">
        <v>4288</v>
      </c>
      <c r="G206" s="0" t="s">
        <v>4839</v>
      </c>
    </row>
    <row customHeight="1" ht="11.25">
      <c r="A207" s="373" t="s">
        <v>14</v>
      </c>
      <c r="B207" s="0" t="s">
        <v>4840</v>
      </c>
      <c r="C207" s="0" t="s">
        <v>4841</v>
      </c>
      <c r="D207" s="0" t="s">
        <v>4842</v>
      </c>
      <c r="E207" s="0" t="s">
        <v>4843</v>
      </c>
      <c r="F207" s="0" t="s">
        <v>4288</v>
      </c>
      <c r="G207" s="0" t="s">
        <v>4844</v>
      </c>
    </row>
    <row customHeight="1" ht="11.25">
      <c r="A208" s="373" t="s">
        <v>14</v>
      </c>
      <c r="B208" s="0" t="s">
        <v>4840</v>
      </c>
      <c r="C208" s="0" t="s">
        <v>4841</v>
      </c>
      <c r="D208" s="0" t="s">
        <v>4845</v>
      </c>
      <c r="E208" s="0" t="s">
        <v>4846</v>
      </c>
      <c r="F208" s="0" t="s">
        <v>4288</v>
      </c>
      <c r="G208" s="0" t="s">
        <v>4847</v>
      </c>
    </row>
    <row customHeight="1" ht="11.25">
      <c r="A209" s="373" t="s">
        <v>14</v>
      </c>
      <c r="B209" s="0" t="s">
        <v>4840</v>
      </c>
      <c r="C209" s="0" t="s">
        <v>4841</v>
      </c>
      <c r="D209" s="0" t="s">
        <v>4848</v>
      </c>
      <c r="E209" s="0" t="s">
        <v>4849</v>
      </c>
      <c r="F209" s="0" t="s">
        <v>4288</v>
      </c>
      <c r="G209" s="0" t="s">
        <v>4850</v>
      </c>
    </row>
    <row customHeight="1" ht="11.25">
      <c r="A210" s="373" t="s">
        <v>14</v>
      </c>
      <c r="B210" s="0" t="s">
        <v>4840</v>
      </c>
      <c r="C210" s="0" t="s">
        <v>4841</v>
      </c>
      <c r="D210" s="0" t="s">
        <v>4851</v>
      </c>
      <c r="E210" s="0" t="s">
        <v>4852</v>
      </c>
      <c r="F210" s="0" t="s">
        <v>4288</v>
      </c>
      <c r="G210" s="0" t="s">
        <v>4853</v>
      </c>
    </row>
    <row customHeight="1" ht="11.25">
      <c r="A211" s="373" t="s">
        <v>14</v>
      </c>
      <c r="B211" s="0" t="s">
        <v>4840</v>
      </c>
      <c r="C211" s="0" t="s">
        <v>4841</v>
      </c>
      <c r="D211" s="0" t="s">
        <v>4854</v>
      </c>
      <c r="E211" s="0" t="s">
        <v>4855</v>
      </c>
      <c r="F211" s="0" t="s">
        <v>4288</v>
      </c>
      <c r="G211" s="0" t="s">
        <v>4856</v>
      </c>
    </row>
    <row customHeight="1" ht="11.25">
      <c r="A212" s="373" t="s">
        <v>14</v>
      </c>
      <c r="B212" s="0" t="s">
        <v>4840</v>
      </c>
      <c r="C212" s="0" t="s">
        <v>4841</v>
      </c>
      <c r="D212" s="0" t="s">
        <v>4857</v>
      </c>
      <c r="E212" s="0" t="s">
        <v>4858</v>
      </c>
      <c r="F212" s="0" t="s">
        <v>4288</v>
      </c>
      <c r="G212" s="0" t="s">
        <v>4859</v>
      </c>
    </row>
    <row customHeight="1" ht="11.25">
      <c r="A213" s="373" t="s">
        <v>14</v>
      </c>
      <c r="B213" s="0" t="s">
        <v>4840</v>
      </c>
      <c r="C213" s="0" t="s">
        <v>4841</v>
      </c>
      <c r="D213" s="0" t="s">
        <v>4860</v>
      </c>
      <c r="E213" s="0" t="s">
        <v>4861</v>
      </c>
      <c r="F213" s="0" t="s">
        <v>4288</v>
      </c>
      <c r="G213" s="0" t="s">
        <v>4862</v>
      </c>
    </row>
    <row customHeight="1" ht="11.25">
      <c r="A214" s="373" t="s">
        <v>14</v>
      </c>
      <c r="B214" s="0" t="s">
        <v>4840</v>
      </c>
      <c r="C214" s="0" t="s">
        <v>4841</v>
      </c>
      <c r="D214" s="0" t="s">
        <v>4840</v>
      </c>
      <c r="E214" s="0" t="s">
        <v>4841</v>
      </c>
      <c r="F214" s="0" t="s">
        <v>4285</v>
      </c>
      <c r="G214" s="0" t="s">
        <v>4863</v>
      </c>
    </row>
    <row customHeight="1" ht="11.25">
      <c r="A215" s="373" t="s">
        <v>14</v>
      </c>
      <c r="B215" s="0" t="s">
        <v>4840</v>
      </c>
      <c r="C215" s="0" t="s">
        <v>4841</v>
      </c>
      <c r="D215" s="0" t="s">
        <v>4864</v>
      </c>
      <c r="E215" s="0" t="s">
        <v>4865</v>
      </c>
      <c r="F215" s="0" t="s">
        <v>4330</v>
      </c>
      <c r="G215" s="0" t="s">
        <v>4866</v>
      </c>
    </row>
    <row customHeight="1" ht="11.25">
      <c r="A216" s="373" t="s">
        <v>14</v>
      </c>
      <c r="B216" s="0" t="s">
        <v>4840</v>
      </c>
      <c r="C216" s="0" t="s">
        <v>4841</v>
      </c>
      <c r="D216" s="0" t="s">
        <v>4867</v>
      </c>
      <c r="E216" s="0" t="s">
        <v>4868</v>
      </c>
      <c r="F216" s="0" t="s">
        <v>4288</v>
      </c>
      <c r="G216" s="0" t="s">
        <v>4869</v>
      </c>
    </row>
    <row customHeight="1" ht="11.25">
      <c r="A217" s="373" t="s">
        <v>14</v>
      </c>
      <c r="B217" s="0" t="s">
        <v>4840</v>
      </c>
      <c r="C217" s="0" t="s">
        <v>4841</v>
      </c>
      <c r="D217" s="0" t="s">
        <v>4870</v>
      </c>
      <c r="E217" s="0" t="s">
        <v>4871</v>
      </c>
      <c r="F217" s="0" t="s">
        <v>4288</v>
      </c>
      <c r="G217" s="0" t="s">
        <v>4872</v>
      </c>
    </row>
    <row customHeight="1" ht="11.25">
      <c r="A218" s="373" t="s">
        <v>14</v>
      </c>
      <c r="B218" s="0" t="s">
        <v>4840</v>
      </c>
      <c r="C218" s="0" t="s">
        <v>4841</v>
      </c>
      <c r="D218" s="0" t="s">
        <v>4873</v>
      </c>
      <c r="E218" s="0" t="s">
        <v>4874</v>
      </c>
      <c r="F218" s="0" t="s">
        <v>4288</v>
      </c>
      <c r="G218" s="0" t="s">
        <v>4875</v>
      </c>
    </row>
    <row customHeight="1" ht="11.25">
      <c r="A219" s="373" t="s">
        <v>14</v>
      </c>
      <c r="B219" s="0" t="s">
        <v>4840</v>
      </c>
      <c r="C219" s="0" t="s">
        <v>4841</v>
      </c>
      <c r="D219" s="0" t="s">
        <v>4876</v>
      </c>
      <c r="E219" s="0" t="s">
        <v>4877</v>
      </c>
      <c r="F219" s="0" t="s">
        <v>4288</v>
      </c>
      <c r="G219" s="0" t="s">
        <v>4878</v>
      </c>
    </row>
    <row customHeight="1" ht="11.25">
      <c r="A220" s="373" t="s">
        <v>14</v>
      </c>
      <c r="B220" s="0" t="s">
        <v>4840</v>
      </c>
      <c r="C220" s="0" t="s">
        <v>4841</v>
      </c>
      <c r="D220" s="0" t="s">
        <v>4473</v>
      </c>
      <c r="E220" s="0" t="s">
        <v>4879</v>
      </c>
      <c r="F220" s="0" t="s">
        <v>4288</v>
      </c>
      <c r="G220" s="0" t="s">
        <v>4880</v>
      </c>
    </row>
    <row customHeight="1" ht="11.25">
      <c r="A221" s="373" t="s">
        <v>14</v>
      </c>
      <c r="B221" s="0" t="s">
        <v>4840</v>
      </c>
      <c r="C221" s="0" t="s">
        <v>4841</v>
      </c>
      <c r="D221" s="0" t="s">
        <v>4881</v>
      </c>
      <c r="E221" s="0" t="s">
        <v>4882</v>
      </c>
      <c r="F221" s="0" t="s">
        <v>4288</v>
      </c>
      <c r="G221" s="0" t="s">
        <v>4883</v>
      </c>
    </row>
    <row customHeight="1" ht="11.25">
      <c r="A222" s="373" t="s">
        <v>14</v>
      </c>
      <c r="B222" s="0" t="s">
        <v>4840</v>
      </c>
      <c r="C222" s="0" t="s">
        <v>4841</v>
      </c>
      <c r="D222" s="0" t="s">
        <v>4884</v>
      </c>
      <c r="E222" s="0" t="s">
        <v>4885</v>
      </c>
      <c r="F222" s="0" t="s">
        <v>4288</v>
      </c>
      <c r="G222" s="0" t="s">
        <v>4886</v>
      </c>
    </row>
    <row customHeight="1" ht="11.25">
      <c r="A223" s="373" t="s">
        <v>14</v>
      </c>
      <c r="B223" s="0" t="s">
        <v>4840</v>
      </c>
      <c r="C223" s="0" t="s">
        <v>4841</v>
      </c>
      <c r="D223" s="0" t="s">
        <v>4887</v>
      </c>
      <c r="E223" s="0" t="s">
        <v>4888</v>
      </c>
      <c r="F223" s="0" t="s">
        <v>4288</v>
      </c>
      <c r="G223" s="0" t="s">
        <v>4889</v>
      </c>
    </row>
    <row customHeight="1" ht="11.25">
      <c r="A224" s="373" t="s">
        <v>14</v>
      </c>
      <c r="B224" s="0" t="s">
        <v>4840</v>
      </c>
      <c r="C224" s="0" t="s">
        <v>4841</v>
      </c>
      <c r="D224" s="0" t="s">
        <v>4890</v>
      </c>
      <c r="E224" s="0" t="s">
        <v>4891</v>
      </c>
      <c r="F224" s="0" t="s">
        <v>4288</v>
      </c>
      <c r="G224" s="0" t="s">
        <v>4892</v>
      </c>
    </row>
    <row customHeight="1" ht="11.25">
      <c r="A225" s="373" t="s">
        <v>14</v>
      </c>
      <c r="B225" s="0" t="s">
        <v>4840</v>
      </c>
      <c r="C225" s="0" t="s">
        <v>4841</v>
      </c>
      <c r="D225" s="0" t="s">
        <v>4893</v>
      </c>
      <c r="E225" s="0" t="s">
        <v>4894</v>
      </c>
      <c r="F225" s="0" t="s">
        <v>4288</v>
      </c>
      <c r="G225" s="0" t="s">
        <v>4895</v>
      </c>
    </row>
    <row customHeight="1" ht="11.25">
      <c r="A226" s="373" t="s">
        <v>14</v>
      </c>
      <c r="B226" s="0" t="s">
        <v>4840</v>
      </c>
      <c r="C226" s="0" t="s">
        <v>4841</v>
      </c>
      <c r="D226" s="0" t="s">
        <v>4896</v>
      </c>
      <c r="E226" s="0" t="s">
        <v>4897</v>
      </c>
      <c r="F226" s="0" t="s">
        <v>4288</v>
      </c>
      <c r="G226" s="0" t="s">
        <v>4898</v>
      </c>
    </row>
    <row customHeight="1" ht="11.25">
      <c r="A227" s="373" t="s">
        <v>14</v>
      </c>
      <c r="B227" s="0" t="s">
        <v>4840</v>
      </c>
      <c r="C227" s="0" t="s">
        <v>4841</v>
      </c>
      <c r="D227" s="0" t="s">
        <v>4899</v>
      </c>
      <c r="E227" s="0" t="s">
        <v>4900</v>
      </c>
      <c r="F227" s="0" t="s">
        <v>4288</v>
      </c>
      <c r="G227" s="0" t="s">
        <v>4901</v>
      </c>
    </row>
    <row customHeight="1" ht="11.25">
      <c r="A228" s="373" t="s">
        <v>14</v>
      </c>
      <c r="B228" s="0" t="s">
        <v>4840</v>
      </c>
      <c r="C228" s="0" t="s">
        <v>4841</v>
      </c>
      <c r="D228" s="0" t="s">
        <v>4902</v>
      </c>
      <c r="E228" s="0" t="s">
        <v>4903</v>
      </c>
      <c r="F228" s="0" t="s">
        <v>4288</v>
      </c>
      <c r="G228" s="0" t="s">
        <v>4904</v>
      </c>
    </row>
    <row customHeight="1" ht="11.25">
      <c r="A229" s="373" t="s">
        <v>14</v>
      </c>
      <c r="B229" s="0" t="s">
        <v>4905</v>
      </c>
      <c r="C229" s="0" t="s">
        <v>4906</v>
      </c>
      <c r="D229" s="0" t="s">
        <v>4907</v>
      </c>
      <c r="E229" s="0" t="s">
        <v>4908</v>
      </c>
      <c r="F229" s="0" t="s">
        <v>4330</v>
      </c>
      <c r="G229" s="0" t="s">
        <v>4909</v>
      </c>
    </row>
    <row customHeight="1" ht="11.25">
      <c r="A230" s="373" t="s">
        <v>14</v>
      </c>
      <c r="B230" s="0" t="s">
        <v>4905</v>
      </c>
      <c r="C230" s="0" t="s">
        <v>4906</v>
      </c>
      <c r="D230" s="0" t="s">
        <v>4910</v>
      </c>
      <c r="E230" s="0" t="s">
        <v>4911</v>
      </c>
      <c r="F230" s="0" t="s">
        <v>4330</v>
      </c>
      <c r="G230" s="0" t="s">
        <v>4912</v>
      </c>
    </row>
    <row customHeight="1" ht="11.25">
      <c r="A231" s="373" t="s">
        <v>14</v>
      </c>
      <c r="B231" s="0" t="s">
        <v>4905</v>
      </c>
      <c r="C231" s="0" t="s">
        <v>4906</v>
      </c>
      <c r="D231" s="0" t="s">
        <v>4913</v>
      </c>
      <c r="E231" s="0" t="s">
        <v>4914</v>
      </c>
      <c r="F231" s="0" t="s">
        <v>4330</v>
      </c>
      <c r="G231" s="0" t="s">
        <v>4915</v>
      </c>
    </row>
    <row customHeight="1" ht="11.25">
      <c r="A232" s="373" t="s">
        <v>14</v>
      </c>
      <c r="B232" s="0" t="s">
        <v>4905</v>
      </c>
      <c r="C232" s="0" t="s">
        <v>4906</v>
      </c>
      <c r="D232" s="0" t="s">
        <v>4905</v>
      </c>
      <c r="E232" s="0" t="s">
        <v>4906</v>
      </c>
      <c r="F232" s="0" t="s">
        <v>4285</v>
      </c>
      <c r="G232" s="0" t="s">
        <v>4916</v>
      </c>
    </row>
    <row customHeight="1" ht="11.25">
      <c r="A233" s="373" t="s">
        <v>14</v>
      </c>
      <c r="B233" s="0" t="s">
        <v>4905</v>
      </c>
      <c r="C233" s="0" t="s">
        <v>4906</v>
      </c>
      <c r="D233" s="0" t="s">
        <v>4917</v>
      </c>
      <c r="E233" s="0" t="s">
        <v>4918</v>
      </c>
      <c r="F233" s="0" t="s">
        <v>4330</v>
      </c>
      <c r="G233" s="0" t="s">
        <v>4919</v>
      </c>
    </row>
    <row customHeight="1" ht="11.25">
      <c r="A234" s="373" t="s">
        <v>14</v>
      </c>
      <c r="B234" s="0" t="s">
        <v>4905</v>
      </c>
      <c r="C234" s="0" t="s">
        <v>4906</v>
      </c>
      <c r="D234" s="0" t="s">
        <v>4920</v>
      </c>
      <c r="E234" s="0" t="s">
        <v>4921</v>
      </c>
      <c r="F234" s="0" t="s">
        <v>4471</v>
      </c>
      <c r="G234" s="0" t="s">
        <v>4922</v>
      </c>
    </row>
    <row customHeight="1" ht="11.25">
      <c r="A235" s="373" t="s">
        <v>14</v>
      </c>
      <c r="B235" s="0" t="s">
        <v>4905</v>
      </c>
      <c r="C235" s="0" t="s">
        <v>4906</v>
      </c>
      <c r="D235" s="0" t="s">
        <v>4923</v>
      </c>
      <c r="E235" s="0" t="s">
        <v>4924</v>
      </c>
      <c r="F235" s="0" t="s">
        <v>4330</v>
      </c>
      <c r="G235" s="0" t="s">
        <v>4925</v>
      </c>
    </row>
    <row customHeight="1" ht="11.25">
      <c r="A236" s="373" t="s">
        <v>14</v>
      </c>
      <c r="B236" s="0" t="s">
        <v>4926</v>
      </c>
      <c r="C236" s="0" t="s">
        <v>4927</v>
      </c>
      <c r="D236" s="0" t="s">
        <v>4928</v>
      </c>
      <c r="E236" s="0" t="s">
        <v>4929</v>
      </c>
      <c r="F236" s="0" t="s">
        <v>4288</v>
      </c>
      <c r="G236" s="0" t="s">
        <v>4930</v>
      </c>
    </row>
    <row customHeight="1" ht="11.25">
      <c r="A237" s="373" t="s">
        <v>14</v>
      </c>
      <c r="B237" s="0" t="s">
        <v>4926</v>
      </c>
      <c r="C237" s="0" t="s">
        <v>4927</v>
      </c>
      <c r="D237" s="0" t="s">
        <v>4931</v>
      </c>
      <c r="E237" s="0" t="s">
        <v>4932</v>
      </c>
      <c r="F237" s="0" t="s">
        <v>4288</v>
      </c>
      <c r="G237" s="0" t="s">
        <v>4933</v>
      </c>
    </row>
    <row customHeight="1" ht="11.25">
      <c r="A238" s="373" t="s">
        <v>14</v>
      </c>
      <c r="B238" s="0" t="s">
        <v>4926</v>
      </c>
      <c r="C238" s="0" t="s">
        <v>4927</v>
      </c>
      <c r="D238" s="0" t="s">
        <v>4934</v>
      </c>
      <c r="E238" s="0" t="s">
        <v>4935</v>
      </c>
      <c r="F238" s="0" t="s">
        <v>4330</v>
      </c>
      <c r="G238" s="0" t="s">
        <v>4936</v>
      </c>
    </row>
    <row customHeight="1" ht="11.25">
      <c r="A239" s="373" t="s">
        <v>14</v>
      </c>
      <c r="B239" s="0" t="s">
        <v>4926</v>
      </c>
      <c r="C239" s="0" t="s">
        <v>4927</v>
      </c>
      <c r="D239" s="0" t="s">
        <v>4937</v>
      </c>
      <c r="E239" s="0" t="s">
        <v>4938</v>
      </c>
      <c r="F239" s="0" t="s">
        <v>4288</v>
      </c>
      <c r="G239" s="0" t="s">
        <v>4939</v>
      </c>
    </row>
    <row customHeight="1" ht="11.25">
      <c r="A240" s="373" t="s">
        <v>14</v>
      </c>
      <c r="B240" s="0" t="s">
        <v>4926</v>
      </c>
      <c r="C240" s="0" t="s">
        <v>4927</v>
      </c>
      <c r="D240" s="0" t="s">
        <v>4940</v>
      </c>
      <c r="E240" s="0" t="s">
        <v>4941</v>
      </c>
      <c r="F240" s="0" t="s">
        <v>4327</v>
      </c>
      <c r="G240" s="0" t="s">
        <v>4942</v>
      </c>
    </row>
    <row customHeight="1" ht="11.25">
      <c r="A241" s="373" t="s">
        <v>14</v>
      </c>
      <c r="B241" s="0" t="s">
        <v>4926</v>
      </c>
      <c r="C241" s="0" t="s">
        <v>4927</v>
      </c>
      <c r="D241" s="0" t="s">
        <v>4943</v>
      </c>
      <c r="E241" s="0" t="s">
        <v>4944</v>
      </c>
      <c r="F241" s="0" t="s">
        <v>4288</v>
      </c>
      <c r="G241" s="0" t="s">
        <v>4945</v>
      </c>
    </row>
    <row customHeight="1" ht="11.25">
      <c r="A242" s="373" t="s">
        <v>14</v>
      </c>
      <c r="B242" s="0" t="s">
        <v>4926</v>
      </c>
      <c r="C242" s="0" t="s">
        <v>4927</v>
      </c>
      <c r="D242" s="0" t="s">
        <v>4817</v>
      </c>
      <c r="E242" s="0" t="s">
        <v>4946</v>
      </c>
      <c r="F242" s="0" t="s">
        <v>4288</v>
      </c>
      <c r="G242" s="0" t="s">
        <v>4947</v>
      </c>
    </row>
    <row customHeight="1" ht="11.25">
      <c r="A243" s="373" t="s">
        <v>14</v>
      </c>
      <c r="B243" s="0" t="s">
        <v>4926</v>
      </c>
      <c r="C243" s="0" t="s">
        <v>4927</v>
      </c>
      <c r="D243" s="0" t="s">
        <v>4948</v>
      </c>
      <c r="E243" s="0" t="s">
        <v>4949</v>
      </c>
      <c r="F243" s="0" t="s">
        <v>4471</v>
      </c>
      <c r="G243" s="0" t="s">
        <v>4950</v>
      </c>
    </row>
    <row customHeight="1" ht="11.25">
      <c r="A244" s="373" t="s">
        <v>14</v>
      </c>
      <c r="B244" s="0" t="s">
        <v>4926</v>
      </c>
      <c r="C244" s="0" t="s">
        <v>4927</v>
      </c>
      <c r="D244" s="0" t="s">
        <v>4926</v>
      </c>
      <c r="E244" s="0" t="s">
        <v>4927</v>
      </c>
      <c r="F244" s="0" t="s">
        <v>4285</v>
      </c>
      <c r="G244" s="0" t="s">
        <v>4951</v>
      </c>
    </row>
    <row customHeight="1" ht="11.25">
      <c r="A245" s="373" t="s">
        <v>14</v>
      </c>
      <c r="B245" s="0" t="s">
        <v>4926</v>
      </c>
      <c r="C245" s="0" t="s">
        <v>4927</v>
      </c>
      <c r="D245" s="0" t="s">
        <v>4952</v>
      </c>
      <c r="E245" s="0" t="s">
        <v>4953</v>
      </c>
      <c r="F245" s="0" t="s">
        <v>4330</v>
      </c>
      <c r="G245" s="0" t="s">
        <v>4954</v>
      </c>
    </row>
    <row customHeight="1" ht="11.25">
      <c r="A246" s="373" t="s">
        <v>14</v>
      </c>
      <c r="B246" s="0" t="s">
        <v>4926</v>
      </c>
      <c r="C246" s="0" t="s">
        <v>4927</v>
      </c>
      <c r="D246" s="0" t="s">
        <v>4955</v>
      </c>
      <c r="E246" s="0" t="s">
        <v>4956</v>
      </c>
      <c r="F246" s="0" t="s">
        <v>4288</v>
      </c>
      <c r="G246" s="0" t="s">
        <v>4957</v>
      </c>
    </row>
    <row customHeight="1" ht="11.25">
      <c r="A247" s="373" t="s">
        <v>14</v>
      </c>
      <c r="B247" s="0" t="s">
        <v>4926</v>
      </c>
      <c r="C247" s="0" t="s">
        <v>4927</v>
      </c>
      <c r="D247" s="0" t="s">
        <v>4958</v>
      </c>
      <c r="E247" s="0" t="s">
        <v>4959</v>
      </c>
      <c r="F247" s="0" t="s">
        <v>4330</v>
      </c>
      <c r="G247" s="0" t="s">
        <v>4960</v>
      </c>
    </row>
    <row customHeight="1" ht="11.25">
      <c r="A248" s="373" t="s">
        <v>14</v>
      </c>
      <c r="B248" s="0" t="s">
        <v>4926</v>
      </c>
      <c r="C248" s="0" t="s">
        <v>4927</v>
      </c>
      <c r="D248" s="0" t="s">
        <v>4961</v>
      </c>
      <c r="E248" s="0" t="s">
        <v>4962</v>
      </c>
      <c r="F248" s="0" t="s">
        <v>4288</v>
      </c>
      <c r="G248" s="0" t="s">
        <v>4963</v>
      </c>
    </row>
    <row customHeight="1" ht="11.25">
      <c r="A249" s="373" t="s">
        <v>14</v>
      </c>
      <c r="B249" s="0" t="s">
        <v>4926</v>
      </c>
      <c r="C249" s="0" t="s">
        <v>4927</v>
      </c>
      <c r="D249" s="0" t="s">
        <v>4964</v>
      </c>
      <c r="E249" s="0" t="s">
        <v>4965</v>
      </c>
      <c r="F249" s="0" t="s">
        <v>4330</v>
      </c>
      <c r="G249" s="0" t="s">
        <v>4966</v>
      </c>
    </row>
    <row customHeight="1" ht="11.25">
      <c r="A250" s="373" t="s">
        <v>14</v>
      </c>
      <c r="B250" s="0" t="s">
        <v>4926</v>
      </c>
      <c r="C250" s="0" t="s">
        <v>4927</v>
      </c>
      <c r="D250" s="0" t="s">
        <v>4967</v>
      </c>
      <c r="E250" s="0" t="s">
        <v>4968</v>
      </c>
      <c r="F250" s="0" t="s">
        <v>4288</v>
      </c>
      <c r="G250" s="0" t="s">
        <v>4969</v>
      </c>
    </row>
    <row customHeight="1" ht="11.25">
      <c r="A251" s="373" t="s">
        <v>14</v>
      </c>
      <c r="B251" s="0" t="s">
        <v>4926</v>
      </c>
      <c r="C251" s="0" t="s">
        <v>4927</v>
      </c>
      <c r="D251" s="0" t="s">
        <v>4970</v>
      </c>
      <c r="E251" s="0" t="s">
        <v>4971</v>
      </c>
      <c r="F251" s="0" t="s">
        <v>4288</v>
      </c>
      <c r="G251" s="0" t="s">
        <v>4972</v>
      </c>
    </row>
    <row customHeight="1" ht="11.25">
      <c r="A252" s="373" t="s">
        <v>14</v>
      </c>
      <c r="B252" s="0" t="s">
        <v>4926</v>
      </c>
      <c r="C252" s="0" t="s">
        <v>4927</v>
      </c>
      <c r="D252" s="0" t="s">
        <v>4973</v>
      </c>
      <c r="E252" s="0" t="s">
        <v>4974</v>
      </c>
      <c r="F252" s="0" t="s">
        <v>4330</v>
      </c>
      <c r="G252" s="0" t="s">
        <v>4975</v>
      </c>
    </row>
    <row customHeight="1" ht="11.25">
      <c r="A253" s="373" t="s">
        <v>14</v>
      </c>
      <c r="B253" s="0" t="s">
        <v>4926</v>
      </c>
      <c r="C253" s="0" t="s">
        <v>4927</v>
      </c>
      <c r="D253" s="0" t="s">
        <v>4976</v>
      </c>
      <c r="E253" s="0" t="s">
        <v>4977</v>
      </c>
      <c r="F253" s="0" t="s">
        <v>4288</v>
      </c>
      <c r="G253" s="0" t="s">
        <v>4978</v>
      </c>
    </row>
    <row customHeight="1" ht="11.25">
      <c r="A254" s="373" t="s">
        <v>14</v>
      </c>
      <c r="B254" s="0" t="s">
        <v>4926</v>
      </c>
      <c r="C254" s="0" t="s">
        <v>4927</v>
      </c>
      <c r="D254" s="0" t="s">
        <v>4979</v>
      </c>
      <c r="E254" s="0" t="s">
        <v>4980</v>
      </c>
      <c r="F254" s="0" t="s">
        <v>4330</v>
      </c>
      <c r="G254" s="0" t="s">
        <v>4981</v>
      </c>
    </row>
    <row customHeight="1" ht="11.25">
      <c r="A255" s="373" t="s">
        <v>14</v>
      </c>
      <c r="B255" s="0" t="s">
        <v>4926</v>
      </c>
      <c r="C255" s="0" t="s">
        <v>4927</v>
      </c>
      <c r="D255" s="0" t="s">
        <v>4982</v>
      </c>
      <c r="E255" s="0" t="s">
        <v>4983</v>
      </c>
      <c r="F255" s="0" t="s">
        <v>4330</v>
      </c>
      <c r="G255" s="0" t="s">
        <v>4984</v>
      </c>
    </row>
    <row customHeight="1" ht="11.25">
      <c r="A256" s="373" t="s">
        <v>14</v>
      </c>
      <c r="B256" s="0" t="s">
        <v>4985</v>
      </c>
      <c r="C256" s="0" t="s">
        <v>4986</v>
      </c>
      <c r="D256" s="0" t="s">
        <v>4987</v>
      </c>
      <c r="E256" s="0" t="s">
        <v>4988</v>
      </c>
      <c r="F256" s="0" t="s">
        <v>4327</v>
      </c>
      <c r="G256" s="0" t="s">
        <v>4989</v>
      </c>
    </row>
    <row customHeight="1" ht="11.25">
      <c r="A257" s="373" t="s">
        <v>14</v>
      </c>
      <c r="B257" s="0" t="s">
        <v>4985</v>
      </c>
      <c r="C257" s="0" t="s">
        <v>4986</v>
      </c>
      <c r="D257" s="0" t="s">
        <v>4990</v>
      </c>
      <c r="E257" s="0" t="s">
        <v>4991</v>
      </c>
      <c r="F257" s="0" t="s">
        <v>4330</v>
      </c>
      <c r="G257" s="0" t="s">
        <v>4992</v>
      </c>
    </row>
    <row customHeight="1" ht="11.25">
      <c r="A258" s="373" t="s">
        <v>14</v>
      </c>
      <c r="B258" s="0" t="s">
        <v>4985</v>
      </c>
      <c r="C258" s="0" t="s">
        <v>4986</v>
      </c>
      <c r="D258" s="0" t="s">
        <v>4993</v>
      </c>
      <c r="E258" s="0" t="s">
        <v>4994</v>
      </c>
      <c r="F258" s="0" t="s">
        <v>4288</v>
      </c>
      <c r="G258" s="0" t="s">
        <v>4995</v>
      </c>
    </row>
    <row customHeight="1" ht="11.25">
      <c r="A259" s="373" t="s">
        <v>14</v>
      </c>
      <c r="B259" s="0" t="s">
        <v>4985</v>
      </c>
      <c r="C259" s="0" t="s">
        <v>4986</v>
      </c>
      <c r="D259" s="0" t="s">
        <v>4996</v>
      </c>
      <c r="E259" s="0" t="s">
        <v>4997</v>
      </c>
      <c r="F259" s="0" t="s">
        <v>4288</v>
      </c>
      <c r="G259" s="0" t="s">
        <v>4998</v>
      </c>
    </row>
    <row customHeight="1" ht="11.25">
      <c r="A260" s="373" t="s">
        <v>14</v>
      </c>
      <c r="B260" s="0" t="s">
        <v>4985</v>
      </c>
      <c r="C260" s="0" t="s">
        <v>4986</v>
      </c>
      <c r="D260" s="0" t="s">
        <v>4999</v>
      </c>
      <c r="E260" s="0" t="s">
        <v>5000</v>
      </c>
      <c r="F260" s="0" t="s">
        <v>4288</v>
      </c>
      <c r="G260" s="0" t="s">
        <v>5001</v>
      </c>
    </row>
    <row customHeight="1" ht="11.25">
      <c r="A261" s="373" t="s">
        <v>14</v>
      </c>
      <c r="B261" s="0" t="s">
        <v>4985</v>
      </c>
      <c r="C261" s="0" t="s">
        <v>4986</v>
      </c>
      <c r="D261" s="0" t="s">
        <v>5002</v>
      </c>
      <c r="E261" s="0" t="s">
        <v>5003</v>
      </c>
      <c r="F261" s="0" t="s">
        <v>4288</v>
      </c>
      <c r="G261" s="0" t="s">
        <v>5004</v>
      </c>
    </row>
    <row customHeight="1" ht="11.25">
      <c r="A262" s="373" t="s">
        <v>14</v>
      </c>
      <c r="B262" s="0" t="s">
        <v>4985</v>
      </c>
      <c r="C262" s="0" t="s">
        <v>4986</v>
      </c>
      <c r="D262" s="0" t="s">
        <v>5005</v>
      </c>
      <c r="E262" s="0" t="s">
        <v>5006</v>
      </c>
      <c r="F262" s="0" t="s">
        <v>4288</v>
      </c>
      <c r="G262" s="0" t="s">
        <v>5007</v>
      </c>
    </row>
    <row customHeight="1" ht="11.25">
      <c r="A263" s="373" t="s">
        <v>14</v>
      </c>
      <c r="B263" s="0" t="s">
        <v>4985</v>
      </c>
      <c r="C263" s="0" t="s">
        <v>4986</v>
      </c>
      <c r="D263" s="0" t="s">
        <v>5008</v>
      </c>
      <c r="E263" s="0" t="s">
        <v>5009</v>
      </c>
      <c r="F263" s="0" t="s">
        <v>4288</v>
      </c>
      <c r="G263" s="0" t="s">
        <v>5010</v>
      </c>
    </row>
    <row customHeight="1" ht="11.25">
      <c r="A264" s="373" t="s">
        <v>14</v>
      </c>
      <c r="B264" s="0" t="s">
        <v>4985</v>
      </c>
      <c r="C264" s="0" t="s">
        <v>4986</v>
      </c>
      <c r="D264" s="0" t="s">
        <v>5011</v>
      </c>
      <c r="E264" s="0" t="s">
        <v>5012</v>
      </c>
      <c r="F264" s="0" t="s">
        <v>4288</v>
      </c>
      <c r="G264" s="0" t="s">
        <v>5013</v>
      </c>
    </row>
    <row customHeight="1" ht="11.25">
      <c r="A265" s="373" t="s">
        <v>14</v>
      </c>
      <c r="B265" s="0" t="s">
        <v>4985</v>
      </c>
      <c r="C265" s="0" t="s">
        <v>4986</v>
      </c>
      <c r="D265" s="0" t="s">
        <v>5014</v>
      </c>
      <c r="E265" s="0" t="s">
        <v>5015</v>
      </c>
      <c r="F265" s="0" t="s">
        <v>4288</v>
      </c>
      <c r="G265" s="0" t="s">
        <v>5016</v>
      </c>
    </row>
    <row customHeight="1" ht="11.25">
      <c r="A266" s="373" t="s">
        <v>14</v>
      </c>
      <c r="B266" s="0" t="s">
        <v>4985</v>
      </c>
      <c r="C266" s="0" t="s">
        <v>4986</v>
      </c>
      <c r="D266" s="0" t="s">
        <v>5017</v>
      </c>
      <c r="E266" s="0" t="s">
        <v>5018</v>
      </c>
      <c r="F266" s="0" t="s">
        <v>4288</v>
      </c>
      <c r="G266" s="0" t="s">
        <v>5019</v>
      </c>
    </row>
    <row customHeight="1" ht="11.25">
      <c r="A267" s="373" t="s">
        <v>14</v>
      </c>
      <c r="B267" s="0" t="s">
        <v>4985</v>
      </c>
      <c r="C267" s="0" t="s">
        <v>4986</v>
      </c>
      <c r="D267" s="0" t="s">
        <v>4985</v>
      </c>
      <c r="E267" s="0" t="s">
        <v>4986</v>
      </c>
      <c r="F267" s="0" t="s">
        <v>4285</v>
      </c>
      <c r="G267" s="0" t="s">
        <v>5020</v>
      </c>
    </row>
    <row customHeight="1" ht="11.25">
      <c r="A268" s="373" t="s">
        <v>14</v>
      </c>
      <c r="B268" s="0" t="s">
        <v>4985</v>
      </c>
      <c r="C268" s="0" t="s">
        <v>4986</v>
      </c>
      <c r="D268" s="0" t="s">
        <v>5021</v>
      </c>
      <c r="E268" s="0" t="s">
        <v>5022</v>
      </c>
      <c r="F268" s="0" t="s">
        <v>4327</v>
      </c>
      <c r="G268" s="0" t="s">
        <v>5023</v>
      </c>
    </row>
    <row customHeight="1" ht="11.25">
      <c r="A269" s="373" t="s">
        <v>14</v>
      </c>
      <c r="B269" s="0" t="s">
        <v>4985</v>
      </c>
      <c r="C269" s="0" t="s">
        <v>4986</v>
      </c>
      <c r="D269" s="0" t="s">
        <v>5024</v>
      </c>
      <c r="E269" s="0" t="s">
        <v>5025</v>
      </c>
      <c r="F269" s="0" t="s">
        <v>4288</v>
      </c>
      <c r="G269" s="0" t="s">
        <v>5026</v>
      </c>
    </row>
    <row customHeight="1" ht="11.25">
      <c r="A270" s="373" t="s">
        <v>14</v>
      </c>
      <c r="B270" s="0" t="s">
        <v>4985</v>
      </c>
      <c r="C270" s="0" t="s">
        <v>4986</v>
      </c>
      <c r="D270" s="0" t="s">
        <v>5027</v>
      </c>
      <c r="E270" s="0" t="s">
        <v>5028</v>
      </c>
      <c r="F270" s="0" t="s">
        <v>4288</v>
      </c>
      <c r="G270" s="0" t="s">
        <v>5029</v>
      </c>
    </row>
    <row customHeight="1" ht="11.25">
      <c r="A271" s="373" t="s">
        <v>14</v>
      </c>
      <c r="B271" s="0" t="s">
        <v>4985</v>
      </c>
      <c r="C271" s="0" t="s">
        <v>4986</v>
      </c>
      <c r="D271" s="0" t="s">
        <v>5030</v>
      </c>
      <c r="E271" s="0" t="s">
        <v>5031</v>
      </c>
      <c r="F271" s="0" t="s">
        <v>4288</v>
      </c>
      <c r="G271" s="0" t="s">
        <v>5032</v>
      </c>
    </row>
    <row customHeight="1" ht="11.25">
      <c r="A272" s="373" t="s">
        <v>14</v>
      </c>
      <c r="B272" s="0" t="s">
        <v>4985</v>
      </c>
      <c r="C272" s="0" t="s">
        <v>4986</v>
      </c>
      <c r="D272" s="0" t="s">
        <v>5033</v>
      </c>
      <c r="E272" s="0" t="s">
        <v>5034</v>
      </c>
      <c r="F272" s="0" t="s">
        <v>4288</v>
      </c>
      <c r="G272" s="0" t="s">
        <v>5035</v>
      </c>
    </row>
    <row customHeight="1" ht="11.25">
      <c r="A273" s="373" t="s">
        <v>14</v>
      </c>
      <c r="B273" s="0" t="s">
        <v>4985</v>
      </c>
      <c r="C273" s="0" t="s">
        <v>4986</v>
      </c>
      <c r="D273" s="0" t="s">
        <v>5036</v>
      </c>
      <c r="E273" s="0" t="s">
        <v>5037</v>
      </c>
      <c r="F273" s="0" t="s">
        <v>4330</v>
      </c>
      <c r="G273" s="0" t="s">
        <v>5038</v>
      </c>
    </row>
    <row customHeight="1" ht="11.25">
      <c r="A274" s="373" t="s">
        <v>14</v>
      </c>
      <c r="B274" s="0" t="s">
        <v>4985</v>
      </c>
      <c r="C274" s="0" t="s">
        <v>4986</v>
      </c>
      <c r="D274" s="0" t="s">
        <v>5039</v>
      </c>
      <c r="E274" s="0" t="s">
        <v>5040</v>
      </c>
      <c r="F274" s="0" t="s">
        <v>4288</v>
      </c>
      <c r="G274" s="0" t="s">
        <v>5041</v>
      </c>
    </row>
    <row customHeight="1" ht="11.25">
      <c r="A275" s="373" t="s">
        <v>14</v>
      </c>
      <c r="B275" s="0" t="s">
        <v>4985</v>
      </c>
      <c r="C275" s="0" t="s">
        <v>4986</v>
      </c>
      <c r="D275" s="0" t="s">
        <v>5042</v>
      </c>
      <c r="E275" s="0" t="s">
        <v>5043</v>
      </c>
      <c r="F275" s="0" t="s">
        <v>4288</v>
      </c>
      <c r="G275" s="0" t="s">
        <v>5044</v>
      </c>
    </row>
    <row customHeight="1" ht="11.25">
      <c r="A276" s="373" t="s">
        <v>14</v>
      </c>
      <c r="B276" s="0" t="s">
        <v>4985</v>
      </c>
      <c r="C276" s="0" t="s">
        <v>4986</v>
      </c>
      <c r="D276" s="0" t="s">
        <v>5045</v>
      </c>
      <c r="E276" s="0" t="s">
        <v>5046</v>
      </c>
      <c r="F276" s="0" t="s">
        <v>4288</v>
      </c>
      <c r="G276" s="0" t="s">
        <v>5047</v>
      </c>
    </row>
    <row customHeight="1" ht="11.25">
      <c r="A277" s="373" t="s">
        <v>14</v>
      </c>
      <c r="B277" s="0" t="s">
        <v>4985</v>
      </c>
      <c r="C277" s="0" t="s">
        <v>4986</v>
      </c>
      <c r="D277" s="0" t="s">
        <v>5048</v>
      </c>
      <c r="E277" s="0" t="s">
        <v>5049</v>
      </c>
      <c r="F277" s="0" t="s">
        <v>4288</v>
      </c>
      <c r="G277" s="0" t="s">
        <v>5050</v>
      </c>
    </row>
    <row customHeight="1" ht="11.25">
      <c r="A278" s="373" t="s">
        <v>14</v>
      </c>
      <c r="B278" s="0" t="s">
        <v>4985</v>
      </c>
      <c r="C278" s="0" t="s">
        <v>4986</v>
      </c>
      <c r="D278" s="0" t="s">
        <v>5051</v>
      </c>
      <c r="E278" s="0" t="s">
        <v>5052</v>
      </c>
      <c r="F278" s="0" t="s">
        <v>4288</v>
      </c>
      <c r="G278" s="0" t="s">
        <v>5053</v>
      </c>
    </row>
    <row customHeight="1" ht="11.25">
      <c r="A279" s="373" t="s">
        <v>14</v>
      </c>
      <c r="B279" s="0" t="s">
        <v>4985</v>
      </c>
      <c r="C279" s="0" t="s">
        <v>4986</v>
      </c>
      <c r="D279" s="0" t="s">
        <v>5054</v>
      </c>
      <c r="E279" s="0" t="s">
        <v>5055</v>
      </c>
      <c r="F279" s="0" t="s">
        <v>4330</v>
      </c>
      <c r="G279" s="0" t="s">
        <v>5056</v>
      </c>
    </row>
    <row customHeight="1" ht="11.25">
      <c r="A280" s="373" t="s">
        <v>14</v>
      </c>
      <c r="B280" s="0" t="s">
        <v>5057</v>
      </c>
      <c r="C280" s="0" t="s">
        <v>5058</v>
      </c>
      <c r="D280" s="0" t="s">
        <v>5059</v>
      </c>
      <c r="E280" s="0" t="s">
        <v>5060</v>
      </c>
      <c r="F280" s="0" t="s">
        <v>4288</v>
      </c>
      <c r="G280" s="0" t="s">
        <v>5061</v>
      </c>
    </row>
    <row customHeight="1" ht="11.25">
      <c r="A281" s="373" t="s">
        <v>14</v>
      </c>
      <c r="B281" s="0" t="s">
        <v>5057</v>
      </c>
      <c r="C281" s="0" t="s">
        <v>5058</v>
      </c>
      <c r="D281" s="0" t="s">
        <v>5062</v>
      </c>
      <c r="E281" s="0" t="s">
        <v>5063</v>
      </c>
      <c r="F281" s="0" t="s">
        <v>4288</v>
      </c>
      <c r="G281" s="0" t="s">
        <v>5064</v>
      </c>
    </row>
    <row customHeight="1" ht="11.25">
      <c r="A282" s="373" t="s">
        <v>14</v>
      </c>
      <c r="B282" s="0" t="s">
        <v>5057</v>
      </c>
      <c r="C282" s="0" t="s">
        <v>5058</v>
      </c>
      <c r="D282" s="0" t="s">
        <v>5065</v>
      </c>
      <c r="E282" s="0" t="s">
        <v>5066</v>
      </c>
      <c r="F282" s="0" t="s">
        <v>4288</v>
      </c>
      <c r="G282" s="0" t="s">
        <v>5067</v>
      </c>
    </row>
    <row customHeight="1" ht="11.25">
      <c r="A283" s="373" t="s">
        <v>14</v>
      </c>
      <c r="B283" s="0" t="s">
        <v>5057</v>
      </c>
      <c r="C283" s="0" t="s">
        <v>5058</v>
      </c>
      <c r="D283" s="0" t="s">
        <v>5068</v>
      </c>
      <c r="E283" s="0" t="s">
        <v>5069</v>
      </c>
      <c r="F283" s="0" t="s">
        <v>4288</v>
      </c>
      <c r="G283" s="0" t="s">
        <v>5070</v>
      </c>
    </row>
    <row customHeight="1" ht="11.25">
      <c r="A284" s="373" t="s">
        <v>14</v>
      </c>
      <c r="B284" s="0" t="s">
        <v>5057</v>
      </c>
      <c r="C284" s="0" t="s">
        <v>5058</v>
      </c>
      <c r="D284" s="0" t="s">
        <v>5057</v>
      </c>
      <c r="E284" s="0" t="s">
        <v>5058</v>
      </c>
      <c r="F284" s="0" t="s">
        <v>4285</v>
      </c>
      <c r="G284" s="0" t="s">
        <v>5071</v>
      </c>
    </row>
    <row customHeight="1" ht="11.25">
      <c r="A285" s="373" t="s">
        <v>14</v>
      </c>
      <c r="B285" s="0" t="s">
        <v>5057</v>
      </c>
      <c r="C285" s="0" t="s">
        <v>5058</v>
      </c>
      <c r="D285" s="0" t="s">
        <v>5072</v>
      </c>
      <c r="E285" s="0" t="s">
        <v>5073</v>
      </c>
      <c r="F285" s="0" t="s">
        <v>4288</v>
      </c>
      <c r="G285" s="0" t="s">
        <v>5074</v>
      </c>
    </row>
    <row customHeight="1" ht="11.25">
      <c r="A286" s="373" t="s">
        <v>14</v>
      </c>
      <c r="B286" s="0" t="s">
        <v>5057</v>
      </c>
      <c r="C286" s="0" t="s">
        <v>5058</v>
      </c>
      <c r="D286" s="0" t="s">
        <v>5075</v>
      </c>
      <c r="E286" s="0" t="s">
        <v>5076</v>
      </c>
      <c r="F286" s="0" t="s">
        <v>4288</v>
      </c>
      <c r="G286" s="0" t="s">
        <v>5077</v>
      </c>
    </row>
    <row customHeight="1" ht="11.25">
      <c r="A287" s="373" t="s">
        <v>14</v>
      </c>
      <c r="B287" s="0" t="s">
        <v>5057</v>
      </c>
      <c r="C287" s="0" t="s">
        <v>5058</v>
      </c>
      <c r="D287" s="0" t="s">
        <v>5078</v>
      </c>
      <c r="E287" s="0" t="s">
        <v>5079</v>
      </c>
      <c r="F287" s="0" t="s">
        <v>4288</v>
      </c>
      <c r="G287" s="0" t="s">
        <v>5080</v>
      </c>
    </row>
    <row customHeight="1" ht="11.25">
      <c r="A288" s="373" t="s">
        <v>14</v>
      </c>
      <c r="B288" s="0" t="s">
        <v>5057</v>
      </c>
      <c r="C288" s="0" t="s">
        <v>5058</v>
      </c>
      <c r="D288" s="0" t="s">
        <v>5081</v>
      </c>
      <c r="E288" s="0" t="s">
        <v>5082</v>
      </c>
      <c r="F288" s="0" t="s">
        <v>4288</v>
      </c>
      <c r="G288" s="0" t="s">
        <v>5083</v>
      </c>
    </row>
    <row customHeight="1" ht="11.25">
      <c r="A289" s="373" t="s">
        <v>14</v>
      </c>
      <c r="B289" s="0" t="s">
        <v>5057</v>
      </c>
      <c r="C289" s="0" t="s">
        <v>5058</v>
      </c>
      <c r="D289" s="0" t="s">
        <v>5084</v>
      </c>
      <c r="E289" s="0" t="s">
        <v>5085</v>
      </c>
      <c r="F289" s="0" t="s">
        <v>4288</v>
      </c>
      <c r="G289" s="0" t="s">
        <v>5086</v>
      </c>
    </row>
    <row customHeight="1" ht="11.25">
      <c r="A290" s="373" t="s">
        <v>14</v>
      </c>
      <c r="B290" s="0" t="s">
        <v>5057</v>
      </c>
      <c r="C290" s="0" t="s">
        <v>5058</v>
      </c>
      <c r="D290" s="0" t="s">
        <v>5087</v>
      </c>
      <c r="E290" s="0" t="s">
        <v>5088</v>
      </c>
      <c r="F290" s="0" t="s">
        <v>4288</v>
      </c>
      <c r="G290" s="0" t="s">
        <v>5089</v>
      </c>
    </row>
    <row customHeight="1" ht="11.25">
      <c r="A291" s="373" t="s">
        <v>14</v>
      </c>
      <c r="B291" s="0" t="s">
        <v>5090</v>
      </c>
      <c r="C291" s="0" t="s">
        <v>5091</v>
      </c>
      <c r="D291" s="0" t="s">
        <v>5092</v>
      </c>
      <c r="E291" s="0" t="s">
        <v>5093</v>
      </c>
      <c r="F291" s="0" t="s">
        <v>4288</v>
      </c>
      <c r="G291" s="0" t="s">
        <v>5094</v>
      </c>
    </row>
    <row customHeight="1" ht="11.25">
      <c r="A292" s="373" t="s">
        <v>14</v>
      </c>
      <c r="B292" s="0" t="s">
        <v>5090</v>
      </c>
      <c r="C292" s="0" t="s">
        <v>5091</v>
      </c>
      <c r="D292" s="0" t="s">
        <v>5095</v>
      </c>
      <c r="E292" s="0" t="s">
        <v>5096</v>
      </c>
      <c r="F292" s="0" t="s">
        <v>4288</v>
      </c>
      <c r="G292" s="0" t="s">
        <v>5097</v>
      </c>
    </row>
    <row customHeight="1" ht="11.25">
      <c r="A293" s="373" t="s">
        <v>14</v>
      </c>
      <c r="B293" s="0" t="s">
        <v>5090</v>
      </c>
      <c r="C293" s="0" t="s">
        <v>5091</v>
      </c>
      <c r="D293" s="0" t="s">
        <v>5098</v>
      </c>
      <c r="E293" s="0" t="s">
        <v>5099</v>
      </c>
      <c r="F293" s="0" t="s">
        <v>4288</v>
      </c>
      <c r="G293" s="0" t="s">
        <v>5100</v>
      </c>
    </row>
    <row customHeight="1" ht="11.25">
      <c r="A294" s="373" t="s">
        <v>14</v>
      </c>
      <c r="B294" s="0" t="s">
        <v>5090</v>
      </c>
      <c r="C294" s="0" t="s">
        <v>5091</v>
      </c>
      <c r="D294" s="0" t="s">
        <v>5090</v>
      </c>
      <c r="E294" s="0" t="s">
        <v>5091</v>
      </c>
      <c r="F294" s="0" t="s">
        <v>4285</v>
      </c>
      <c r="G294" s="0" t="s">
        <v>5101</v>
      </c>
    </row>
    <row customHeight="1" ht="11.25">
      <c r="A295" s="373" t="s">
        <v>14</v>
      </c>
      <c r="B295" s="0" t="s">
        <v>5090</v>
      </c>
      <c r="C295" s="0" t="s">
        <v>5091</v>
      </c>
      <c r="D295" s="0" t="s">
        <v>5102</v>
      </c>
      <c r="E295" s="0" t="s">
        <v>5103</v>
      </c>
      <c r="F295" s="0" t="s">
        <v>4288</v>
      </c>
      <c r="G295" s="0" t="s">
        <v>5104</v>
      </c>
    </row>
    <row customHeight="1" ht="11.25">
      <c r="A296" s="373" t="s">
        <v>14</v>
      </c>
      <c r="B296" s="0" t="s">
        <v>5090</v>
      </c>
      <c r="C296" s="0" t="s">
        <v>5091</v>
      </c>
      <c r="D296" s="0" t="s">
        <v>5105</v>
      </c>
      <c r="E296" s="0" t="s">
        <v>5106</v>
      </c>
      <c r="F296" s="0" t="s">
        <v>4330</v>
      </c>
      <c r="G296" s="0" t="s">
        <v>5107</v>
      </c>
    </row>
    <row customHeight="1" ht="11.25">
      <c r="A297" s="373" t="s">
        <v>14</v>
      </c>
      <c r="B297" s="0" t="s">
        <v>5090</v>
      </c>
      <c r="C297" s="0" t="s">
        <v>5091</v>
      </c>
      <c r="D297" s="0" t="s">
        <v>5108</v>
      </c>
      <c r="E297" s="0" t="s">
        <v>5109</v>
      </c>
      <c r="F297" s="0" t="s">
        <v>4288</v>
      </c>
      <c r="G297" s="0" t="s">
        <v>5110</v>
      </c>
    </row>
    <row customHeight="1" ht="11.25">
      <c r="A298" s="373" t="s">
        <v>14</v>
      </c>
      <c r="B298" s="0" t="s">
        <v>5090</v>
      </c>
      <c r="C298" s="0" t="s">
        <v>5091</v>
      </c>
      <c r="D298" s="0" t="s">
        <v>5111</v>
      </c>
      <c r="E298" s="0" t="s">
        <v>5112</v>
      </c>
      <c r="F298" s="0" t="s">
        <v>4288</v>
      </c>
      <c r="G298" s="0" t="s">
        <v>5113</v>
      </c>
    </row>
    <row customHeight="1" ht="11.25">
      <c r="A299" s="373" t="s">
        <v>14</v>
      </c>
      <c r="B299" s="0" t="s">
        <v>5114</v>
      </c>
      <c r="C299" s="0" t="s">
        <v>5115</v>
      </c>
      <c r="D299" s="0" t="s">
        <v>5116</v>
      </c>
      <c r="E299" s="0" t="s">
        <v>5117</v>
      </c>
      <c r="F299" s="0" t="s">
        <v>4288</v>
      </c>
      <c r="G299" s="0" t="s">
        <v>5118</v>
      </c>
    </row>
    <row customHeight="1" ht="11.25">
      <c r="A300" s="373" t="s">
        <v>14</v>
      </c>
      <c r="B300" s="0" t="s">
        <v>5114</v>
      </c>
      <c r="C300" s="0" t="s">
        <v>5115</v>
      </c>
      <c r="D300" s="0" t="s">
        <v>5119</v>
      </c>
      <c r="E300" s="0" t="s">
        <v>5120</v>
      </c>
      <c r="F300" s="0" t="s">
        <v>4288</v>
      </c>
      <c r="G300" s="0" t="s">
        <v>5121</v>
      </c>
    </row>
    <row customHeight="1" ht="11.25">
      <c r="A301" s="373" t="s">
        <v>14</v>
      </c>
      <c r="B301" s="0" t="s">
        <v>5114</v>
      </c>
      <c r="C301" s="0" t="s">
        <v>5115</v>
      </c>
      <c r="D301" s="0" t="s">
        <v>5122</v>
      </c>
      <c r="E301" s="0" t="s">
        <v>5123</v>
      </c>
      <c r="F301" s="0" t="s">
        <v>4288</v>
      </c>
      <c r="G301" s="0" t="s">
        <v>5124</v>
      </c>
    </row>
    <row customHeight="1" ht="11.25">
      <c r="A302" s="373" t="s">
        <v>14</v>
      </c>
      <c r="B302" s="0" t="s">
        <v>5114</v>
      </c>
      <c r="C302" s="0" t="s">
        <v>5115</v>
      </c>
      <c r="D302" s="0" t="s">
        <v>5125</v>
      </c>
      <c r="E302" s="0" t="s">
        <v>5126</v>
      </c>
      <c r="F302" s="0" t="s">
        <v>4288</v>
      </c>
      <c r="G302" s="0" t="s">
        <v>5127</v>
      </c>
    </row>
    <row customHeight="1" ht="11.25">
      <c r="A303" s="373" t="s">
        <v>14</v>
      </c>
      <c r="B303" s="0" t="s">
        <v>5114</v>
      </c>
      <c r="C303" s="0" t="s">
        <v>5115</v>
      </c>
      <c r="D303" s="0" t="s">
        <v>5128</v>
      </c>
      <c r="E303" s="0" t="s">
        <v>5129</v>
      </c>
      <c r="F303" s="0" t="s">
        <v>4288</v>
      </c>
      <c r="G303" s="0" t="s">
        <v>5130</v>
      </c>
    </row>
    <row customHeight="1" ht="11.25">
      <c r="A304" s="373" t="s">
        <v>14</v>
      </c>
      <c r="B304" s="0" t="s">
        <v>5114</v>
      </c>
      <c r="C304" s="0" t="s">
        <v>5115</v>
      </c>
      <c r="D304" s="0" t="s">
        <v>5131</v>
      </c>
      <c r="E304" s="0" t="s">
        <v>5132</v>
      </c>
      <c r="F304" s="0" t="s">
        <v>4288</v>
      </c>
      <c r="G304" s="0" t="s">
        <v>5133</v>
      </c>
    </row>
    <row customHeight="1" ht="11.25">
      <c r="A305" s="373" t="s">
        <v>14</v>
      </c>
      <c r="B305" s="0" t="s">
        <v>5114</v>
      </c>
      <c r="C305" s="0" t="s">
        <v>5115</v>
      </c>
      <c r="D305" s="0" t="s">
        <v>5134</v>
      </c>
      <c r="E305" s="0" t="s">
        <v>5135</v>
      </c>
      <c r="F305" s="0" t="s">
        <v>4288</v>
      </c>
      <c r="G305" s="0" t="s">
        <v>5136</v>
      </c>
    </row>
    <row customHeight="1" ht="11.25">
      <c r="A306" s="373" t="s">
        <v>14</v>
      </c>
      <c r="B306" s="0" t="s">
        <v>5114</v>
      </c>
      <c r="C306" s="0" t="s">
        <v>5115</v>
      </c>
      <c r="D306" s="0" t="s">
        <v>5137</v>
      </c>
      <c r="E306" s="0" t="s">
        <v>5138</v>
      </c>
      <c r="F306" s="0" t="s">
        <v>4288</v>
      </c>
      <c r="G306" s="0" t="s">
        <v>5139</v>
      </c>
    </row>
    <row customHeight="1" ht="11.25">
      <c r="A307" s="373" t="s">
        <v>14</v>
      </c>
      <c r="B307" s="0" t="s">
        <v>5114</v>
      </c>
      <c r="C307" s="0" t="s">
        <v>5115</v>
      </c>
      <c r="D307" s="0" t="s">
        <v>5114</v>
      </c>
      <c r="E307" s="0" t="s">
        <v>5115</v>
      </c>
      <c r="F307" s="0" t="s">
        <v>4285</v>
      </c>
      <c r="G307" s="0" t="s">
        <v>5140</v>
      </c>
    </row>
    <row customHeight="1" ht="11.25">
      <c r="A308" s="373" t="s">
        <v>14</v>
      </c>
      <c r="B308" s="0" t="s">
        <v>5114</v>
      </c>
      <c r="C308" s="0" t="s">
        <v>5115</v>
      </c>
      <c r="D308" s="0" t="s">
        <v>5141</v>
      </c>
      <c r="E308" s="0" t="s">
        <v>5142</v>
      </c>
      <c r="F308" s="0" t="s">
        <v>4288</v>
      </c>
      <c r="G308" s="0" t="s">
        <v>5143</v>
      </c>
    </row>
    <row customHeight="1" ht="11.25">
      <c r="A309" s="373" t="s">
        <v>14</v>
      </c>
      <c r="B309" s="0" t="s">
        <v>5114</v>
      </c>
      <c r="C309" s="0" t="s">
        <v>5115</v>
      </c>
      <c r="D309" s="0" t="s">
        <v>5144</v>
      </c>
      <c r="E309" s="0" t="s">
        <v>5145</v>
      </c>
      <c r="F309" s="0" t="s">
        <v>4288</v>
      </c>
      <c r="G309" s="0" t="s">
        <v>5146</v>
      </c>
    </row>
    <row customHeight="1" ht="11.25">
      <c r="A310" s="373" t="s">
        <v>14</v>
      </c>
      <c r="B310" s="0" t="s">
        <v>5114</v>
      </c>
      <c r="C310" s="0" t="s">
        <v>5115</v>
      </c>
      <c r="D310" s="0" t="s">
        <v>5147</v>
      </c>
      <c r="E310" s="0" t="s">
        <v>5148</v>
      </c>
      <c r="F310" s="0" t="s">
        <v>4288</v>
      </c>
      <c r="G310" s="0" t="s">
        <v>5149</v>
      </c>
    </row>
    <row customHeight="1" ht="11.25">
      <c r="A311" s="373" t="s">
        <v>14</v>
      </c>
      <c r="B311" s="0" t="s">
        <v>5114</v>
      </c>
      <c r="C311" s="0" t="s">
        <v>5115</v>
      </c>
      <c r="D311" s="0" t="s">
        <v>5150</v>
      </c>
      <c r="E311" s="0" t="s">
        <v>5151</v>
      </c>
      <c r="F311" s="0" t="s">
        <v>4288</v>
      </c>
      <c r="G311" s="0" t="s">
        <v>5152</v>
      </c>
    </row>
    <row customHeight="1" ht="11.25">
      <c r="A312" s="373" t="s">
        <v>14</v>
      </c>
      <c r="B312" s="0" t="s">
        <v>5153</v>
      </c>
      <c r="C312" s="0" t="s">
        <v>5154</v>
      </c>
      <c r="D312" s="0" t="s">
        <v>5155</v>
      </c>
      <c r="E312" s="0" t="s">
        <v>5156</v>
      </c>
      <c r="F312" s="0" t="s">
        <v>4327</v>
      </c>
      <c r="G312" s="0" t="s">
        <v>5157</v>
      </c>
    </row>
    <row customHeight="1" ht="11.25">
      <c r="A313" s="373" t="s">
        <v>14</v>
      </c>
      <c r="B313" s="0" t="s">
        <v>5153</v>
      </c>
      <c r="C313" s="0" t="s">
        <v>5154</v>
      </c>
      <c r="D313" s="0" t="s">
        <v>5158</v>
      </c>
      <c r="E313" s="0" t="s">
        <v>5159</v>
      </c>
      <c r="F313" s="0" t="s">
        <v>4288</v>
      </c>
      <c r="G313" s="0" t="s">
        <v>5160</v>
      </c>
    </row>
    <row customHeight="1" ht="11.25">
      <c r="A314" s="373" t="s">
        <v>14</v>
      </c>
      <c r="B314" s="0" t="s">
        <v>5153</v>
      </c>
      <c r="C314" s="0" t="s">
        <v>5154</v>
      </c>
      <c r="D314" s="0" t="s">
        <v>5161</v>
      </c>
      <c r="E314" s="0" t="s">
        <v>5162</v>
      </c>
      <c r="F314" s="0" t="s">
        <v>4330</v>
      </c>
      <c r="G314" s="0" t="s">
        <v>5163</v>
      </c>
    </row>
    <row customHeight="1" ht="11.25">
      <c r="A315" s="373" t="s">
        <v>14</v>
      </c>
      <c r="B315" s="0" t="s">
        <v>5153</v>
      </c>
      <c r="C315" s="0" t="s">
        <v>5154</v>
      </c>
      <c r="D315" s="0" t="s">
        <v>5164</v>
      </c>
      <c r="E315" s="0" t="s">
        <v>5165</v>
      </c>
      <c r="F315" s="0" t="s">
        <v>4288</v>
      </c>
      <c r="G315" s="0" t="s">
        <v>5166</v>
      </c>
    </row>
    <row customHeight="1" ht="11.25">
      <c r="A316" s="373" t="s">
        <v>14</v>
      </c>
      <c r="B316" s="0" t="s">
        <v>5153</v>
      </c>
      <c r="C316" s="0" t="s">
        <v>5154</v>
      </c>
      <c r="D316" s="0" t="s">
        <v>5167</v>
      </c>
      <c r="E316" s="0" t="s">
        <v>5168</v>
      </c>
      <c r="F316" s="0" t="s">
        <v>4288</v>
      </c>
      <c r="G316" s="0" t="s">
        <v>5169</v>
      </c>
    </row>
    <row customHeight="1" ht="11.25">
      <c r="A317" s="373" t="s">
        <v>14</v>
      </c>
      <c r="B317" s="0" t="s">
        <v>5153</v>
      </c>
      <c r="C317" s="0" t="s">
        <v>5154</v>
      </c>
      <c r="D317" s="0" t="s">
        <v>5170</v>
      </c>
      <c r="E317" s="0" t="s">
        <v>5171</v>
      </c>
      <c r="F317" s="0" t="s">
        <v>4288</v>
      </c>
      <c r="G317" s="0" t="s">
        <v>5172</v>
      </c>
    </row>
    <row customHeight="1" ht="11.25">
      <c r="A318" s="373" t="s">
        <v>14</v>
      </c>
      <c r="B318" s="0" t="s">
        <v>5153</v>
      </c>
      <c r="C318" s="0" t="s">
        <v>5154</v>
      </c>
      <c r="D318" s="0" t="s">
        <v>5153</v>
      </c>
      <c r="E318" s="0" t="s">
        <v>5154</v>
      </c>
      <c r="F318" s="0" t="s">
        <v>4285</v>
      </c>
      <c r="G318" s="0" t="s">
        <v>5173</v>
      </c>
    </row>
    <row customHeight="1" ht="11.25">
      <c r="A319" s="373" t="s">
        <v>14</v>
      </c>
      <c r="B319" s="0" t="s">
        <v>5153</v>
      </c>
      <c r="C319" s="0" t="s">
        <v>5154</v>
      </c>
      <c r="D319" s="0" t="s">
        <v>5174</v>
      </c>
      <c r="E319" s="0" t="s">
        <v>5175</v>
      </c>
      <c r="F319" s="0" t="s">
        <v>4327</v>
      </c>
      <c r="G319" s="0" t="s">
        <v>5176</v>
      </c>
    </row>
    <row customHeight="1" ht="11.25">
      <c r="A320" s="373" t="s">
        <v>14</v>
      </c>
      <c r="B320" s="0" t="s">
        <v>5153</v>
      </c>
      <c r="C320" s="0" t="s">
        <v>5154</v>
      </c>
      <c r="D320" s="0" t="s">
        <v>5177</v>
      </c>
      <c r="E320" s="0" t="s">
        <v>5178</v>
      </c>
      <c r="F320" s="0" t="s">
        <v>4288</v>
      </c>
      <c r="G320" s="0" t="s">
        <v>5179</v>
      </c>
    </row>
    <row customHeight="1" ht="11.25">
      <c r="A321" s="373" t="s">
        <v>14</v>
      </c>
      <c r="B321" s="0" t="s">
        <v>100</v>
      </c>
      <c r="C321" s="0" t="s">
        <v>5180</v>
      </c>
      <c r="D321" s="0" t="s">
        <v>5181</v>
      </c>
      <c r="E321" s="0" t="s">
        <v>5182</v>
      </c>
      <c r="F321" s="0" t="s">
        <v>4288</v>
      </c>
      <c r="G321" s="0" t="s">
        <v>5183</v>
      </c>
    </row>
    <row customHeight="1" ht="11.25">
      <c r="A322" s="373" t="s">
        <v>14</v>
      </c>
      <c r="B322" s="0" t="s">
        <v>100</v>
      </c>
      <c r="C322" s="0" t="s">
        <v>5180</v>
      </c>
      <c r="D322" s="0" t="s">
        <v>5184</v>
      </c>
      <c r="E322" s="0" t="s">
        <v>5185</v>
      </c>
      <c r="F322" s="0" t="s">
        <v>4288</v>
      </c>
      <c r="G322" s="0" t="s">
        <v>5186</v>
      </c>
    </row>
    <row customHeight="1" ht="11.25">
      <c r="A323" s="373" t="s">
        <v>14</v>
      </c>
      <c r="B323" s="0" t="s">
        <v>100</v>
      </c>
      <c r="C323" s="0" t="s">
        <v>5180</v>
      </c>
      <c r="D323" s="0" t="s">
        <v>5187</v>
      </c>
      <c r="E323" s="0" t="s">
        <v>5188</v>
      </c>
      <c r="F323" s="0" t="s">
        <v>4327</v>
      </c>
      <c r="G323" s="0" t="s">
        <v>5189</v>
      </c>
    </row>
    <row customHeight="1" ht="11.25">
      <c r="A324" s="373" t="s">
        <v>14</v>
      </c>
      <c r="B324" s="0" t="s">
        <v>100</v>
      </c>
      <c r="C324" s="0" t="s">
        <v>5180</v>
      </c>
      <c r="D324" s="0" t="s">
        <v>5190</v>
      </c>
      <c r="E324" s="0" t="s">
        <v>5191</v>
      </c>
      <c r="F324" s="0" t="s">
        <v>4288</v>
      </c>
      <c r="G324" s="0" t="s">
        <v>5192</v>
      </c>
    </row>
    <row customHeight="1" ht="11.25">
      <c r="A325" s="373" t="s">
        <v>14</v>
      </c>
      <c r="B325" s="0" t="s">
        <v>100</v>
      </c>
      <c r="C325" s="0" t="s">
        <v>5180</v>
      </c>
      <c r="D325" s="0" t="s">
        <v>5193</v>
      </c>
      <c r="E325" s="0" t="s">
        <v>5194</v>
      </c>
      <c r="F325" s="0" t="s">
        <v>4288</v>
      </c>
      <c r="G325" s="0" t="s">
        <v>5195</v>
      </c>
    </row>
    <row customHeight="1" ht="11.25">
      <c r="A326" s="373" t="s">
        <v>14</v>
      </c>
      <c r="B326" s="0" t="s">
        <v>100</v>
      </c>
      <c r="C326" s="0" t="s">
        <v>5180</v>
      </c>
      <c r="D326" s="0" t="s">
        <v>5196</v>
      </c>
      <c r="E326" s="0" t="s">
        <v>5197</v>
      </c>
      <c r="F326" s="0" t="s">
        <v>4288</v>
      </c>
      <c r="G326" s="0" t="s">
        <v>5198</v>
      </c>
    </row>
    <row customHeight="1" ht="11.25">
      <c r="A327" s="373" t="s">
        <v>14</v>
      </c>
      <c r="B327" s="0" t="s">
        <v>100</v>
      </c>
      <c r="C327" s="0" t="s">
        <v>5180</v>
      </c>
      <c r="D327" s="0" t="s">
        <v>5199</v>
      </c>
      <c r="E327" s="0" t="s">
        <v>5200</v>
      </c>
      <c r="F327" s="0" t="s">
        <v>4288</v>
      </c>
      <c r="G327" s="0" t="s">
        <v>5201</v>
      </c>
    </row>
    <row customHeight="1" ht="11.25">
      <c r="A328" s="373" t="s">
        <v>14</v>
      </c>
      <c r="B328" s="0" t="s">
        <v>100</v>
      </c>
      <c r="C328" s="0" t="s">
        <v>5180</v>
      </c>
      <c r="D328" s="0" t="s">
        <v>5202</v>
      </c>
      <c r="E328" s="0" t="s">
        <v>5203</v>
      </c>
      <c r="F328" s="0" t="s">
        <v>4288</v>
      </c>
      <c r="G328" s="0" t="s">
        <v>5204</v>
      </c>
    </row>
    <row customHeight="1" ht="11.25">
      <c r="A329" s="373" t="s">
        <v>14</v>
      </c>
      <c r="B329" s="0" t="s">
        <v>100</v>
      </c>
      <c r="C329" s="0" t="s">
        <v>5180</v>
      </c>
      <c r="D329" s="0" t="s">
        <v>5205</v>
      </c>
      <c r="E329" s="0" t="s">
        <v>5206</v>
      </c>
      <c r="F329" s="0" t="s">
        <v>4288</v>
      </c>
      <c r="G329" s="0" t="s">
        <v>5207</v>
      </c>
    </row>
    <row customHeight="1" ht="11.25">
      <c r="A330" s="373" t="s">
        <v>14</v>
      </c>
      <c r="B330" s="0" t="s">
        <v>100</v>
      </c>
      <c r="C330" s="0" t="s">
        <v>5180</v>
      </c>
      <c r="D330" s="0" t="s">
        <v>5208</v>
      </c>
      <c r="E330" s="0" t="s">
        <v>5209</v>
      </c>
      <c r="F330" s="0" t="s">
        <v>4288</v>
      </c>
      <c r="G330" s="0" t="s">
        <v>5210</v>
      </c>
    </row>
    <row customHeight="1" ht="11.25">
      <c r="A331" s="373" t="s">
        <v>14</v>
      </c>
      <c r="B331" s="0" t="s">
        <v>100</v>
      </c>
      <c r="C331" s="0" t="s">
        <v>5180</v>
      </c>
      <c r="D331" s="0" t="s">
        <v>4781</v>
      </c>
      <c r="E331" s="0" t="s">
        <v>5211</v>
      </c>
      <c r="F331" s="0" t="s">
        <v>4288</v>
      </c>
      <c r="G331" s="0" t="s">
        <v>5212</v>
      </c>
    </row>
    <row customHeight="1" ht="11.25">
      <c r="A332" s="373" t="s">
        <v>14</v>
      </c>
      <c r="B332" s="0" t="s">
        <v>100</v>
      </c>
      <c r="C332" s="0" t="s">
        <v>5180</v>
      </c>
      <c r="D332" s="0" t="s">
        <v>5213</v>
      </c>
      <c r="E332" s="0" t="s">
        <v>5214</v>
      </c>
      <c r="F332" s="0" t="s">
        <v>4330</v>
      </c>
      <c r="G332" s="0" t="s">
        <v>5215</v>
      </c>
    </row>
    <row customHeight="1" ht="11.25">
      <c r="A333" s="373" t="s">
        <v>14</v>
      </c>
      <c r="B333" s="0" t="s">
        <v>100</v>
      </c>
      <c r="C333" s="0" t="s">
        <v>5180</v>
      </c>
      <c r="D333" s="0" t="s">
        <v>5216</v>
      </c>
      <c r="E333" s="0" t="s">
        <v>5217</v>
      </c>
      <c r="F333" s="0" t="s">
        <v>4471</v>
      </c>
      <c r="G333" s="0" t="s">
        <v>5218</v>
      </c>
    </row>
    <row customHeight="1" ht="11.25">
      <c r="A334" s="373" t="s">
        <v>14</v>
      </c>
      <c r="B334" s="0" t="s">
        <v>100</v>
      </c>
      <c r="C334" s="0" t="s">
        <v>5180</v>
      </c>
      <c r="D334" s="0" t="s">
        <v>5219</v>
      </c>
      <c r="E334" s="0" t="s">
        <v>5220</v>
      </c>
      <c r="F334" s="0" t="s">
        <v>4288</v>
      </c>
      <c r="G334" s="0" t="s">
        <v>5221</v>
      </c>
    </row>
    <row customHeight="1" ht="11.25">
      <c r="A335" s="373" t="s">
        <v>14</v>
      </c>
      <c r="B335" s="0" t="s">
        <v>100</v>
      </c>
      <c r="C335" s="0" t="s">
        <v>5180</v>
      </c>
      <c r="D335" s="0" t="s">
        <v>5222</v>
      </c>
      <c r="E335" s="0" t="s">
        <v>5223</v>
      </c>
      <c r="F335" s="0" t="s">
        <v>4288</v>
      </c>
      <c r="G335" s="0" t="s">
        <v>5224</v>
      </c>
    </row>
    <row customHeight="1" ht="11.25">
      <c r="A336" s="373" t="s">
        <v>14</v>
      </c>
      <c r="B336" s="0" t="s">
        <v>100</v>
      </c>
      <c r="C336" s="0" t="s">
        <v>5180</v>
      </c>
      <c r="D336" s="0" t="s">
        <v>5225</v>
      </c>
      <c r="E336" s="0" t="s">
        <v>5226</v>
      </c>
      <c r="F336" s="0" t="s">
        <v>4288</v>
      </c>
      <c r="G336" s="0" t="s">
        <v>5227</v>
      </c>
    </row>
    <row customHeight="1" ht="11.25">
      <c r="A337" s="373" t="s">
        <v>14</v>
      </c>
      <c r="B337" s="0" t="s">
        <v>100</v>
      </c>
      <c r="C337" s="0" t="s">
        <v>5180</v>
      </c>
      <c r="D337" s="0" t="s">
        <v>5228</v>
      </c>
      <c r="E337" s="0" t="s">
        <v>5229</v>
      </c>
      <c r="F337" s="0" t="s">
        <v>4330</v>
      </c>
      <c r="G337" s="0" t="s">
        <v>5230</v>
      </c>
    </row>
    <row customHeight="1" ht="11.25">
      <c r="A338" s="373" t="s">
        <v>14</v>
      </c>
      <c r="B338" s="0" t="s">
        <v>100</v>
      </c>
      <c r="C338" s="0" t="s">
        <v>5180</v>
      </c>
      <c r="D338" s="0" t="s">
        <v>5231</v>
      </c>
      <c r="E338" s="0" t="s">
        <v>5232</v>
      </c>
      <c r="F338" s="0" t="s">
        <v>4288</v>
      </c>
      <c r="G338" s="0" t="s">
        <v>5233</v>
      </c>
    </row>
    <row customHeight="1" ht="11.25">
      <c r="A339" s="373" t="s">
        <v>14</v>
      </c>
      <c r="B339" s="0" t="s">
        <v>100</v>
      </c>
      <c r="C339" s="0" t="s">
        <v>5180</v>
      </c>
      <c r="D339" s="0" t="s">
        <v>5234</v>
      </c>
      <c r="E339" s="0" t="s">
        <v>5235</v>
      </c>
      <c r="F339" s="0" t="s">
        <v>4288</v>
      </c>
      <c r="G339" s="0" t="s">
        <v>5236</v>
      </c>
    </row>
    <row customHeight="1" ht="11.25">
      <c r="A340" s="373" t="s">
        <v>14</v>
      </c>
      <c r="B340" s="0" t="s">
        <v>100</v>
      </c>
      <c r="C340" s="0" t="s">
        <v>5180</v>
      </c>
      <c r="D340" s="0" t="s">
        <v>5237</v>
      </c>
      <c r="E340" s="0" t="s">
        <v>5238</v>
      </c>
      <c r="F340" s="0" t="s">
        <v>4288</v>
      </c>
      <c r="G340" s="0" t="s">
        <v>5239</v>
      </c>
    </row>
    <row customHeight="1" ht="11.25">
      <c r="A341" s="373" t="s">
        <v>14</v>
      </c>
      <c r="B341" s="0" t="s">
        <v>100</v>
      </c>
      <c r="C341" s="0" t="s">
        <v>5180</v>
      </c>
      <c r="D341" s="0" t="s">
        <v>5240</v>
      </c>
      <c r="E341" s="0" t="s">
        <v>5241</v>
      </c>
      <c r="F341" s="0" t="s">
        <v>4288</v>
      </c>
      <c r="G341" s="0" t="s">
        <v>5242</v>
      </c>
    </row>
    <row customHeight="1" ht="11.25">
      <c r="A342" s="373" t="s">
        <v>14</v>
      </c>
      <c r="B342" s="0" t="s">
        <v>100</v>
      </c>
      <c r="C342" s="0" t="s">
        <v>5180</v>
      </c>
      <c r="D342" s="0" t="s">
        <v>5243</v>
      </c>
      <c r="E342" s="0" t="s">
        <v>5244</v>
      </c>
      <c r="F342" s="0" t="s">
        <v>4288</v>
      </c>
      <c r="G342" s="0" t="s">
        <v>5245</v>
      </c>
    </row>
    <row customHeight="1" ht="11.25">
      <c r="A343" s="373" t="s">
        <v>14</v>
      </c>
      <c r="B343" s="0" t="s">
        <v>100</v>
      </c>
      <c r="C343" s="0" t="s">
        <v>5180</v>
      </c>
      <c r="D343" s="0" t="s">
        <v>5246</v>
      </c>
      <c r="E343" s="0" t="s">
        <v>5247</v>
      </c>
      <c r="F343" s="0" t="s">
        <v>4288</v>
      </c>
      <c r="G343" s="0" t="s">
        <v>5248</v>
      </c>
    </row>
    <row customHeight="1" ht="11.25">
      <c r="A344" s="373" t="s">
        <v>14</v>
      </c>
      <c r="B344" s="0" t="s">
        <v>100</v>
      </c>
      <c r="C344" s="0" t="s">
        <v>5180</v>
      </c>
      <c r="D344" s="0" t="s">
        <v>100</v>
      </c>
      <c r="E344" s="0" t="s">
        <v>5180</v>
      </c>
      <c r="F344" s="0" t="s">
        <v>4285</v>
      </c>
      <c r="G344" s="0" t="s">
        <v>5249</v>
      </c>
    </row>
    <row customHeight="1" ht="11.25">
      <c r="A345" s="373" t="s">
        <v>14</v>
      </c>
      <c r="B345" s="0" t="s">
        <v>100</v>
      </c>
      <c r="C345" s="0" t="s">
        <v>5180</v>
      </c>
      <c r="D345" s="0" t="s">
        <v>101</v>
      </c>
      <c r="E345" s="0" t="s">
        <v>102</v>
      </c>
      <c r="F345" s="0" t="s">
        <v>4327</v>
      </c>
      <c r="G345" s="0" t="s">
        <v>99</v>
      </c>
    </row>
    <row customHeight="1" ht="11.25">
      <c r="A346" s="373" t="s">
        <v>14</v>
      </c>
      <c r="B346" s="0" t="s">
        <v>100</v>
      </c>
      <c r="C346" s="0" t="s">
        <v>5180</v>
      </c>
      <c r="D346" s="0" t="s">
        <v>5250</v>
      </c>
      <c r="E346" s="0" t="s">
        <v>5251</v>
      </c>
      <c r="F346" s="0" t="s">
        <v>4288</v>
      </c>
      <c r="G346" s="0" t="s">
        <v>5252</v>
      </c>
    </row>
    <row customHeight="1" ht="11.25">
      <c r="A347" s="373" t="s">
        <v>14</v>
      </c>
      <c r="B347" s="0" t="s">
        <v>100</v>
      </c>
      <c r="C347" s="0" t="s">
        <v>5180</v>
      </c>
      <c r="D347" s="0" t="s">
        <v>5253</v>
      </c>
      <c r="E347" s="0" t="s">
        <v>5254</v>
      </c>
      <c r="F347" s="0" t="s">
        <v>4288</v>
      </c>
      <c r="G347" s="0" t="s">
        <v>5255</v>
      </c>
    </row>
    <row customHeight="1" ht="11.25">
      <c r="A348" s="373" t="s">
        <v>14</v>
      </c>
      <c r="B348" s="0" t="s">
        <v>100</v>
      </c>
      <c r="C348" s="0" t="s">
        <v>5180</v>
      </c>
      <c r="D348" s="0" t="s">
        <v>5256</v>
      </c>
      <c r="E348" s="0" t="s">
        <v>5257</v>
      </c>
      <c r="F348" s="0" t="s">
        <v>4288</v>
      </c>
      <c r="G348" s="0" t="s">
        <v>5258</v>
      </c>
    </row>
    <row customHeight="1" ht="11.25">
      <c r="A349" s="373" t="s">
        <v>14</v>
      </c>
      <c r="B349" s="0" t="s">
        <v>100</v>
      </c>
      <c r="C349" s="0" t="s">
        <v>5180</v>
      </c>
      <c r="D349" s="0" t="s">
        <v>5259</v>
      </c>
      <c r="E349" s="0" t="s">
        <v>5260</v>
      </c>
      <c r="F349" s="0" t="s">
        <v>4288</v>
      </c>
      <c r="G349" s="0" t="s">
        <v>5261</v>
      </c>
    </row>
    <row customHeight="1" ht="11.25">
      <c r="A350" s="373" t="s">
        <v>14</v>
      </c>
      <c r="B350" s="0" t="s">
        <v>100</v>
      </c>
      <c r="C350" s="0" t="s">
        <v>5180</v>
      </c>
      <c r="D350" s="0" t="s">
        <v>5262</v>
      </c>
      <c r="E350" s="0" t="s">
        <v>5263</v>
      </c>
      <c r="F350" s="0" t="s">
        <v>4288</v>
      </c>
      <c r="G350" s="0" t="s">
        <v>5264</v>
      </c>
    </row>
    <row customHeight="1" ht="11.25">
      <c r="A351" s="373" t="s">
        <v>14</v>
      </c>
      <c r="B351" s="0" t="s">
        <v>100</v>
      </c>
      <c r="C351" s="0" t="s">
        <v>5180</v>
      </c>
      <c r="D351" s="0" t="s">
        <v>5265</v>
      </c>
      <c r="E351" s="0" t="s">
        <v>5266</v>
      </c>
      <c r="F351" s="0" t="s">
        <v>4288</v>
      </c>
      <c r="G351" s="0" t="s">
        <v>5267</v>
      </c>
    </row>
    <row customHeight="1" ht="11.25">
      <c r="A352" s="373" t="s">
        <v>14</v>
      </c>
      <c r="B352" s="0" t="s">
        <v>100</v>
      </c>
      <c r="C352" s="0" t="s">
        <v>5180</v>
      </c>
      <c r="D352" s="0" t="s">
        <v>5268</v>
      </c>
      <c r="E352" s="0" t="s">
        <v>5269</v>
      </c>
      <c r="F352" s="0" t="s">
        <v>4330</v>
      </c>
      <c r="G352" s="0" t="s">
        <v>5270</v>
      </c>
    </row>
    <row customHeight="1" ht="11.25">
      <c r="A353" s="373" t="s">
        <v>14</v>
      </c>
      <c r="B353" s="0" t="s">
        <v>100</v>
      </c>
      <c r="C353" s="0" t="s">
        <v>5180</v>
      </c>
      <c r="D353" s="0" t="s">
        <v>5271</v>
      </c>
      <c r="E353" s="0" t="s">
        <v>5272</v>
      </c>
      <c r="F353" s="0" t="s">
        <v>4330</v>
      </c>
      <c r="G353" s="0" t="s">
        <v>5273</v>
      </c>
    </row>
    <row customHeight="1" ht="11.25">
      <c r="A354" s="373" t="s">
        <v>14</v>
      </c>
      <c r="B354" s="0" t="s">
        <v>5274</v>
      </c>
      <c r="C354" s="0" t="s">
        <v>5275</v>
      </c>
      <c r="D354" s="0" t="s">
        <v>5276</v>
      </c>
      <c r="E354" s="0" t="s">
        <v>5277</v>
      </c>
      <c r="F354" s="0" t="s">
        <v>4288</v>
      </c>
      <c r="G354" s="0" t="s">
        <v>5278</v>
      </c>
    </row>
    <row customHeight="1" ht="11.25">
      <c r="A355" s="373" t="s">
        <v>14</v>
      </c>
      <c r="B355" s="0" t="s">
        <v>5274</v>
      </c>
      <c r="C355" s="0" t="s">
        <v>5275</v>
      </c>
      <c r="D355" s="0" t="s">
        <v>5279</v>
      </c>
      <c r="E355" s="0" t="s">
        <v>5280</v>
      </c>
      <c r="F355" s="0" t="s">
        <v>4288</v>
      </c>
      <c r="G355" s="0" t="s">
        <v>5281</v>
      </c>
    </row>
    <row customHeight="1" ht="11.25">
      <c r="A356" s="373" t="s">
        <v>14</v>
      </c>
      <c r="B356" s="0" t="s">
        <v>5274</v>
      </c>
      <c r="C356" s="0" t="s">
        <v>5275</v>
      </c>
      <c r="D356" s="0" t="s">
        <v>5282</v>
      </c>
      <c r="E356" s="0" t="s">
        <v>5283</v>
      </c>
      <c r="F356" s="0" t="s">
        <v>4288</v>
      </c>
      <c r="G356" s="0" t="s">
        <v>5284</v>
      </c>
    </row>
    <row customHeight="1" ht="11.25">
      <c r="A357" s="373" t="s">
        <v>14</v>
      </c>
      <c r="B357" s="0" t="s">
        <v>5274</v>
      </c>
      <c r="C357" s="0" t="s">
        <v>5275</v>
      </c>
      <c r="D357" s="0" t="s">
        <v>5285</v>
      </c>
      <c r="E357" s="0" t="s">
        <v>5286</v>
      </c>
      <c r="F357" s="0" t="s">
        <v>4288</v>
      </c>
      <c r="G357" s="0" t="s">
        <v>5287</v>
      </c>
    </row>
    <row customHeight="1" ht="11.25">
      <c r="A358" s="373" t="s">
        <v>14</v>
      </c>
      <c r="B358" s="0" t="s">
        <v>5274</v>
      </c>
      <c r="C358" s="0" t="s">
        <v>5275</v>
      </c>
      <c r="D358" s="0" t="s">
        <v>5288</v>
      </c>
      <c r="E358" s="0" t="s">
        <v>5289</v>
      </c>
      <c r="F358" s="0" t="s">
        <v>4288</v>
      </c>
      <c r="G358" s="0" t="s">
        <v>5290</v>
      </c>
    </row>
    <row customHeight="1" ht="11.25">
      <c r="A359" s="373" t="s">
        <v>14</v>
      </c>
      <c r="B359" s="0" t="s">
        <v>5274</v>
      </c>
      <c r="C359" s="0" t="s">
        <v>5275</v>
      </c>
      <c r="D359" s="0" t="s">
        <v>5291</v>
      </c>
      <c r="E359" s="0" t="s">
        <v>5292</v>
      </c>
      <c r="F359" s="0" t="s">
        <v>4288</v>
      </c>
      <c r="G359" s="0" t="s">
        <v>5293</v>
      </c>
    </row>
    <row customHeight="1" ht="11.25">
      <c r="A360" s="373" t="s">
        <v>14</v>
      </c>
      <c r="B360" s="0" t="s">
        <v>5274</v>
      </c>
      <c r="C360" s="0" t="s">
        <v>5275</v>
      </c>
      <c r="D360" s="0" t="s">
        <v>4556</v>
      </c>
      <c r="E360" s="0" t="s">
        <v>5294</v>
      </c>
      <c r="F360" s="0" t="s">
        <v>4288</v>
      </c>
      <c r="G360" s="0" t="s">
        <v>5295</v>
      </c>
    </row>
    <row customHeight="1" ht="11.25">
      <c r="A361" s="373" t="s">
        <v>14</v>
      </c>
      <c r="B361" s="0" t="s">
        <v>5274</v>
      </c>
      <c r="C361" s="0" t="s">
        <v>5275</v>
      </c>
      <c r="D361" s="0" t="s">
        <v>5296</v>
      </c>
      <c r="E361" s="0" t="s">
        <v>5297</v>
      </c>
      <c r="F361" s="0" t="s">
        <v>4288</v>
      </c>
      <c r="G361" s="0" t="s">
        <v>5298</v>
      </c>
    </row>
    <row customHeight="1" ht="11.25">
      <c r="A362" s="373" t="s">
        <v>14</v>
      </c>
      <c r="B362" s="0" t="s">
        <v>5274</v>
      </c>
      <c r="C362" s="0" t="s">
        <v>5275</v>
      </c>
      <c r="D362" s="0" t="s">
        <v>5299</v>
      </c>
      <c r="E362" s="0" t="s">
        <v>5300</v>
      </c>
      <c r="F362" s="0" t="s">
        <v>4288</v>
      </c>
      <c r="G362" s="0" t="s">
        <v>5301</v>
      </c>
    </row>
    <row customHeight="1" ht="11.25">
      <c r="A363" s="373" t="s">
        <v>14</v>
      </c>
      <c r="B363" s="0" t="s">
        <v>5274</v>
      </c>
      <c r="C363" s="0" t="s">
        <v>5275</v>
      </c>
      <c r="D363" s="0" t="s">
        <v>5302</v>
      </c>
      <c r="E363" s="0" t="s">
        <v>5303</v>
      </c>
      <c r="F363" s="0" t="s">
        <v>4288</v>
      </c>
      <c r="G363" s="0" t="s">
        <v>5304</v>
      </c>
    </row>
    <row customHeight="1" ht="11.25">
      <c r="A364" s="373" t="s">
        <v>14</v>
      </c>
      <c r="B364" s="0" t="s">
        <v>5274</v>
      </c>
      <c r="C364" s="0" t="s">
        <v>5275</v>
      </c>
      <c r="D364" s="0" t="s">
        <v>5305</v>
      </c>
      <c r="E364" s="0" t="s">
        <v>5306</v>
      </c>
      <c r="F364" s="0" t="s">
        <v>4288</v>
      </c>
      <c r="G364" s="0" t="s">
        <v>5307</v>
      </c>
    </row>
    <row customHeight="1" ht="11.25">
      <c r="A365" s="373" t="s">
        <v>14</v>
      </c>
      <c r="B365" s="0" t="s">
        <v>5274</v>
      </c>
      <c r="C365" s="0" t="s">
        <v>5275</v>
      </c>
      <c r="D365" s="0" t="s">
        <v>5308</v>
      </c>
      <c r="E365" s="0" t="s">
        <v>5309</v>
      </c>
      <c r="F365" s="0" t="s">
        <v>4288</v>
      </c>
      <c r="G365" s="0" t="s">
        <v>5310</v>
      </c>
    </row>
    <row customHeight="1" ht="11.25">
      <c r="A366" s="373" t="s">
        <v>14</v>
      </c>
      <c r="B366" s="0" t="s">
        <v>5274</v>
      </c>
      <c r="C366" s="0" t="s">
        <v>5275</v>
      </c>
      <c r="D366" s="0" t="s">
        <v>5311</v>
      </c>
      <c r="E366" s="0" t="s">
        <v>5312</v>
      </c>
      <c r="F366" s="0" t="s">
        <v>4288</v>
      </c>
      <c r="G366" s="0" t="s">
        <v>5313</v>
      </c>
    </row>
    <row customHeight="1" ht="11.25">
      <c r="A367" s="373" t="s">
        <v>14</v>
      </c>
      <c r="B367" s="0" t="s">
        <v>5274</v>
      </c>
      <c r="C367" s="0" t="s">
        <v>5275</v>
      </c>
      <c r="D367" s="0" t="s">
        <v>5314</v>
      </c>
      <c r="E367" s="0" t="s">
        <v>5315</v>
      </c>
      <c r="F367" s="0" t="s">
        <v>4288</v>
      </c>
      <c r="G367" s="0" t="s">
        <v>5316</v>
      </c>
    </row>
    <row customHeight="1" ht="11.25">
      <c r="A368" s="373" t="s">
        <v>14</v>
      </c>
      <c r="B368" s="0" t="s">
        <v>5274</v>
      </c>
      <c r="C368" s="0" t="s">
        <v>5275</v>
      </c>
      <c r="D368" s="0" t="s">
        <v>5317</v>
      </c>
      <c r="E368" s="0" t="s">
        <v>5318</v>
      </c>
      <c r="F368" s="0" t="s">
        <v>4288</v>
      </c>
      <c r="G368" s="0" t="s">
        <v>5319</v>
      </c>
    </row>
    <row customHeight="1" ht="11.25">
      <c r="A369" s="373" t="s">
        <v>14</v>
      </c>
      <c r="B369" s="0" t="s">
        <v>5274</v>
      </c>
      <c r="C369" s="0" t="s">
        <v>5275</v>
      </c>
      <c r="D369" s="0" t="s">
        <v>5320</v>
      </c>
      <c r="E369" s="0" t="s">
        <v>5321</v>
      </c>
      <c r="F369" s="0" t="s">
        <v>4288</v>
      </c>
      <c r="G369" s="0" t="s">
        <v>5322</v>
      </c>
    </row>
    <row customHeight="1" ht="11.25">
      <c r="A370" s="373" t="s">
        <v>14</v>
      </c>
      <c r="B370" s="0" t="s">
        <v>5274</v>
      </c>
      <c r="C370" s="0" t="s">
        <v>5275</v>
      </c>
      <c r="D370" s="0" t="s">
        <v>5323</v>
      </c>
      <c r="E370" s="0" t="s">
        <v>5324</v>
      </c>
      <c r="F370" s="0" t="s">
        <v>4288</v>
      </c>
      <c r="G370" s="0" t="s">
        <v>5325</v>
      </c>
    </row>
    <row customHeight="1" ht="11.25">
      <c r="A371" s="373" t="s">
        <v>14</v>
      </c>
      <c r="B371" s="0" t="s">
        <v>5274</v>
      </c>
      <c r="C371" s="0" t="s">
        <v>5275</v>
      </c>
      <c r="D371" s="0" t="s">
        <v>5326</v>
      </c>
      <c r="E371" s="0" t="s">
        <v>5327</v>
      </c>
      <c r="F371" s="0" t="s">
        <v>4288</v>
      </c>
      <c r="G371" s="0" t="s">
        <v>5328</v>
      </c>
    </row>
    <row customHeight="1" ht="11.25">
      <c r="A372" s="373" t="s">
        <v>14</v>
      </c>
      <c r="B372" s="0" t="s">
        <v>5274</v>
      </c>
      <c r="C372" s="0" t="s">
        <v>5275</v>
      </c>
      <c r="D372" s="0" t="s">
        <v>5329</v>
      </c>
      <c r="E372" s="0" t="s">
        <v>5330</v>
      </c>
      <c r="F372" s="0" t="s">
        <v>4288</v>
      </c>
      <c r="G372" s="0" t="s">
        <v>5331</v>
      </c>
    </row>
    <row customHeight="1" ht="11.25">
      <c r="A373" s="373" t="s">
        <v>14</v>
      </c>
      <c r="B373" s="0" t="s">
        <v>5274</v>
      </c>
      <c r="C373" s="0" t="s">
        <v>5275</v>
      </c>
      <c r="D373" s="0" t="s">
        <v>5332</v>
      </c>
      <c r="E373" s="0" t="s">
        <v>5333</v>
      </c>
      <c r="F373" s="0" t="s">
        <v>4288</v>
      </c>
      <c r="G373" s="0" t="s">
        <v>5334</v>
      </c>
    </row>
    <row customHeight="1" ht="11.25">
      <c r="A374" s="373" t="s">
        <v>14</v>
      </c>
      <c r="B374" s="0" t="s">
        <v>5274</v>
      </c>
      <c r="C374" s="0" t="s">
        <v>5275</v>
      </c>
      <c r="D374" s="0" t="s">
        <v>5335</v>
      </c>
      <c r="E374" s="0" t="s">
        <v>5336</v>
      </c>
      <c r="F374" s="0" t="s">
        <v>4288</v>
      </c>
      <c r="G374" s="0" t="s">
        <v>5337</v>
      </c>
    </row>
    <row customHeight="1" ht="11.25">
      <c r="A375" s="373" t="s">
        <v>14</v>
      </c>
      <c r="B375" s="0" t="s">
        <v>5274</v>
      </c>
      <c r="C375" s="0" t="s">
        <v>5275</v>
      </c>
      <c r="D375" s="0" t="s">
        <v>5274</v>
      </c>
      <c r="E375" s="0" t="s">
        <v>5275</v>
      </c>
      <c r="F375" s="0" t="s">
        <v>4285</v>
      </c>
      <c r="G375" s="0" t="s">
        <v>5338</v>
      </c>
    </row>
    <row customHeight="1" ht="11.25">
      <c r="A376" s="373" t="s">
        <v>14</v>
      </c>
      <c r="B376" s="0" t="s">
        <v>5274</v>
      </c>
      <c r="C376" s="0" t="s">
        <v>5275</v>
      </c>
      <c r="D376" s="0" t="s">
        <v>5339</v>
      </c>
      <c r="E376" s="0" t="s">
        <v>5340</v>
      </c>
      <c r="F376" s="0" t="s">
        <v>4288</v>
      </c>
      <c r="G376" s="0" t="s">
        <v>5341</v>
      </c>
    </row>
    <row customHeight="1" ht="11.25">
      <c r="A377" s="373" t="s">
        <v>14</v>
      </c>
      <c r="B377" s="0" t="s">
        <v>5274</v>
      </c>
      <c r="C377" s="0" t="s">
        <v>5275</v>
      </c>
      <c r="D377" s="0" t="s">
        <v>5342</v>
      </c>
      <c r="E377" s="0" t="s">
        <v>5343</v>
      </c>
      <c r="F377" s="0" t="s">
        <v>4288</v>
      </c>
      <c r="G377" s="0" t="s">
        <v>5344</v>
      </c>
    </row>
    <row customHeight="1" ht="11.25">
      <c r="A378" s="373" t="s">
        <v>14</v>
      </c>
      <c r="B378" s="0" t="s">
        <v>5274</v>
      </c>
      <c r="C378" s="0" t="s">
        <v>5275</v>
      </c>
      <c r="D378" s="0" t="s">
        <v>5345</v>
      </c>
      <c r="E378" s="0" t="s">
        <v>5346</v>
      </c>
      <c r="F378" s="0" t="s">
        <v>4288</v>
      </c>
      <c r="G378" s="0" t="s">
        <v>5347</v>
      </c>
    </row>
    <row customHeight="1" ht="11.25">
      <c r="A379" s="373" t="s">
        <v>14</v>
      </c>
      <c r="B379" s="0" t="s">
        <v>5348</v>
      </c>
      <c r="C379" s="0" t="s">
        <v>5349</v>
      </c>
      <c r="D379" s="0" t="s">
        <v>5350</v>
      </c>
      <c r="E379" s="0" t="s">
        <v>5351</v>
      </c>
      <c r="F379" s="0" t="s">
        <v>4330</v>
      </c>
      <c r="G379" s="0" t="s">
        <v>5352</v>
      </c>
    </row>
    <row customHeight="1" ht="11.25">
      <c r="A380" s="373" t="s">
        <v>14</v>
      </c>
      <c r="B380" s="0" t="s">
        <v>5348</v>
      </c>
      <c r="C380" s="0" t="s">
        <v>5349</v>
      </c>
      <c r="D380" s="0" t="s">
        <v>5353</v>
      </c>
      <c r="E380" s="0" t="s">
        <v>5354</v>
      </c>
      <c r="F380" s="0" t="s">
        <v>4288</v>
      </c>
      <c r="G380" s="0" t="s">
        <v>5355</v>
      </c>
    </row>
    <row customHeight="1" ht="11.25">
      <c r="A381" s="373" t="s">
        <v>14</v>
      </c>
      <c r="B381" s="0" t="s">
        <v>5348</v>
      </c>
      <c r="C381" s="0" t="s">
        <v>5349</v>
      </c>
      <c r="D381" s="0" t="s">
        <v>5356</v>
      </c>
      <c r="E381" s="0" t="s">
        <v>5357</v>
      </c>
      <c r="F381" s="0" t="s">
        <v>4288</v>
      </c>
      <c r="G381" s="0" t="s">
        <v>5358</v>
      </c>
    </row>
    <row customHeight="1" ht="11.25">
      <c r="A382" s="373" t="s">
        <v>14</v>
      </c>
      <c r="B382" s="0" t="s">
        <v>5348</v>
      </c>
      <c r="C382" s="0" t="s">
        <v>5349</v>
      </c>
      <c r="D382" s="0" t="s">
        <v>5359</v>
      </c>
      <c r="E382" s="0" t="s">
        <v>5360</v>
      </c>
      <c r="F382" s="0" t="s">
        <v>4288</v>
      </c>
      <c r="G382" s="0" t="s">
        <v>5361</v>
      </c>
    </row>
    <row customHeight="1" ht="11.25">
      <c r="A383" s="373" t="s">
        <v>14</v>
      </c>
      <c r="B383" s="0" t="s">
        <v>5348</v>
      </c>
      <c r="C383" s="0" t="s">
        <v>5349</v>
      </c>
      <c r="D383" s="0" t="s">
        <v>5362</v>
      </c>
      <c r="E383" s="0" t="s">
        <v>5363</v>
      </c>
      <c r="F383" s="0" t="s">
        <v>4330</v>
      </c>
      <c r="G383" s="0" t="s">
        <v>5364</v>
      </c>
    </row>
    <row customHeight="1" ht="11.25">
      <c r="A384" s="373" t="s">
        <v>14</v>
      </c>
      <c r="B384" s="0" t="s">
        <v>5348</v>
      </c>
      <c r="C384" s="0" t="s">
        <v>5349</v>
      </c>
      <c r="D384" s="0" t="s">
        <v>5365</v>
      </c>
      <c r="E384" s="0" t="s">
        <v>5366</v>
      </c>
      <c r="F384" s="0" t="s">
        <v>4288</v>
      </c>
      <c r="G384" s="0" t="s">
        <v>5367</v>
      </c>
    </row>
    <row customHeight="1" ht="11.25">
      <c r="A385" s="373" t="s">
        <v>14</v>
      </c>
      <c r="B385" s="0" t="s">
        <v>5348</v>
      </c>
      <c r="C385" s="0" t="s">
        <v>5349</v>
      </c>
      <c r="D385" s="0" t="s">
        <v>5368</v>
      </c>
      <c r="E385" s="0" t="s">
        <v>5369</v>
      </c>
      <c r="F385" s="0" t="s">
        <v>4288</v>
      </c>
      <c r="G385" s="0" t="s">
        <v>5370</v>
      </c>
    </row>
    <row customHeight="1" ht="11.25">
      <c r="A386" s="373" t="s">
        <v>14</v>
      </c>
      <c r="B386" s="0" t="s">
        <v>5348</v>
      </c>
      <c r="C386" s="0" t="s">
        <v>5349</v>
      </c>
      <c r="D386" s="0" t="s">
        <v>5371</v>
      </c>
      <c r="E386" s="0" t="s">
        <v>5372</v>
      </c>
      <c r="F386" s="0" t="s">
        <v>4288</v>
      </c>
      <c r="G386" s="0" t="s">
        <v>5373</v>
      </c>
    </row>
    <row customHeight="1" ht="11.25">
      <c r="A387" s="373" t="s">
        <v>14</v>
      </c>
      <c r="B387" s="0" t="s">
        <v>5348</v>
      </c>
      <c r="C387" s="0" t="s">
        <v>5349</v>
      </c>
      <c r="D387" s="0" t="s">
        <v>5374</v>
      </c>
      <c r="E387" s="0" t="s">
        <v>5375</v>
      </c>
      <c r="F387" s="0" t="s">
        <v>4288</v>
      </c>
      <c r="G387" s="0" t="s">
        <v>5376</v>
      </c>
    </row>
    <row customHeight="1" ht="11.25">
      <c r="A388" s="373" t="s">
        <v>14</v>
      </c>
      <c r="B388" s="0" t="s">
        <v>5348</v>
      </c>
      <c r="C388" s="0" t="s">
        <v>5349</v>
      </c>
      <c r="D388" s="0" t="s">
        <v>5377</v>
      </c>
      <c r="E388" s="0" t="s">
        <v>5378</v>
      </c>
      <c r="F388" s="0" t="s">
        <v>4330</v>
      </c>
      <c r="G388" s="0" t="s">
        <v>5379</v>
      </c>
    </row>
    <row customHeight="1" ht="11.25">
      <c r="A389" s="373" t="s">
        <v>14</v>
      </c>
      <c r="B389" s="0" t="s">
        <v>5348</v>
      </c>
      <c r="C389" s="0" t="s">
        <v>5349</v>
      </c>
      <c r="D389" s="0" t="s">
        <v>5380</v>
      </c>
      <c r="E389" s="0" t="s">
        <v>5381</v>
      </c>
      <c r="F389" s="0" t="s">
        <v>4330</v>
      </c>
      <c r="G389" s="0" t="s">
        <v>5382</v>
      </c>
    </row>
    <row customHeight="1" ht="11.25">
      <c r="A390" s="373" t="s">
        <v>14</v>
      </c>
      <c r="B390" s="0" t="s">
        <v>5348</v>
      </c>
      <c r="C390" s="0" t="s">
        <v>5349</v>
      </c>
      <c r="D390" s="0" t="s">
        <v>5383</v>
      </c>
      <c r="E390" s="0" t="s">
        <v>5384</v>
      </c>
      <c r="F390" s="0" t="s">
        <v>4288</v>
      </c>
      <c r="G390" s="0" t="s">
        <v>5385</v>
      </c>
    </row>
    <row customHeight="1" ht="11.25">
      <c r="A391" s="373" t="s">
        <v>14</v>
      </c>
      <c r="B391" s="0" t="s">
        <v>5348</v>
      </c>
      <c r="C391" s="0" t="s">
        <v>5349</v>
      </c>
      <c r="D391" s="0" t="s">
        <v>5386</v>
      </c>
      <c r="E391" s="0" t="s">
        <v>5387</v>
      </c>
      <c r="F391" s="0" t="s">
        <v>4330</v>
      </c>
      <c r="G391" s="0" t="s">
        <v>5388</v>
      </c>
    </row>
    <row customHeight="1" ht="11.25">
      <c r="A392" s="373" t="s">
        <v>14</v>
      </c>
      <c r="B392" s="0" t="s">
        <v>5348</v>
      </c>
      <c r="C392" s="0" t="s">
        <v>5349</v>
      </c>
      <c r="D392" s="0" t="s">
        <v>5348</v>
      </c>
      <c r="E392" s="0" t="s">
        <v>5349</v>
      </c>
      <c r="F392" s="0" t="s">
        <v>4285</v>
      </c>
      <c r="G392" s="0" t="s">
        <v>5389</v>
      </c>
    </row>
    <row customHeight="1" ht="11.25">
      <c r="A393" s="373" t="s">
        <v>14</v>
      </c>
      <c r="B393" s="0" t="s">
        <v>5390</v>
      </c>
      <c r="C393" s="0" t="s">
        <v>5391</v>
      </c>
      <c r="D393" s="0" t="s">
        <v>5392</v>
      </c>
      <c r="E393" s="0" t="s">
        <v>5393</v>
      </c>
      <c r="F393" s="0" t="s">
        <v>4288</v>
      </c>
      <c r="G393" s="0" t="s">
        <v>5394</v>
      </c>
    </row>
    <row customHeight="1" ht="11.25">
      <c r="A394" s="373" t="s">
        <v>14</v>
      </c>
      <c r="B394" s="0" t="s">
        <v>5390</v>
      </c>
      <c r="C394" s="0" t="s">
        <v>5391</v>
      </c>
      <c r="D394" s="0" t="s">
        <v>5395</v>
      </c>
      <c r="E394" s="0" t="s">
        <v>5396</v>
      </c>
      <c r="F394" s="0" t="s">
        <v>4288</v>
      </c>
      <c r="G394" s="0" t="s">
        <v>5397</v>
      </c>
    </row>
    <row customHeight="1" ht="11.25">
      <c r="A395" s="373" t="s">
        <v>14</v>
      </c>
      <c r="B395" s="0" t="s">
        <v>5390</v>
      </c>
      <c r="C395" s="0" t="s">
        <v>5391</v>
      </c>
      <c r="D395" s="0" t="s">
        <v>5356</v>
      </c>
      <c r="E395" s="0" t="s">
        <v>5398</v>
      </c>
      <c r="F395" s="0" t="s">
        <v>4330</v>
      </c>
      <c r="G395" s="0" t="s">
        <v>5399</v>
      </c>
    </row>
    <row customHeight="1" ht="11.25">
      <c r="A396" s="373" t="s">
        <v>14</v>
      </c>
      <c r="B396" s="0" t="s">
        <v>5390</v>
      </c>
      <c r="C396" s="0" t="s">
        <v>5391</v>
      </c>
      <c r="D396" s="0" t="s">
        <v>5400</v>
      </c>
      <c r="E396" s="0" t="s">
        <v>5401</v>
      </c>
      <c r="F396" s="0" t="s">
        <v>4288</v>
      </c>
      <c r="G396" s="0" t="s">
        <v>5402</v>
      </c>
    </row>
    <row customHeight="1" ht="11.25">
      <c r="A397" s="373" t="s">
        <v>14</v>
      </c>
      <c r="B397" s="0" t="s">
        <v>5390</v>
      </c>
      <c r="C397" s="0" t="s">
        <v>5391</v>
      </c>
      <c r="D397" s="0" t="s">
        <v>5403</v>
      </c>
      <c r="E397" s="0" t="s">
        <v>5404</v>
      </c>
      <c r="F397" s="0" t="s">
        <v>4471</v>
      </c>
      <c r="G397" s="0" t="s">
        <v>5405</v>
      </c>
    </row>
    <row customHeight="1" ht="11.25">
      <c r="A398" s="373" t="s">
        <v>14</v>
      </c>
      <c r="B398" s="0" t="s">
        <v>5390</v>
      </c>
      <c r="C398" s="0" t="s">
        <v>5391</v>
      </c>
      <c r="D398" s="0" t="s">
        <v>5406</v>
      </c>
      <c r="E398" s="0" t="s">
        <v>5407</v>
      </c>
      <c r="F398" s="0" t="s">
        <v>4288</v>
      </c>
      <c r="G398" s="0" t="s">
        <v>5408</v>
      </c>
    </row>
    <row customHeight="1" ht="11.25">
      <c r="A399" s="373" t="s">
        <v>14</v>
      </c>
      <c r="B399" s="0" t="s">
        <v>5390</v>
      </c>
      <c r="C399" s="0" t="s">
        <v>5391</v>
      </c>
      <c r="D399" s="0" t="s">
        <v>5409</v>
      </c>
      <c r="E399" s="0" t="s">
        <v>5410</v>
      </c>
      <c r="F399" s="0" t="s">
        <v>4288</v>
      </c>
      <c r="G399" s="0" t="s">
        <v>5411</v>
      </c>
    </row>
    <row customHeight="1" ht="11.25">
      <c r="A400" s="373" t="s">
        <v>14</v>
      </c>
      <c r="B400" s="0" t="s">
        <v>5390</v>
      </c>
      <c r="C400" s="0" t="s">
        <v>5391</v>
      </c>
      <c r="D400" s="0" t="s">
        <v>5412</v>
      </c>
      <c r="E400" s="0" t="s">
        <v>5413</v>
      </c>
      <c r="F400" s="0" t="s">
        <v>4288</v>
      </c>
      <c r="G400" s="0" t="s">
        <v>5414</v>
      </c>
    </row>
    <row customHeight="1" ht="11.25">
      <c r="A401" s="373" t="s">
        <v>14</v>
      </c>
      <c r="B401" s="0" t="s">
        <v>5390</v>
      </c>
      <c r="C401" s="0" t="s">
        <v>5391</v>
      </c>
      <c r="D401" s="0" t="s">
        <v>5415</v>
      </c>
      <c r="E401" s="0" t="s">
        <v>5416</v>
      </c>
      <c r="F401" s="0" t="s">
        <v>4288</v>
      </c>
      <c r="G401" s="0" t="s">
        <v>5417</v>
      </c>
    </row>
    <row customHeight="1" ht="11.25">
      <c r="A402" s="373" t="s">
        <v>14</v>
      </c>
      <c r="B402" s="0" t="s">
        <v>5390</v>
      </c>
      <c r="C402" s="0" t="s">
        <v>5391</v>
      </c>
      <c r="D402" s="0" t="s">
        <v>5390</v>
      </c>
      <c r="E402" s="0" t="s">
        <v>5391</v>
      </c>
      <c r="F402" s="0" t="s">
        <v>4285</v>
      </c>
      <c r="G402" s="0" t="s">
        <v>5418</v>
      </c>
    </row>
    <row customHeight="1" ht="11.25">
      <c r="A403" s="373" t="s">
        <v>14</v>
      </c>
      <c r="B403" s="0" t="s">
        <v>5390</v>
      </c>
      <c r="C403" s="0" t="s">
        <v>5391</v>
      </c>
      <c r="D403" s="0" t="s">
        <v>5419</v>
      </c>
      <c r="E403" s="0" t="s">
        <v>5420</v>
      </c>
      <c r="F403" s="0" t="s">
        <v>4288</v>
      </c>
      <c r="G403" s="0" t="s">
        <v>5421</v>
      </c>
    </row>
    <row customHeight="1" ht="11.25">
      <c r="A404" s="373" t="s">
        <v>14</v>
      </c>
      <c r="B404" s="0" t="s">
        <v>5422</v>
      </c>
      <c r="C404" s="0" t="s">
        <v>5423</v>
      </c>
      <c r="D404" s="0" t="s">
        <v>5424</v>
      </c>
      <c r="E404" s="0" t="s">
        <v>5425</v>
      </c>
      <c r="F404" s="0" t="s">
        <v>4288</v>
      </c>
      <c r="G404" s="0" t="s">
        <v>5426</v>
      </c>
    </row>
    <row customHeight="1" ht="11.25">
      <c r="A405" s="373" t="s">
        <v>14</v>
      </c>
      <c r="B405" s="0" t="s">
        <v>5422</v>
      </c>
      <c r="C405" s="0" t="s">
        <v>5423</v>
      </c>
      <c r="D405" s="0" t="s">
        <v>5427</v>
      </c>
      <c r="E405" s="0" t="s">
        <v>5428</v>
      </c>
      <c r="F405" s="0" t="s">
        <v>4330</v>
      </c>
      <c r="G405" s="0" t="s">
        <v>5429</v>
      </c>
    </row>
    <row customHeight="1" ht="11.25">
      <c r="A406" s="373" t="s">
        <v>14</v>
      </c>
      <c r="B406" s="0" t="s">
        <v>5422</v>
      </c>
      <c r="C406" s="0" t="s">
        <v>5423</v>
      </c>
      <c r="D406" s="0" t="s">
        <v>5430</v>
      </c>
      <c r="E406" s="0" t="s">
        <v>5431</v>
      </c>
      <c r="F406" s="0" t="s">
        <v>4471</v>
      </c>
      <c r="G406" s="0" t="s">
        <v>5432</v>
      </c>
    </row>
    <row customHeight="1" ht="11.25">
      <c r="A407" s="373" t="s">
        <v>14</v>
      </c>
      <c r="B407" s="0" t="s">
        <v>5422</v>
      </c>
      <c r="C407" s="0" t="s">
        <v>5423</v>
      </c>
      <c r="D407" s="0" t="s">
        <v>5433</v>
      </c>
      <c r="E407" s="0" t="s">
        <v>5434</v>
      </c>
      <c r="F407" s="0" t="s">
        <v>4288</v>
      </c>
      <c r="G407" s="0" t="s">
        <v>5435</v>
      </c>
    </row>
    <row customHeight="1" ht="11.25">
      <c r="A408" s="373" t="s">
        <v>14</v>
      </c>
      <c r="B408" s="0" t="s">
        <v>5422</v>
      </c>
      <c r="C408" s="0" t="s">
        <v>5423</v>
      </c>
      <c r="D408" s="0" t="s">
        <v>5436</v>
      </c>
      <c r="E408" s="0" t="s">
        <v>5437</v>
      </c>
      <c r="F408" s="0" t="s">
        <v>4288</v>
      </c>
      <c r="G408" s="0" t="s">
        <v>5438</v>
      </c>
    </row>
    <row customHeight="1" ht="11.25">
      <c r="A409" s="373" t="s">
        <v>14</v>
      </c>
      <c r="B409" s="0" t="s">
        <v>5422</v>
      </c>
      <c r="C409" s="0" t="s">
        <v>5423</v>
      </c>
      <c r="D409" s="0" t="s">
        <v>5439</v>
      </c>
      <c r="E409" s="0" t="s">
        <v>5440</v>
      </c>
      <c r="F409" s="0" t="s">
        <v>4288</v>
      </c>
      <c r="G409" s="0" t="s">
        <v>5441</v>
      </c>
    </row>
    <row customHeight="1" ht="11.25">
      <c r="A410" s="373" t="s">
        <v>14</v>
      </c>
      <c r="B410" s="0" t="s">
        <v>5422</v>
      </c>
      <c r="C410" s="0" t="s">
        <v>5423</v>
      </c>
      <c r="D410" s="0" t="s">
        <v>5422</v>
      </c>
      <c r="E410" s="0" t="s">
        <v>5423</v>
      </c>
      <c r="F410" s="0" t="s">
        <v>4285</v>
      </c>
      <c r="G410" s="0" t="s">
        <v>5442</v>
      </c>
    </row>
    <row customHeight="1" ht="11.25">
      <c r="A411" s="373" t="s">
        <v>14</v>
      </c>
      <c r="B411" s="0" t="s">
        <v>5422</v>
      </c>
      <c r="C411" s="0" t="s">
        <v>5423</v>
      </c>
      <c r="D411" s="0" t="s">
        <v>5443</v>
      </c>
      <c r="E411" s="0" t="s">
        <v>5444</v>
      </c>
      <c r="F411" s="0" t="s">
        <v>4327</v>
      </c>
      <c r="G411" s="0" t="s">
        <v>5445</v>
      </c>
    </row>
    <row customHeight="1" ht="11.25">
      <c r="A412" s="373" t="s">
        <v>14</v>
      </c>
      <c r="B412" s="0" t="s">
        <v>5422</v>
      </c>
      <c r="C412" s="0" t="s">
        <v>5423</v>
      </c>
      <c r="D412" s="0" t="s">
        <v>5446</v>
      </c>
      <c r="E412" s="0" t="s">
        <v>5447</v>
      </c>
      <c r="F412" s="0" t="s">
        <v>4330</v>
      </c>
      <c r="G412" s="0" t="s">
        <v>5448</v>
      </c>
    </row>
    <row customHeight="1" ht="11.25">
      <c r="A413" s="373" t="s">
        <v>14</v>
      </c>
      <c r="B413" s="0" t="s">
        <v>5449</v>
      </c>
      <c r="C413" s="0" t="s">
        <v>5450</v>
      </c>
      <c r="D413" s="0" t="s">
        <v>5451</v>
      </c>
      <c r="E413" s="0" t="s">
        <v>5452</v>
      </c>
      <c r="F413" s="0" t="s">
        <v>4288</v>
      </c>
      <c r="G413" s="0" t="s">
        <v>5453</v>
      </c>
    </row>
    <row customHeight="1" ht="11.25">
      <c r="A414" s="373" t="s">
        <v>14</v>
      </c>
      <c r="B414" s="0" t="s">
        <v>5449</v>
      </c>
      <c r="C414" s="0" t="s">
        <v>5450</v>
      </c>
      <c r="D414" s="0" t="s">
        <v>5454</v>
      </c>
      <c r="E414" s="0" t="s">
        <v>5455</v>
      </c>
      <c r="F414" s="0" t="s">
        <v>4288</v>
      </c>
      <c r="G414" s="0" t="s">
        <v>5456</v>
      </c>
    </row>
    <row customHeight="1" ht="11.25">
      <c r="A415" s="373" t="s">
        <v>14</v>
      </c>
      <c r="B415" s="0" t="s">
        <v>5449</v>
      </c>
      <c r="C415" s="0" t="s">
        <v>5450</v>
      </c>
      <c r="D415" s="0" t="s">
        <v>5457</v>
      </c>
      <c r="E415" s="0" t="s">
        <v>5458</v>
      </c>
      <c r="F415" s="0" t="s">
        <v>4288</v>
      </c>
      <c r="G415" s="0" t="s">
        <v>5459</v>
      </c>
    </row>
    <row customHeight="1" ht="11.25">
      <c r="A416" s="373" t="s">
        <v>14</v>
      </c>
      <c r="B416" s="0" t="s">
        <v>5449</v>
      </c>
      <c r="C416" s="0" t="s">
        <v>5450</v>
      </c>
      <c r="D416" s="0" t="s">
        <v>5460</v>
      </c>
      <c r="E416" s="0" t="s">
        <v>5461</v>
      </c>
      <c r="F416" s="0" t="s">
        <v>4288</v>
      </c>
      <c r="G416" s="0" t="s">
        <v>5462</v>
      </c>
    </row>
    <row customHeight="1" ht="11.25">
      <c r="A417" s="373" t="s">
        <v>14</v>
      </c>
      <c r="B417" s="0" t="s">
        <v>5449</v>
      </c>
      <c r="C417" s="0" t="s">
        <v>5450</v>
      </c>
      <c r="D417" s="0" t="s">
        <v>5463</v>
      </c>
      <c r="E417" s="0" t="s">
        <v>5464</v>
      </c>
      <c r="F417" s="0" t="s">
        <v>4288</v>
      </c>
      <c r="G417" s="0" t="s">
        <v>5465</v>
      </c>
    </row>
    <row customHeight="1" ht="11.25">
      <c r="A418" s="373" t="s">
        <v>14</v>
      </c>
      <c r="B418" s="0" t="s">
        <v>5449</v>
      </c>
      <c r="C418" s="0" t="s">
        <v>5450</v>
      </c>
      <c r="D418" s="0" t="s">
        <v>5466</v>
      </c>
      <c r="E418" s="0" t="s">
        <v>5467</v>
      </c>
      <c r="F418" s="0" t="s">
        <v>4288</v>
      </c>
      <c r="G418" s="0" t="s">
        <v>5468</v>
      </c>
    </row>
    <row customHeight="1" ht="11.25">
      <c r="A419" s="373" t="s">
        <v>14</v>
      </c>
      <c r="B419" s="0" t="s">
        <v>5449</v>
      </c>
      <c r="C419" s="0" t="s">
        <v>5450</v>
      </c>
      <c r="D419" s="0" t="s">
        <v>5469</v>
      </c>
      <c r="E419" s="0" t="s">
        <v>5470</v>
      </c>
      <c r="F419" s="0" t="s">
        <v>4288</v>
      </c>
      <c r="G419" s="0" t="s">
        <v>5471</v>
      </c>
    </row>
    <row customHeight="1" ht="11.25">
      <c r="A420" s="373" t="s">
        <v>14</v>
      </c>
      <c r="B420" s="0" t="s">
        <v>5449</v>
      </c>
      <c r="C420" s="0" t="s">
        <v>5450</v>
      </c>
      <c r="D420" s="0" t="s">
        <v>5472</v>
      </c>
      <c r="E420" s="0" t="s">
        <v>5473</v>
      </c>
      <c r="F420" s="0" t="s">
        <v>4288</v>
      </c>
      <c r="G420" s="0" t="s">
        <v>5474</v>
      </c>
    </row>
    <row customHeight="1" ht="11.25">
      <c r="A421" s="373" t="s">
        <v>14</v>
      </c>
      <c r="B421" s="0" t="s">
        <v>5449</v>
      </c>
      <c r="C421" s="0" t="s">
        <v>5450</v>
      </c>
      <c r="D421" s="0" t="s">
        <v>5475</v>
      </c>
      <c r="E421" s="0" t="s">
        <v>5476</v>
      </c>
      <c r="F421" s="0" t="s">
        <v>4288</v>
      </c>
      <c r="G421" s="0" t="s">
        <v>5477</v>
      </c>
    </row>
    <row customHeight="1" ht="11.25">
      <c r="A422" s="373" t="s">
        <v>14</v>
      </c>
      <c r="B422" s="0" t="s">
        <v>5449</v>
      </c>
      <c r="C422" s="0" t="s">
        <v>5450</v>
      </c>
      <c r="D422" s="0" t="s">
        <v>5478</v>
      </c>
      <c r="E422" s="0" t="s">
        <v>5479</v>
      </c>
      <c r="F422" s="0" t="s">
        <v>4288</v>
      </c>
      <c r="G422" s="0" t="s">
        <v>5480</v>
      </c>
    </row>
    <row customHeight="1" ht="11.25">
      <c r="A423" s="373" t="s">
        <v>14</v>
      </c>
      <c r="B423" s="0" t="s">
        <v>5449</v>
      </c>
      <c r="C423" s="0" t="s">
        <v>5450</v>
      </c>
      <c r="D423" s="0" t="s">
        <v>5481</v>
      </c>
      <c r="E423" s="0" t="s">
        <v>5482</v>
      </c>
      <c r="F423" s="0" t="s">
        <v>4288</v>
      </c>
      <c r="G423" s="0" t="s">
        <v>5483</v>
      </c>
    </row>
    <row customHeight="1" ht="11.25">
      <c r="A424" s="373" t="s">
        <v>14</v>
      </c>
      <c r="B424" s="0" t="s">
        <v>5449</v>
      </c>
      <c r="C424" s="0" t="s">
        <v>5450</v>
      </c>
      <c r="D424" s="0" t="s">
        <v>5449</v>
      </c>
      <c r="E424" s="0" t="s">
        <v>5450</v>
      </c>
      <c r="F424" s="0" t="s">
        <v>4285</v>
      </c>
      <c r="G424" s="0" t="s">
        <v>5484</v>
      </c>
    </row>
    <row customHeight="1" ht="11.25">
      <c r="A425" s="373" t="s">
        <v>14</v>
      </c>
      <c r="B425" s="0" t="s">
        <v>5449</v>
      </c>
      <c r="C425" s="0" t="s">
        <v>5450</v>
      </c>
      <c r="D425" s="0" t="s">
        <v>5485</v>
      </c>
      <c r="E425" s="0" t="s">
        <v>5486</v>
      </c>
      <c r="F425" s="0" t="s">
        <v>4288</v>
      </c>
      <c r="G425" s="0" t="s">
        <v>5487</v>
      </c>
    </row>
    <row customHeight="1" ht="11.25">
      <c r="A426" s="373" t="s">
        <v>14</v>
      </c>
      <c r="B426" s="0" t="s">
        <v>5449</v>
      </c>
      <c r="C426" s="0" t="s">
        <v>5450</v>
      </c>
      <c r="D426" s="0" t="s">
        <v>5488</v>
      </c>
      <c r="E426" s="0" t="s">
        <v>5489</v>
      </c>
      <c r="F426" s="0" t="s">
        <v>4330</v>
      </c>
      <c r="G426" s="0" t="s">
        <v>5490</v>
      </c>
    </row>
    <row customHeight="1" ht="11.25">
      <c r="A427" s="373" t="s">
        <v>14</v>
      </c>
      <c r="B427" s="0" t="s">
        <v>5449</v>
      </c>
      <c r="C427" s="0" t="s">
        <v>5450</v>
      </c>
      <c r="D427" s="0" t="s">
        <v>5491</v>
      </c>
      <c r="E427" s="0" t="s">
        <v>5492</v>
      </c>
      <c r="F427" s="0" t="s">
        <v>4288</v>
      </c>
      <c r="G427" s="0" t="s">
        <v>5493</v>
      </c>
    </row>
    <row customHeight="1" ht="11.25">
      <c r="A428" s="373" t="s">
        <v>14</v>
      </c>
      <c r="B428" s="0" t="s">
        <v>5449</v>
      </c>
      <c r="C428" s="0" t="s">
        <v>5450</v>
      </c>
      <c r="D428" s="0" t="s">
        <v>5494</v>
      </c>
      <c r="E428" s="0" t="s">
        <v>5495</v>
      </c>
      <c r="F428" s="0" t="s">
        <v>4288</v>
      </c>
      <c r="G428" s="0" t="s">
        <v>5496</v>
      </c>
    </row>
    <row customHeight="1" ht="11.25">
      <c r="A429" s="373" t="s">
        <v>14</v>
      </c>
      <c r="B429" s="0" t="s">
        <v>5497</v>
      </c>
      <c r="C429" s="0" t="s">
        <v>5498</v>
      </c>
      <c r="D429" s="0" t="s">
        <v>5499</v>
      </c>
      <c r="E429" s="0" t="s">
        <v>5500</v>
      </c>
      <c r="F429" s="0" t="s">
        <v>4288</v>
      </c>
      <c r="G429" s="0" t="s">
        <v>5501</v>
      </c>
    </row>
    <row customHeight="1" ht="11.25">
      <c r="A430" s="373" t="s">
        <v>14</v>
      </c>
      <c r="B430" s="0" t="s">
        <v>5497</v>
      </c>
      <c r="C430" s="0" t="s">
        <v>5498</v>
      </c>
      <c r="D430" s="0" t="s">
        <v>5502</v>
      </c>
      <c r="E430" s="0" t="s">
        <v>5503</v>
      </c>
      <c r="F430" s="0" t="s">
        <v>4288</v>
      </c>
      <c r="G430" s="0" t="s">
        <v>5504</v>
      </c>
    </row>
    <row customHeight="1" ht="11.25">
      <c r="A431" s="373" t="s">
        <v>14</v>
      </c>
      <c r="B431" s="0" t="s">
        <v>5497</v>
      </c>
      <c r="C431" s="0" t="s">
        <v>5498</v>
      </c>
      <c r="D431" s="0" t="s">
        <v>5505</v>
      </c>
      <c r="E431" s="0" t="s">
        <v>5506</v>
      </c>
      <c r="F431" s="0" t="s">
        <v>4288</v>
      </c>
      <c r="G431" s="0" t="s">
        <v>5507</v>
      </c>
    </row>
    <row customHeight="1" ht="11.25">
      <c r="A432" s="373" t="s">
        <v>14</v>
      </c>
      <c r="B432" s="0" t="s">
        <v>5497</v>
      </c>
      <c r="C432" s="0" t="s">
        <v>5498</v>
      </c>
      <c r="D432" s="0" t="s">
        <v>5508</v>
      </c>
      <c r="E432" s="0" t="s">
        <v>5509</v>
      </c>
      <c r="F432" s="0" t="s">
        <v>4288</v>
      </c>
      <c r="G432" s="0" t="s">
        <v>5510</v>
      </c>
    </row>
    <row customHeight="1" ht="11.25">
      <c r="A433" s="373" t="s">
        <v>14</v>
      </c>
      <c r="B433" s="0" t="s">
        <v>5497</v>
      </c>
      <c r="C433" s="0" t="s">
        <v>5498</v>
      </c>
      <c r="D433" s="0" t="s">
        <v>5511</v>
      </c>
      <c r="E433" s="0" t="s">
        <v>5512</v>
      </c>
      <c r="F433" s="0" t="s">
        <v>4288</v>
      </c>
      <c r="G433" s="0" t="s">
        <v>5513</v>
      </c>
    </row>
    <row customHeight="1" ht="11.25">
      <c r="A434" s="373" t="s">
        <v>14</v>
      </c>
      <c r="B434" s="0" t="s">
        <v>5497</v>
      </c>
      <c r="C434" s="0" t="s">
        <v>5498</v>
      </c>
      <c r="D434" s="0" t="s">
        <v>5514</v>
      </c>
      <c r="E434" s="0" t="s">
        <v>5515</v>
      </c>
      <c r="F434" s="0" t="s">
        <v>4288</v>
      </c>
      <c r="G434" s="0" t="s">
        <v>5516</v>
      </c>
    </row>
    <row customHeight="1" ht="11.25">
      <c r="A435" s="373" t="s">
        <v>14</v>
      </c>
      <c r="B435" s="0" t="s">
        <v>5497</v>
      </c>
      <c r="C435" s="0" t="s">
        <v>5498</v>
      </c>
      <c r="D435" s="0" t="s">
        <v>5517</v>
      </c>
      <c r="E435" s="0" t="s">
        <v>5518</v>
      </c>
      <c r="F435" s="0" t="s">
        <v>4288</v>
      </c>
      <c r="G435" s="0" t="s">
        <v>5519</v>
      </c>
    </row>
    <row customHeight="1" ht="11.25">
      <c r="A436" s="373" t="s">
        <v>14</v>
      </c>
      <c r="B436" s="0" t="s">
        <v>5497</v>
      </c>
      <c r="C436" s="0" t="s">
        <v>5498</v>
      </c>
      <c r="D436" s="0" t="s">
        <v>5520</v>
      </c>
      <c r="E436" s="0" t="s">
        <v>5521</v>
      </c>
      <c r="F436" s="0" t="s">
        <v>4330</v>
      </c>
      <c r="G436" s="0" t="s">
        <v>5522</v>
      </c>
    </row>
    <row customHeight="1" ht="11.25">
      <c r="A437" s="373" t="s">
        <v>14</v>
      </c>
      <c r="B437" s="0" t="s">
        <v>5497</v>
      </c>
      <c r="C437" s="0" t="s">
        <v>5498</v>
      </c>
      <c r="D437" s="0" t="s">
        <v>5523</v>
      </c>
      <c r="E437" s="0" t="s">
        <v>5524</v>
      </c>
      <c r="F437" s="0" t="s">
        <v>4288</v>
      </c>
      <c r="G437" s="0" t="s">
        <v>5525</v>
      </c>
    </row>
    <row customHeight="1" ht="11.25">
      <c r="A438" s="373" t="s">
        <v>14</v>
      </c>
      <c r="B438" s="0" t="s">
        <v>5497</v>
      </c>
      <c r="C438" s="0" t="s">
        <v>5498</v>
      </c>
      <c r="D438" s="0" t="s">
        <v>5526</v>
      </c>
      <c r="E438" s="0" t="s">
        <v>5527</v>
      </c>
      <c r="F438" s="0" t="s">
        <v>4288</v>
      </c>
      <c r="G438" s="0" t="s">
        <v>5528</v>
      </c>
    </row>
    <row customHeight="1" ht="11.25">
      <c r="A439" s="373" t="s">
        <v>14</v>
      </c>
      <c r="B439" s="0" t="s">
        <v>5497</v>
      </c>
      <c r="C439" s="0" t="s">
        <v>5498</v>
      </c>
      <c r="D439" s="0" t="s">
        <v>5529</v>
      </c>
      <c r="E439" s="0" t="s">
        <v>5530</v>
      </c>
      <c r="F439" s="0" t="s">
        <v>4288</v>
      </c>
      <c r="G439" s="0" t="s">
        <v>5531</v>
      </c>
    </row>
    <row customHeight="1" ht="11.25">
      <c r="A440" s="373" t="s">
        <v>14</v>
      </c>
      <c r="B440" s="0" t="s">
        <v>5497</v>
      </c>
      <c r="C440" s="0" t="s">
        <v>5498</v>
      </c>
      <c r="D440" s="0" t="s">
        <v>5532</v>
      </c>
      <c r="E440" s="0" t="s">
        <v>5533</v>
      </c>
      <c r="F440" s="0" t="s">
        <v>4288</v>
      </c>
      <c r="G440" s="0" t="s">
        <v>5534</v>
      </c>
    </row>
    <row customHeight="1" ht="11.25">
      <c r="A441" s="373" t="s">
        <v>14</v>
      </c>
      <c r="B441" s="0" t="s">
        <v>5497</v>
      </c>
      <c r="C441" s="0" t="s">
        <v>5498</v>
      </c>
      <c r="D441" s="0" t="s">
        <v>5535</v>
      </c>
      <c r="E441" s="0" t="s">
        <v>5536</v>
      </c>
      <c r="F441" s="0" t="s">
        <v>4288</v>
      </c>
      <c r="G441" s="0" t="s">
        <v>5537</v>
      </c>
    </row>
    <row customHeight="1" ht="11.25">
      <c r="A442" s="373" t="s">
        <v>14</v>
      </c>
      <c r="B442" s="0" t="s">
        <v>5497</v>
      </c>
      <c r="C442" s="0" t="s">
        <v>5498</v>
      </c>
      <c r="D442" s="0" t="s">
        <v>5538</v>
      </c>
      <c r="E442" s="0" t="s">
        <v>5539</v>
      </c>
      <c r="F442" s="0" t="s">
        <v>4288</v>
      </c>
      <c r="G442" s="0" t="s">
        <v>5540</v>
      </c>
    </row>
    <row customHeight="1" ht="11.25">
      <c r="A443" s="373" t="s">
        <v>14</v>
      </c>
      <c r="B443" s="0" t="s">
        <v>5497</v>
      </c>
      <c r="C443" s="0" t="s">
        <v>5498</v>
      </c>
      <c r="D443" s="0" t="s">
        <v>5541</v>
      </c>
      <c r="E443" s="0" t="s">
        <v>5542</v>
      </c>
      <c r="F443" s="0" t="s">
        <v>4288</v>
      </c>
      <c r="G443" s="0" t="s">
        <v>5543</v>
      </c>
    </row>
    <row customHeight="1" ht="11.25">
      <c r="A444" s="373" t="s">
        <v>14</v>
      </c>
      <c r="B444" s="0" t="s">
        <v>5497</v>
      </c>
      <c r="C444" s="0" t="s">
        <v>5498</v>
      </c>
      <c r="D444" s="0" t="s">
        <v>5544</v>
      </c>
      <c r="E444" s="0" t="s">
        <v>5545</v>
      </c>
      <c r="F444" s="0" t="s">
        <v>4288</v>
      </c>
      <c r="G444" s="0" t="s">
        <v>5546</v>
      </c>
    </row>
    <row customHeight="1" ht="11.25">
      <c r="A445" s="373" t="s">
        <v>14</v>
      </c>
      <c r="B445" s="0" t="s">
        <v>5497</v>
      </c>
      <c r="C445" s="0" t="s">
        <v>5498</v>
      </c>
      <c r="D445" s="0" t="s">
        <v>5547</v>
      </c>
      <c r="E445" s="0" t="s">
        <v>5548</v>
      </c>
      <c r="F445" s="0" t="s">
        <v>4288</v>
      </c>
      <c r="G445" s="0" t="s">
        <v>5549</v>
      </c>
    </row>
    <row customHeight="1" ht="11.25">
      <c r="A446" s="373" t="s">
        <v>14</v>
      </c>
      <c r="B446" s="0" t="s">
        <v>5497</v>
      </c>
      <c r="C446" s="0" t="s">
        <v>5498</v>
      </c>
      <c r="D446" s="0" t="s">
        <v>5497</v>
      </c>
      <c r="E446" s="0" t="s">
        <v>5498</v>
      </c>
      <c r="F446" s="0" t="s">
        <v>4285</v>
      </c>
      <c r="G446" s="0" t="s">
        <v>5550</v>
      </c>
    </row>
    <row customHeight="1" ht="11.25">
      <c r="A447" s="373" t="s">
        <v>14</v>
      </c>
      <c r="B447" s="0" t="s">
        <v>5497</v>
      </c>
      <c r="C447" s="0" t="s">
        <v>5498</v>
      </c>
      <c r="D447" s="0" t="s">
        <v>5551</v>
      </c>
      <c r="E447" s="0" t="s">
        <v>5552</v>
      </c>
      <c r="F447" s="0" t="s">
        <v>4288</v>
      </c>
      <c r="G447" s="0" t="s">
        <v>5553</v>
      </c>
    </row>
    <row customHeight="1" ht="11.25">
      <c r="A448" s="373" t="s">
        <v>14</v>
      </c>
      <c r="B448" s="0" t="s">
        <v>5554</v>
      </c>
      <c r="C448" s="0" t="s">
        <v>5555</v>
      </c>
      <c r="D448" s="0" t="s">
        <v>5556</v>
      </c>
      <c r="E448" s="0" t="s">
        <v>5557</v>
      </c>
      <c r="F448" s="0" t="s">
        <v>4288</v>
      </c>
      <c r="G448" s="0" t="s">
        <v>5558</v>
      </c>
    </row>
    <row customHeight="1" ht="11.25">
      <c r="A449" s="373" t="s">
        <v>14</v>
      </c>
      <c r="B449" s="0" t="s">
        <v>5554</v>
      </c>
      <c r="C449" s="0" t="s">
        <v>5555</v>
      </c>
      <c r="D449" s="0" t="s">
        <v>5559</v>
      </c>
      <c r="E449" s="0" t="s">
        <v>5560</v>
      </c>
      <c r="F449" s="0" t="s">
        <v>4288</v>
      </c>
      <c r="G449" s="0" t="s">
        <v>5561</v>
      </c>
    </row>
    <row customHeight="1" ht="11.25">
      <c r="A450" s="373" t="s">
        <v>14</v>
      </c>
      <c r="B450" s="0" t="s">
        <v>5554</v>
      </c>
      <c r="C450" s="0" t="s">
        <v>5555</v>
      </c>
      <c r="D450" s="0" t="s">
        <v>5562</v>
      </c>
      <c r="E450" s="0" t="s">
        <v>5563</v>
      </c>
      <c r="F450" s="0" t="s">
        <v>4288</v>
      </c>
      <c r="G450" s="0" t="s">
        <v>5564</v>
      </c>
    </row>
    <row customHeight="1" ht="11.25">
      <c r="A451" s="373" t="s">
        <v>14</v>
      </c>
      <c r="B451" s="0" t="s">
        <v>5554</v>
      </c>
      <c r="C451" s="0" t="s">
        <v>5555</v>
      </c>
      <c r="D451" s="0" t="s">
        <v>5005</v>
      </c>
      <c r="E451" s="0" t="s">
        <v>5565</v>
      </c>
      <c r="F451" s="0" t="s">
        <v>4288</v>
      </c>
      <c r="G451" s="0" t="s">
        <v>5566</v>
      </c>
    </row>
    <row customHeight="1" ht="11.25">
      <c r="A452" s="373" t="s">
        <v>14</v>
      </c>
      <c r="B452" s="0" t="s">
        <v>5554</v>
      </c>
      <c r="C452" s="0" t="s">
        <v>5555</v>
      </c>
      <c r="D452" s="0" t="s">
        <v>5567</v>
      </c>
      <c r="E452" s="0" t="s">
        <v>5568</v>
      </c>
      <c r="F452" s="0" t="s">
        <v>4330</v>
      </c>
      <c r="G452" s="0" t="s">
        <v>5569</v>
      </c>
    </row>
    <row customHeight="1" ht="11.25">
      <c r="A453" s="373" t="s">
        <v>14</v>
      </c>
      <c r="B453" s="0" t="s">
        <v>5554</v>
      </c>
      <c r="C453" s="0" t="s">
        <v>5555</v>
      </c>
      <c r="D453" s="0" t="s">
        <v>5570</v>
      </c>
      <c r="E453" s="0" t="s">
        <v>5571</v>
      </c>
      <c r="F453" s="0" t="s">
        <v>4471</v>
      </c>
      <c r="G453" s="0" t="s">
        <v>5572</v>
      </c>
    </row>
    <row customHeight="1" ht="11.25">
      <c r="A454" s="373" t="s">
        <v>14</v>
      </c>
      <c r="B454" s="0" t="s">
        <v>5554</v>
      </c>
      <c r="C454" s="0" t="s">
        <v>5555</v>
      </c>
      <c r="D454" s="0" t="s">
        <v>5573</v>
      </c>
      <c r="E454" s="0" t="s">
        <v>5574</v>
      </c>
      <c r="F454" s="0" t="s">
        <v>4288</v>
      </c>
      <c r="G454" s="0" t="s">
        <v>5575</v>
      </c>
    </row>
    <row customHeight="1" ht="11.25">
      <c r="A455" s="373" t="s">
        <v>14</v>
      </c>
      <c r="B455" s="0" t="s">
        <v>5554</v>
      </c>
      <c r="C455" s="0" t="s">
        <v>5555</v>
      </c>
      <c r="D455" s="0" t="s">
        <v>5576</v>
      </c>
      <c r="E455" s="0" t="s">
        <v>5577</v>
      </c>
      <c r="F455" s="0" t="s">
        <v>4288</v>
      </c>
      <c r="G455" s="0" t="s">
        <v>5578</v>
      </c>
    </row>
    <row customHeight="1" ht="11.25">
      <c r="A456" s="373" t="s">
        <v>14</v>
      </c>
      <c r="B456" s="0" t="s">
        <v>5554</v>
      </c>
      <c r="C456" s="0" t="s">
        <v>5555</v>
      </c>
      <c r="D456" s="0" t="s">
        <v>5326</v>
      </c>
      <c r="E456" s="0" t="s">
        <v>5579</v>
      </c>
      <c r="F456" s="0" t="s">
        <v>4330</v>
      </c>
      <c r="G456" s="0" t="s">
        <v>5580</v>
      </c>
    </row>
    <row customHeight="1" ht="11.25">
      <c r="A457" s="373" t="s">
        <v>14</v>
      </c>
      <c r="B457" s="0" t="s">
        <v>5554</v>
      </c>
      <c r="C457" s="0" t="s">
        <v>5555</v>
      </c>
      <c r="D457" s="0" t="s">
        <v>5581</v>
      </c>
      <c r="E457" s="0" t="s">
        <v>5582</v>
      </c>
      <c r="F457" s="0" t="s">
        <v>4288</v>
      </c>
      <c r="G457" s="0" t="s">
        <v>5583</v>
      </c>
    </row>
    <row customHeight="1" ht="11.25">
      <c r="A458" s="373" t="s">
        <v>14</v>
      </c>
      <c r="B458" s="0" t="s">
        <v>5554</v>
      </c>
      <c r="C458" s="0" t="s">
        <v>5555</v>
      </c>
      <c r="D458" s="0" t="s">
        <v>5584</v>
      </c>
      <c r="E458" s="0" t="s">
        <v>5585</v>
      </c>
      <c r="F458" s="0" t="s">
        <v>4288</v>
      </c>
      <c r="G458" s="0" t="s">
        <v>5586</v>
      </c>
    </row>
    <row customHeight="1" ht="11.25">
      <c r="A459" s="373" t="s">
        <v>14</v>
      </c>
      <c r="B459" s="0" t="s">
        <v>5554</v>
      </c>
      <c r="C459" s="0" t="s">
        <v>5555</v>
      </c>
      <c r="D459" s="0" t="s">
        <v>5554</v>
      </c>
      <c r="E459" s="0" t="s">
        <v>5555</v>
      </c>
      <c r="F459" s="0" t="s">
        <v>4285</v>
      </c>
      <c r="G459" s="0" t="s">
        <v>5587</v>
      </c>
    </row>
    <row customHeight="1" ht="11.25">
      <c r="A460" s="373" t="s">
        <v>14</v>
      </c>
      <c r="B460" s="0" t="s">
        <v>5554</v>
      </c>
      <c r="C460" s="0" t="s">
        <v>5555</v>
      </c>
      <c r="D460" s="0" t="s">
        <v>5588</v>
      </c>
      <c r="E460" s="0" t="s">
        <v>5589</v>
      </c>
      <c r="F460" s="0" t="s">
        <v>4330</v>
      </c>
      <c r="G460" s="0" t="s">
        <v>5590</v>
      </c>
    </row>
    <row customHeight="1" ht="11.25">
      <c r="A461" s="373" t="s">
        <v>14</v>
      </c>
      <c r="B461" s="0" t="s">
        <v>5591</v>
      </c>
      <c r="C461" s="0" t="s">
        <v>5592</v>
      </c>
      <c r="D461" s="0" t="s">
        <v>5593</v>
      </c>
      <c r="E461" s="0" t="s">
        <v>5594</v>
      </c>
      <c r="F461" s="0" t="s">
        <v>4288</v>
      </c>
      <c r="G461" s="0" t="s">
        <v>5595</v>
      </c>
    </row>
    <row customHeight="1" ht="11.25">
      <c r="A462" s="373" t="s">
        <v>14</v>
      </c>
      <c r="B462" s="0" t="s">
        <v>5591</v>
      </c>
      <c r="C462" s="0" t="s">
        <v>5592</v>
      </c>
      <c r="D462" s="0" t="s">
        <v>5596</v>
      </c>
      <c r="E462" s="0" t="s">
        <v>5597</v>
      </c>
      <c r="F462" s="0" t="s">
        <v>4288</v>
      </c>
      <c r="G462" s="0" t="s">
        <v>5598</v>
      </c>
    </row>
    <row customHeight="1" ht="11.25">
      <c r="A463" s="373" t="s">
        <v>14</v>
      </c>
      <c r="B463" s="0" t="s">
        <v>5591</v>
      </c>
      <c r="C463" s="0" t="s">
        <v>5592</v>
      </c>
      <c r="D463" s="0" t="s">
        <v>5599</v>
      </c>
      <c r="E463" s="0" t="s">
        <v>5600</v>
      </c>
      <c r="F463" s="0" t="s">
        <v>4330</v>
      </c>
      <c r="G463" s="0" t="s">
        <v>5601</v>
      </c>
    </row>
    <row customHeight="1" ht="11.25">
      <c r="A464" s="373" t="s">
        <v>14</v>
      </c>
      <c r="B464" s="0" t="s">
        <v>5591</v>
      </c>
      <c r="C464" s="0" t="s">
        <v>5592</v>
      </c>
      <c r="D464" s="0" t="s">
        <v>5602</v>
      </c>
      <c r="E464" s="0" t="s">
        <v>5603</v>
      </c>
      <c r="F464" s="0" t="s">
        <v>4288</v>
      </c>
      <c r="G464" s="0" t="s">
        <v>5604</v>
      </c>
    </row>
    <row customHeight="1" ht="11.25">
      <c r="A465" s="373" t="s">
        <v>14</v>
      </c>
      <c r="B465" s="0" t="s">
        <v>5591</v>
      </c>
      <c r="C465" s="0" t="s">
        <v>5592</v>
      </c>
      <c r="D465" s="0" t="s">
        <v>5605</v>
      </c>
      <c r="E465" s="0" t="s">
        <v>5606</v>
      </c>
      <c r="F465" s="0" t="s">
        <v>4288</v>
      </c>
      <c r="G465" s="0" t="s">
        <v>5607</v>
      </c>
    </row>
    <row customHeight="1" ht="11.25">
      <c r="A466" s="373" t="s">
        <v>14</v>
      </c>
      <c r="B466" s="0" t="s">
        <v>5591</v>
      </c>
      <c r="C466" s="0" t="s">
        <v>5592</v>
      </c>
      <c r="D466" s="0" t="s">
        <v>5608</v>
      </c>
      <c r="E466" s="0" t="s">
        <v>5609</v>
      </c>
      <c r="F466" s="0" t="s">
        <v>4288</v>
      </c>
      <c r="G466" s="0" t="s">
        <v>5610</v>
      </c>
    </row>
    <row customHeight="1" ht="11.25">
      <c r="A467" s="373" t="s">
        <v>14</v>
      </c>
      <c r="B467" s="0" t="s">
        <v>5591</v>
      </c>
      <c r="C467" s="0" t="s">
        <v>5592</v>
      </c>
      <c r="D467" s="0" t="s">
        <v>5591</v>
      </c>
      <c r="E467" s="0" t="s">
        <v>5592</v>
      </c>
      <c r="F467" s="0" t="s">
        <v>4285</v>
      </c>
      <c r="G467" s="0" t="s">
        <v>5611</v>
      </c>
    </row>
    <row customHeight="1" ht="11.25">
      <c r="A468" s="373" t="s">
        <v>14</v>
      </c>
      <c r="B468" s="0" t="s">
        <v>5591</v>
      </c>
      <c r="C468" s="0" t="s">
        <v>5592</v>
      </c>
      <c r="D468" s="0" t="s">
        <v>5265</v>
      </c>
      <c r="E468" s="0" t="s">
        <v>5612</v>
      </c>
      <c r="F468" s="0" t="s">
        <v>4327</v>
      </c>
      <c r="G468" s="0" t="s">
        <v>5613</v>
      </c>
    </row>
    <row customHeight="1" ht="11.25">
      <c r="A469" s="373" t="s">
        <v>14</v>
      </c>
      <c r="B469" s="0" t="s">
        <v>5614</v>
      </c>
      <c r="C469" s="0" t="s">
        <v>5615</v>
      </c>
      <c r="D469" s="0" t="s">
        <v>5616</v>
      </c>
      <c r="E469" s="0" t="s">
        <v>5617</v>
      </c>
      <c r="F469" s="0" t="s">
        <v>4288</v>
      </c>
      <c r="G469" s="0" t="s">
        <v>5618</v>
      </c>
    </row>
    <row customHeight="1" ht="11.25">
      <c r="A470" s="373" t="s">
        <v>14</v>
      </c>
      <c r="B470" s="0" t="s">
        <v>5614</v>
      </c>
      <c r="C470" s="0" t="s">
        <v>5615</v>
      </c>
      <c r="D470" s="0" t="s">
        <v>5619</v>
      </c>
      <c r="E470" s="0" t="s">
        <v>5620</v>
      </c>
      <c r="F470" s="0" t="s">
        <v>4288</v>
      </c>
      <c r="G470" s="0" t="s">
        <v>5621</v>
      </c>
    </row>
    <row customHeight="1" ht="11.25">
      <c r="A471" s="373" t="s">
        <v>14</v>
      </c>
      <c r="B471" s="0" t="s">
        <v>5614</v>
      </c>
      <c r="C471" s="0" t="s">
        <v>5615</v>
      </c>
      <c r="D471" s="0" t="s">
        <v>5622</v>
      </c>
      <c r="E471" s="0" t="s">
        <v>5623</v>
      </c>
      <c r="F471" s="0" t="s">
        <v>4288</v>
      </c>
      <c r="G471" s="0" t="s">
        <v>5624</v>
      </c>
    </row>
    <row customHeight="1" ht="11.25">
      <c r="A472" s="373" t="s">
        <v>14</v>
      </c>
      <c r="B472" s="0" t="s">
        <v>5614</v>
      </c>
      <c r="C472" s="0" t="s">
        <v>5615</v>
      </c>
      <c r="D472" s="0" t="s">
        <v>5625</v>
      </c>
      <c r="E472" s="0" t="s">
        <v>5626</v>
      </c>
      <c r="F472" s="0" t="s">
        <v>4288</v>
      </c>
      <c r="G472" s="0" t="s">
        <v>5627</v>
      </c>
    </row>
    <row customHeight="1" ht="11.25">
      <c r="A473" s="373" t="s">
        <v>14</v>
      </c>
      <c r="B473" s="0" t="s">
        <v>5614</v>
      </c>
      <c r="C473" s="0" t="s">
        <v>5615</v>
      </c>
      <c r="D473" s="0" t="s">
        <v>5628</v>
      </c>
      <c r="E473" s="0" t="s">
        <v>5629</v>
      </c>
      <c r="F473" s="0" t="s">
        <v>4288</v>
      </c>
      <c r="G473" s="0" t="s">
        <v>5630</v>
      </c>
    </row>
    <row customHeight="1" ht="11.25">
      <c r="A474" s="373" t="s">
        <v>14</v>
      </c>
      <c r="B474" s="0" t="s">
        <v>5614</v>
      </c>
      <c r="C474" s="0" t="s">
        <v>5615</v>
      </c>
      <c r="D474" s="0" t="s">
        <v>5631</v>
      </c>
      <c r="E474" s="0" t="s">
        <v>5632</v>
      </c>
      <c r="F474" s="0" t="s">
        <v>4288</v>
      </c>
      <c r="G474" s="0" t="s">
        <v>5633</v>
      </c>
    </row>
    <row customHeight="1" ht="11.25">
      <c r="A475" s="373" t="s">
        <v>14</v>
      </c>
      <c r="B475" s="0" t="s">
        <v>5614</v>
      </c>
      <c r="C475" s="0" t="s">
        <v>5615</v>
      </c>
      <c r="D475" s="0" t="s">
        <v>5634</v>
      </c>
      <c r="E475" s="0" t="s">
        <v>5635</v>
      </c>
      <c r="F475" s="0" t="s">
        <v>4288</v>
      </c>
      <c r="G475" s="0" t="s">
        <v>5636</v>
      </c>
    </row>
    <row customHeight="1" ht="11.25">
      <c r="A476" s="373" t="s">
        <v>14</v>
      </c>
      <c r="B476" s="0" t="s">
        <v>5614</v>
      </c>
      <c r="C476" s="0" t="s">
        <v>5615</v>
      </c>
      <c r="D476" s="0" t="s">
        <v>5637</v>
      </c>
      <c r="E476" s="0" t="s">
        <v>5638</v>
      </c>
      <c r="F476" s="0" t="s">
        <v>4288</v>
      </c>
      <c r="G476" s="0" t="s">
        <v>5639</v>
      </c>
    </row>
    <row customHeight="1" ht="11.25">
      <c r="A477" s="373" t="s">
        <v>14</v>
      </c>
      <c r="B477" s="0" t="s">
        <v>5614</v>
      </c>
      <c r="C477" s="0" t="s">
        <v>5615</v>
      </c>
      <c r="D477" s="0" t="s">
        <v>5640</v>
      </c>
      <c r="E477" s="0" t="s">
        <v>5641</v>
      </c>
      <c r="F477" s="0" t="s">
        <v>4288</v>
      </c>
      <c r="G477" s="0" t="s">
        <v>5642</v>
      </c>
    </row>
    <row customHeight="1" ht="11.25">
      <c r="A478" s="373" t="s">
        <v>14</v>
      </c>
      <c r="B478" s="0" t="s">
        <v>5614</v>
      </c>
      <c r="C478" s="0" t="s">
        <v>5615</v>
      </c>
      <c r="D478" s="0" t="s">
        <v>5643</v>
      </c>
      <c r="E478" s="0" t="s">
        <v>5644</v>
      </c>
      <c r="F478" s="0" t="s">
        <v>4288</v>
      </c>
      <c r="G478" s="0" t="s">
        <v>5645</v>
      </c>
    </row>
    <row customHeight="1" ht="11.25">
      <c r="A479" s="373" t="s">
        <v>14</v>
      </c>
      <c r="B479" s="0" t="s">
        <v>5614</v>
      </c>
      <c r="C479" s="0" t="s">
        <v>5615</v>
      </c>
      <c r="D479" s="0" t="s">
        <v>5646</v>
      </c>
      <c r="E479" s="0" t="s">
        <v>5647</v>
      </c>
      <c r="F479" s="0" t="s">
        <v>4288</v>
      </c>
      <c r="G479" s="0" t="s">
        <v>5648</v>
      </c>
    </row>
    <row customHeight="1" ht="11.25">
      <c r="A480" s="373" t="s">
        <v>14</v>
      </c>
      <c r="B480" s="0" t="s">
        <v>5614</v>
      </c>
      <c r="C480" s="0" t="s">
        <v>5615</v>
      </c>
      <c r="D480" s="0" t="s">
        <v>5649</v>
      </c>
      <c r="E480" s="0" t="s">
        <v>5650</v>
      </c>
      <c r="F480" s="0" t="s">
        <v>4288</v>
      </c>
      <c r="G480" s="0" t="s">
        <v>5651</v>
      </c>
    </row>
    <row customHeight="1" ht="11.25">
      <c r="A481" s="373" t="s">
        <v>14</v>
      </c>
      <c r="B481" s="0" t="s">
        <v>5614</v>
      </c>
      <c r="C481" s="0" t="s">
        <v>5615</v>
      </c>
      <c r="D481" s="0" t="s">
        <v>5652</v>
      </c>
      <c r="E481" s="0" t="s">
        <v>5653</v>
      </c>
      <c r="F481" s="0" t="s">
        <v>4288</v>
      </c>
      <c r="G481" s="0" t="s">
        <v>5654</v>
      </c>
    </row>
    <row customHeight="1" ht="11.25">
      <c r="A482" s="373" t="s">
        <v>14</v>
      </c>
      <c r="B482" s="0" t="s">
        <v>5614</v>
      </c>
      <c r="C482" s="0" t="s">
        <v>5615</v>
      </c>
      <c r="D482" s="0" t="s">
        <v>5614</v>
      </c>
      <c r="E482" s="0" t="s">
        <v>5615</v>
      </c>
      <c r="F482" s="0" t="s">
        <v>4285</v>
      </c>
      <c r="G482" s="0" t="s">
        <v>5655</v>
      </c>
    </row>
    <row customHeight="1" ht="11.25">
      <c r="A483" s="373" t="s">
        <v>14</v>
      </c>
      <c r="B483" s="0" t="s">
        <v>5656</v>
      </c>
      <c r="C483" s="0" t="s">
        <v>5657</v>
      </c>
      <c r="D483" s="0" t="s">
        <v>5656</v>
      </c>
      <c r="E483" s="0" t="s">
        <v>5657</v>
      </c>
      <c r="F483" s="0" t="s">
        <v>4322</v>
      </c>
      <c r="G483" s="0" t="s">
        <v>5658</v>
      </c>
    </row>
    <row customHeight="1" ht="11.25">
      <c r="A484" s="373" t="s">
        <v>14</v>
      </c>
      <c r="B484" s="0" t="s">
        <v>5659</v>
      </c>
      <c r="C484" s="0" t="s">
        <v>5660</v>
      </c>
      <c r="D484" s="0" t="s">
        <v>5659</v>
      </c>
      <c r="E484" s="0" t="s">
        <v>5660</v>
      </c>
      <c r="F484" s="0" t="s">
        <v>4322</v>
      </c>
      <c r="G484" s="0" t="s">
        <v>5661</v>
      </c>
    </row>
    <row customHeight="1" ht="11.25">
      <c r="A485" s="373" t="s">
        <v>14</v>
      </c>
      <c r="B485" s="0" t="s">
        <v>5662</v>
      </c>
      <c r="C485" s="0" t="s">
        <v>5663</v>
      </c>
      <c r="D485" s="0" t="s">
        <v>5662</v>
      </c>
      <c r="E485" s="0" t="s">
        <v>5663</v>
      </c>
      <c r="F485" s="0" t="s">
        <v>4322</v>
      </c>
      <c r="G485" s="0" t="s">
        <v>5664</v>
      </c>
    </row>
    <row customHeight="1" ht="11.25">
      <c r="A486" s="373" t="s">
        <v>14</v>
      </c>
      <c r="B486" s="0" t="s">
        <v>5665</v>
      </c>
      <c r="C486" s="0" t="s">
        <v>5666</v>
      </c>
      <c r="D486" s="0" t="s">
        <v>5665</v>
      </c>
      <c r="E486" s="0" t="s">
        <v>5666</v>
      </c>
      <c r="F486" s="0" t="s">
        <v>4322</v>
      </c>
      <c r="G486" s="0" t="s">
        <v>5667</v>
      </c>
    </row>
    <row customHeight="1" ht="11.25">
      <c r="A487" s="373" t="s">
        <v>14</v>
      </c>
      <c r="B487" s="0" t="s">
        <v>5668</v>
      </c>
      <c r="C487" s="0" t="s">
        <v>5669</v>
      </c>
      <c r="D487" s="0" t="s">
        <v>5668</v>
      </c>
      <c r="E487" s="0" t="s">
        <v>5669</v>
      </c>
      <c r="F487" s="0" t="s">
        <v>4322</v>
      </c>
      <c r="G487" s="0" t="s">
        <v>5670</v>
      </c>
    </row>
    <row customHeight="1" ht="11.25">
      <c r="A488" s="373" t="s">
        <v>14</v>
      </c>
      <c r="B488" s="0" t="s">
        <v>5671</v>
      </c>
      <c r="C488" s="0" t="s">
        <v>5672</v>
      </c>
      <c r="D488" s="0" t="s">
        <v>5671</v>
      </c>
      <c r="E488" s="0" t="s">
        <v>5672</v>
      </c>
      <c r="F488" s="0" t="s">
        <v>4322</v>
      </c>
      <c r="G488" s="0" t="s">
        <v>5673</v>
      </c>
    </row>
    <row customHeight="1" ht="11.25">
      <c r="A489" s="373" t="s">
        <v>14</v>
      </c>
      <c r="B489" s="0" t="s">
        <v>5674</v>
      </c>
      <c r="C489" s="0" t="s">
        <v>5675</v>
      </c>
      <c r="D489" s="0" t="s">
        <v>5674</v>
      </c>
      <c r="E489" s="0" t="s">
        <v>5675</v>
      </c>
      <c r="F489" s="0" t="s">
        <v>4322</v>
      </c>
      <c r="G489" s="0" t="s">
        <v>5676</v>
      </c>
    </row>
    <row customHeight="1" ht="11.25">
      <c r="A490" s="373" t="s">
        <v>14</v>
      </c>
      <c r="B490" s="0" t="s">
        <v>5677</v>
      </c>
      <c r="C490" s="0" t="s">
        <v>5678</v>
      </c>
      <c r="D490" s="0" t="s">
        <v>5677</v>
      </c>
      <c r="E490" s="0" t="s">
        <v>5678</v>
      </c>
      <c r="F490" s="0" t="s">
        <v>4322</v>
      </c>
      <c r="G490" s="0" t="s">
        <v>5679</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5C31CD-B07D-8547-2B65-9CAA79853F56}" mc:Ignorable="x14ac xr xr2 xr3">
  <sheetPr>
    <tabColor rgb="FFFFCC99"/>
  </sheetPr>
  <dimension ref="A1:D78"/>
  <sheetViews>
    <sheetView topLeftCell="A1" showGridLines="0" workbookViewId="0">
      <selection activeCell="A1" sqref="A1"/>
    </sheetView>
  </sheetViews>
  <sheetFormatPr defaultColWidth="9.140625" customHeight="1" defaultRowHeight="11.25"/>
  <cols>
    <col min="1" max="4" style="5145" width="9.140625"/>
  </cols>
  <sheetData>
    <row customHeight="1" ht="11.25">
      <c r="A1" s="841" t="s">
        <v>5680</v>
      </c>
      <c r="B1" s="841" t="s">
        <v>5681</v>
      </c>
      <c r="C1" s="841" t="s">
        <v>5682</v>
      </c>
      <c r="D1" s="841" t="s">
        <v>5683</v>
      </c>
    </row>
    <row customHeight="1" ht="11.25">
      <c r="A2" s="5146" t="s">
        <v>110</v>
      </c>
      <c r="B2" s="5146" t="s">
        <v>5684</v>
      </c>
      <c r="C2" s="5146" t="s">
        <v>5685</v>
      </c>
      <c r="D2" s="5146" t="s">
        <v>5686</v>
      </c>
    </row>
    <row customHeight="1" ht="11.25">
      <c r="A3" s="5146" t="s">
        <v>111</v>
      </c>
      <c r="B3" s="5146" t="s">
        <v>5687</v>
      </c>
      <c r="C3" s="5146" t="s">
        <v>5685</v>
      </c>
      <c r="D3" s="5146" t="s">
        <v>5688</v>
      </c>
    </row>
    <row customHeight="1" ht="11.25">
      <c r="A4" s="5146" t="s">
        <v>90</v>
      </c>
      <c r="B4" s="5146" t="s">
        <v>5689</v>
      </c>
      <c r="C4" s="5146" t="s">
        <v>5690</v>
      </c>
      <c r="D4" s="5146" t="s">
        <v>5691</v>
      </c>
    </row>
    <row customHeight="1" ht="11.25">
      <c r="A5" s="5146" t="s">
        <v>91</v>
      </c>
      <c r="B5" s="5146" t="s">
        <v>5692</v>
      </c>
      <c r="C5" s="5146" t="s">
        <v>5693</v>
      </c>
      <c r="D5" s="5146" t="s">
        <v>5694</v>
      </c>
    </row>
    <row customHeight="1" ht="11.25">
      <c r="A6" s="5146" t="s">
        <v>112</v>
      </c>
      <c r="B6" s="5146" t="s">
        <v>5695</v>
      </c>
      <c r="C6" s="5146" t="s">
        <v>5696</v>
      </c>
      <c r="D6" s="5146" t="s">
        <v>5697</v>
      </c>
    </row>
    <row customHeight="1" ht="11.25">
      <c r="A7" s="5146" t="s">
        <v>92</v>
      </c>
      <c r="B7" s="5146" t="s">
        <v>5698</v>
      </c>
      <c r="C7" s="5146" t="s">
        <v>5685</v>
      </c>
      <c r="D7" s="5146" t="s">
        <v>5688</v>
      </c>
    </row>
    <row customHeight="1" ht="11.25">
      <c r="A8" s="5146" t="s">
        <v>93</v>
      </c>
      <c r="B8" s="5146" t="s">
        <v>5699</v>
      </c>
      <c r="C8" s="5146" t="s">
        <v>5700</v>
      </c>
      <c r="D8" s="5146" t="s">
        <v>5686</v>
      </c>
    </row>
    <row customHeight="1" ht="11.25">
      <c r="A9" s="5146" t="s">
        <v>113</v>
      </c>
      <c r="B9" s="5146" t="s">
        <v>5701</v>
      </c>
      <c r="C9" s="5146" t="s">
        <v>5702</v>
      </c>
      <c r="D9" s="5146" t="s">
        <v>5703</v>
      </c>
    </row>
    <row customHeight="1" ht="11.25">
      <c r="A10" s="5146" t="s">
        <v>149</v>
      </c>
      <c r="B10" s="5146" t="s">
        <v>5704</v>
      </c>
      <c r="C10" s="5146" t="s">
        <v>5705</v>
      </c>
      <c r="D10" s="5146" t="s">
        <v>5697</v>
      </c>
    </row>
    <row customHeight="1" ht="11.25">
      <c r="A11" s="5146" t="s">
        <v>150</v>
      </c>
      <c r="B11" s="5146" t="s">
        <v>5706</v>
      </c>
      <c r="C11" s="5146" t="s">
        <v>5700</v>
      </c>
      <c r="D11" s="5146" t="s">
        <v>5697</v>
      </c>
    </row>
    <row customHeight="1" ht="11.25">
      <c r="A12" s="5146" t="s">
        <v>151</v>
      </c>
      <c r="B12" s="5146" t="s">
        <v>5707</v>
      </c>
      <c r="C12" s="5146" t="s">
        <v>5708</v>
      </c>
      <c r="D12" s="5146" t="s">
        <v>5709</v>
      </c>
    </row>
    <row customHeight="1" ht="11.25">
      <c r="A13" s="5146" t="s">
        <v>152</v>
      </c>
      <c r="B13" s="5146" t="s">
        <v>5710</v>
      </c>
      <c r="C13" s="5146" t="s">
        <v>5711</v>
      </c>
      <c r="D13" s="5146" t="s">
        <v>5709</v>
      </c>
    </row>
    <row customHeight="1" ht="11.25">
      <c r="A14" s="5146" t="s">
        <v>153</v>
      </c>
      <c r="B14" s="5146" t="s">
        <v>5712</v>
      </c>
      <c r="C14" s="5146" t="s">
        <v>5708</v>
      </c>
      <c r="D14" s="5146" t="s">
        <v>5709</v>
      </c>
    </row>
    <row customHeight="1" ht="11.25">
      <c r="A15" s="5146" t="s">
        <v>154</v>
      </c>
      <c r="B15" s="5146" t="s">
        <v>5713</v>
      </c>
      <c r="C15" s="5146" t="s">
        <v>5714</v>
      </c>
      <c r="D15" s="5146" t="s">
        <v>5715</v>
      </c>
    </row>
    <row customHeight="1" ht="11.25">
      <c r="A16" s="5146" t="s">
        <v>1463</v>
      </c>
      <c r="B16" s="5146" t="s">
        <v>5716</v>
      </c>
      <c r="C16" s="5146" t="s">
        <v>5714</v>
      </c>
      <c r="D16" s="5146" t="s">
        <v>5714</v>
      </c>
    </row>
    <row customHeight="1" ht="11.25">
      <c r="A17" s="5146" t="s">
        <v>1469</v>
      </c>
      <c r="B17" s="5146" t="s">
        <v>5717</v>
      </c>
      <c r="C17" s="5146" t="s">
        <v>5708</v>
      </c>
      <c r="D17" s="5146" t="s">
        <v>5697</v>
      </c>
    </row>
    <row customHeight="1" ht="11.25">
      <c r="A18" s="5146" t="s">
        <v>1480</v>
      </c>
      <c r="B18" s="5146" t="s">
        <v>5718</v>
      </c>
      <c r="C18" s="5146" t="s">
        <v>5719</v>
      </c>
      <c r="D18" s="5146" t="s">
        <v>5720</v>
      </c>
    </row>
    <row customHeight="1" ht="11.25">
      <c r="A19" s="5146" t="s">
        <v>1494</v>
      </c>
      <c r="B19" s="5146" t="s">
        <v>5721</v>
      </c>
      <c r="C19" s="5146" t="s">
        <v>5722</v>
      </c>
      <c r="D19" s="5146" t="s">
        <v>5723</v>
      </c>
    </row>
    <row customHeight="1" ht="11.25">
      <c r="A20" s="5146" t="s">
        <v>1506</v>
      </c>
      <c r="B20" s="5146" t="s">
        <v>5724</v>
      </c>
      <c r="C20" s="5146" t="s">
        <v>5722</v>
      </c>
      <c r="D20" s="5146" t="s">
        <v>5720</v>
      </c>
    </row>
    <row customHeight="1" ht="11.25">
      <c r="A21" s="5146" t="s">
        <v>1514</v>
      </c>
      <c r="B21" s="5146" t="s">
        <v>5725</v>
      </c>
      <c r="C21" s="5146" t="s">
        <v>5726</v>
      </c>
      <c r="D21" s="5146" t="s">
        <v>5703</v>
      </c>
    </row>
    <row customHeight="1" ht="11.25">
      <c r="A22" s="5146" t="s">
        <v>1530</v>
      </c>
      <c r="B22" s="5146" t="s">
        <v>5727</v>
      </c>
      <c r="C22" s="5146" t="s">
        <v>5728</v>
      </c>
      <c r="D22" s="5146" t="s">
        <v>5729</v>
      </c>
    </row>
    <row customHeight="1" ht="11.25">
      <c r="A23" s="5146" t="s">
        <v>1537</v>
      </c>
      <c r="B23" s="5146" t="s">
        <v>5730</v>
      </c>
      <c r="C23" s="5146" t="s">
        <v>5690</v>
      </c>
      <c r="D23" s="5146" t="s">
        <v>5691</v>
      </c>
    </row>
    <row customHeight="1" ht="11.25">
      <c r="A24" s="5146" t="s">
        <v>1545</v>
      </c>
      <c r="B24" s="5146" t="s">
        <v>5731</v>
      </c>
      <c r="C24" s="5146" t="s">
        <v>5690</v>
      </c>
      <c r="D24" s="5146" t="s">
        <v>5691</v>
      </c>
    </row>
    <row customHeight="1" ht="11.25">
      <c r="A25" s="5146" t="s">
        <v>1552</v>
      </c>
      <c r="B25" s="5146" t="s">
        <v>5732</v>
      </c>
      <c r="C25" s="5146" t="s">
        <v>5690</v>
      </c>
      <c r="D25" s="5146" t="s">
        <v>5691</v>
      </c>
    </row>
    <row customHeight="1" ht="11.25">
      <c r="A26" s="5146" t="s">
        <v>1556</v>
      </c>
      <c r="B26" s="5146" t="s">
        <v>5733</v>
      </c>
      <c r="C26" s="5146" t="s">
        <v>5708</v>
      </c>
      <c r="D26" s="5146" t="s">
        <v>5734</v>
      </c>
    </row>
    <row customHeight="1" ht="11.25">
      <c r="A27" s="5146" t="s">
        <v>1561</v>
      </c>
      <c r="B27" s="5146" t="s">
        <v>5735</v>
      </c>
      <c r="C27" s="5146" t="s">
        <v>5708</v>
      </c>
      <c r="D27" s="5146" t="s">
        <v>5736</v>
      </c>
    </row>
    <row customHeight="1" ht="11.25">
      <c r="A28" s="5146" t="s">
        <v>1569</v>
      </c>
      <c r="B28" s="5146" t="s">
        <v>5737</v>
      </c>
      <c r="C28" s="5146" t="s">
        <v>5738</v>
      </c>
      <c r="D28" s="5146" t="s">
        <v>5739</v>
      </c>
    </row>
    <row customHeight="1" ht="11.25">
      <c r="A29" s="5146" t="s">
        <v>1571</v>
      </c>
      <c r="B29" s="5146" t="s">
        <v>5740</v>
      </c>
      <c r="C29" s="5146" t="s">
        <v>5741</v>
      </c>
      <c r="D29" s="5146" t="s">
        <v>5742</v>
      </c>
    </row>
    <row customHeight="1" ht="11.25">
      <c r="A30" s="5146" t="s">
        <v>1574</v>
      </c>
      <c r="B30" s="5146" t="s">
        <v>5743</v>
      </c>
      <c r="C30" s="5146" t="s">
        <v>5708</v>
      </c>
      <c r="D30" s="5146" t="s">
        <v>5742</v>
      </c>
    </row>
    <row customHeight="1" ht="11.25">
      <c r="A31" s="5146" t="s">
        <v>1579</v>
      </c>
      <c r="B31" s="5146" t="s">
        <v>5744</v>
      </c>
      <c r="C31" s="5146" t="s">
        <v>5745</v>
      </c>
      <c r="D31" s="5146" t="s">
        <v>5746</v>
      </c>
    </row>
    <row customHeight="1" ht="11.25">
      <c r="A32" s="5146" t="s">
        <v>1581</v>
      </c>
      <c r="B32" s="5146" t="s">
        <v>5747</v>
      </c>
      <c r="C32" s="5146" t="s">
        <v>5748</v>
      </c>
      <c r="D32" s="5146" t="s">
        <v>5697</v>
      </c>
    </row>
    <row customHeight="1" ht="11.25">
      <c r="A33" s="5146" t="s">
        <v>1583</v>
      </c>
      <c r="B33" s="5146" t="s">
        <v>5749</v>
      </c>
      <c r="C33" s="5146" t="s">
        <v>5748</v>
      </c>
      <c r="D33" s="5146" t="s">
        <v>5697</v>
      </c>
    </row>
    <row customHeight="1" ht="11.25">
      <c r="A34" s="5146" t="s">
        <v>1585</v>
      </c>
      <c r="B34" s="5146" t="s">
        <v>5750</v>
      </c>
      <c r="C34" s="5146" t="s">
        <v>5751</v>
      </c>
      <c r="D34" s="5146" t="s">
        <v>5686</v>
      </c>
    </row>
    <row customHeight="1" ht="11.25">
      <c r="A35" s="5146" t="s">
        <v>1590</v>
      </c>
      <c r="B35" s="5146" t="s">
        <v>5752</v>
      </c>
      <c r="C35" s="5146" t="s">
        <v>5751</v>
      </c>
      <c r="D35" s="5146" t="s">
        <v>5697</v>
      </c>
    </row>
    <row customHeight="1" ht="11.25">
      <c r="A36" s="5146" t="s">
        <v>1595</v>
      </c>
      <c r="B36" s="5146" t="s">
        <v>5753</v>
      </c>
      <c r="C36" s="5146" t="s">
        <v>5754</v>
      </c>
      <c r="D36" s="5146" t="s">
        <v>5697</v>
      </c>
    </row>
    <row customHeight="1" ht="11.25">
      <c r="A37" s="5146" t="s">
        <v>1599</v>
      </c>
      <c r="B37" s="5146" t="s">
        <v>5755</v>
      </c>
      <c r="C37" s="5146" t="s">
        <v>5754</v>
      </c>
      <c r="D37" s="5146" t="s">
        <v>5697</v>
      </c>
    </row>
    <row customHeight="1" ht="11.25">
      <c r="A38" s="5146" t="s">
        <v>1607</v>
      </c>
      <c r="B38" s="5146" t="s">
        <v>5756</v>
      </c>
      <c r="C38" s="5146" t="s">
        <v>5757</v>
      </c>
      <c r="D38" s="5146" t="s">
        <v>5746</v>
      </c>
    </row>
    <row customHeight="1" ht="11.25">
      <c r="A39" s="5146" t="s">
        <v>1613</v>
      </c>
      <c r="B39" s="5146" t="s">
        <v>5758</v>
      </c>
      <c r="C39" s="5146" t="s">
        <v>5759</v>
      </c>
      <c r="D39" s="5146" t="s">
        <v>5746</v>
      </c>
    </row>
    <row customHeight="1" ht="11.25">
      <c r="A40" s="5146" t="s">
        <v>1618</v>
      </c>
      <c r="B40" s="5146" t="s">
        <v>5760</v>
      </c>
      <c r="C40" s="5146" t="s">
        <v>5759</v>
      </c>
      <c r="D40" s="5146" t="s">
        <v>5703</v>
      </c>
    </row>
    <row customHeight="1" ht="11.25">
      <c r="A41" s="5146" t="s">
        <v>1622</v>
      </c>
      <c r="B41" s="5146" t="s">
        <v>5761</v>
      </c>
      <c r="C41" s="5146" t="s">
        <v>5762</v>
      </c>
      <c r="D41" s="5146" t="s">
        <v>5691</v>
      </c>
    </row>
    <row customHeight="1" ht="11.25">
      <c r="A42" s="5146" t="s">
        <v>1625</v>
      </c>
      <c r="B42" s="5146" t="s">
        <v>5763</v>
      </c>
      <c r="C42" s="5146" t="s">
        <v>5764</v>
      </c>
      <c r="D42" s="5146" t="s">
        <v>5703</v>
      </c>
    </row>
    <row customHeight="1" ht="11.25">
      <c r="A43" s="5146" t="s">
        <v>1632</v>
      </c>
      <c r="B43" s="5146" t="s">
        <v>5765</v>
      </c>
      <c r="C43" s="5146" t="s">
        <v>5700</v>
      </c>
      <c r="D43" s="5146" t="s">
        <v>5697</v>
      </c>
    </row>
    <row customHeight="1" ht="11.25">
      <c r="A44" s="5146" t="s">
        <v>1641</v>
      </c>
      <c r="B44" s="5146" t="s">
        <v>5766</v>
      </c>
      <c r="C44" s="5146" t="s">
        <v>5700</v>
      </c>
      <c r="D44" s="5146" t="s">
        <v>5688</v>
      </c>
    </row>
    <row customHeight="1" ht="11.25">
      <c r="A45" s="5146" t="s">
        <v>1646</v>
      </c>
      <c r="B45" s="5146" t="s">
        <v>5767</v>
      </c>
      <c r="C45" s="5146" t="s">
        <v>5768</v>
      </c>
      <c r="D45" s="5146" t="s">
        <v>5686</v>
      </c>
    </row>
    <row customHeight="1" ht="11.25">
      <c r="A46" s="5146" t="s">
        <v>1650</v>
      </c>
      <c r="B46" s="5146" t="s">
        <v>5769</v>
      </c>
      <c r="C46" s="5146" t="s">
        <v>5770</v>
      </c>
      <c r="D46" s="5146" t="s">
        <v>5686</v>
      </c>
    </row>
    <row customHeight="1" ht="11.25">
      <c r="A47" s="5146" t="s">
        <v>1656</v>
      </c>
      <c r="B47" s="5146" t="s">
        <v>5771</v>
      </c>
      <c r="C47" s="5146" t="s">
        <v>5768</v>
      </c>
      <c r="D47" s="5146" t="s">
        <v>5686</v>
      </c>
    </row>
    <row customHeight="1" ht="11.25">
      <c r="A48" s="5146" t="s">
        <v>1661</v>
      </c>
      <c r="B48" s="5146" t="s">
        <v>5772</v>
      </c>
      <c r="C48" s="5146" t="s">
        <v>5770</v>
      </c>
      <c r="D48" s="5146" t="s">
        <v>5686</v>
      </c>
    </row>
    <row customHeight="1" ht="11.25">
      <c r="A49" s="5146" t="s">
        <v>1664</v>
      </c>
      <c r="B49" s="5146" t="s">
        <v>5773</v>
      </c>
      <c r="C49" s="5146" t="s">
        <v>5700</v>
      </c>
      <c r="D49" s="5146" t="s">
        <v>5746</v>
      </c>
    </row>
    <row customHeight="1" ht="11.25">
      <c r="A50" s="5146" t="s">
        <v>1668</v>
      </c>
      <c r="B50" s="5146" t="s">
        <v>5773</v>
      </c>
      <c r="C50" s="5146" t="s">
        <v>5700</v>
      </c>
      <c r="D50" s="5146" t="s">
        <v>5746</v>
      </c>
    </row>
    <row customHeight="1" ht="11.25">
      <c r="A51" s="5146" t="s">
        <v>1672</v>
      </c>
      <c r="B51" s="5146" t="s">
        <v>5774</v>
      </c>
      <c r="C51" s="5146" t="s">
        <v>5770</v>
      </c>
      <c r="D51" s="5146" t="s">
        <v>5686</v>
      </c>
    </row>
    <row customHeight="1" ht="11.25">
      <c r="A52" s="5146" t="s">
        <v>1676</v>
      </c>
      <c r="B52" s="5146" t="s">
        <v>5775</v>
      </c>
      <c r="C52" s="5146" t="s">
        <v>5700</v>
      </c>
      <c r="D52" s="5146" t="s">
        <v>5776</v>
      </c>
    </row>
    <row customHeight="1" ht="11.25">
      <c r="A53" s="5146" t="s">
        <v>1678</v>
      </c>
      <c r="B53" s="5146" t="s">
        <v>5777</v>
      </c>
      <c r="C53" s="5146" t="s">
        <v>5700</v>
      </c>
      <c r="D53" s="5146" t="s">
        <v>5686</v>
      </c>
    </row>
    <row customHeight="1" ht="11.25">
      <c r="A54" s="5146" t="s">
        <v>1681</v>
      </c>
      <c r="B54" s="5146" t="s">
        <v>5778</v>
      </c>
      <c r="C54" s="5146" t="s">
        <v>5779</v>
      </c>
      <c r="D54" s="5146" t="s">
        <v>5742</v>
      </c>
    </row>
    <row customHeight="1" ht="11.25">
      <c r="A55" s="5146" t="s">
        <v>1685</v>
      </c>
      <c r="B55" s="5146" t="s">
        <v>5780</v>
      </c>
      <c r="C55" s="5146" t="s">
        <v>5781</v>
      </c>
      <c r="D55" s="5146" t="s">
        <v>5782</v>
      </c>
    </row>
    <row customHeight="1" ht="11.25">
      <c r="A56" s="5146" t="s">
        <v>1688</v>
      </c>
      <c r="B56" s="5146" t="s">
        <v>5783</v>
      </c>
      <c r="C56" s="5146" t="s">
        <v>5759</v>
      </c>
      <c r="D56" s="5146" t="s">
        <v>5742</v>
      </c>
    </row>
    <row customHeight="1" ht="11.25">
      <c r="A57" s="5146" t="s">
        <v>1691</v>
      </c>
      <c r="B57" s="5146" t="s">
        <v>5784</v>
      </c>
      <c r="C57" s="5146" t="s">
        <v>5759</v>
      </c>
      <c r="D57" s="5146" t="s">
        <v>5691</v>
      </c>
    </row>
    <row customHeight="1" ht="11.25">
      <c r="A58" s="5146" t="s">
        <v>1694</v>
      </c>
      <c r="B58" s="5146" t="s">
        <v>5785</v>
      </c>
      <c r="C58" s="5146" t="s">
        <v>5708</v>
      </c>
      <c r="D58" s="5146" t="s">
        <v>5720</v>
      </c>
    </row>
    <row customHeight="1" ht="11.25">
      <c r="A59" s="5146" t="s">
        <v>1698</v>
      </c>
      <c r="B59" s="5146" t="s">
        <v>5786</v>
      </c>
      <c r="C59" s="5146" t="s">
        <v>5708</v>
      </c>
      <c r="D59" s="5146" t="s">
        <v>5697</v>
      </c>
    </row>
    <row customHeight="1" ht="11.25">
      <c r="A60" s="5146" t="s">
        <v>1701</v>
      </c>
      <c r="B60" s="5146" t="s">
        <v>5787</v>
      </c>
      <c r="C60" s="5146" t="s">
        <v>5748</v>
      </c>
      <c r="D60" s="5146" t="s">
        <v>5709</v>
      </c>
    </row>
    <row customHeight="1" ht="11.25">
      <c r="A61" s="5146" t="s">
        <v>4407</v>
      </c>
      <c r="B61" s="5146" t="s">
        <v>5788</v>
      </c>
      <c r="C61" s="5146" t="s">
        <v>5686</v>
      </c>
      <c r="D61" s="5146" t="s">
        <v>5686</v>
      </c>
    </row>
    <row customHeight="1" ht="11.25">
      <c r="A62" s="5146" t="s">
        <v>4410</v>
      </c>
      <c r="B62" s="5146" t="s">
        <v>5789</v>
      </c>
      <c r="C62" s="5146" t="s">
        <v>5708</v>
      </c>
      <c r="D62" s="5146" t="s">
        <v>5697</v>
      </c>
    </row>
    <row customHeight="1" ht="11.25">
      <c r="A63" s="5146" t="s">
        <v>4413</v>
      </c>
      <c r="B63" s="5146" t="s">
        <v>5790</v>
      </c>
      <c r="C63" s="5146" t="s">
        <v>5726</v>
      </c>
      <c r="D63" s="5146" t="s">
        <v>5703</v>
      </c>
    </row>
    <row customHeight="1" ht="11.25">
      <c r="A64" s="5146" t="s">
        <v>4416</v>
      </c>
      <c r="B64" s="5146" t="s">
        <v>5791</v>
      </c>
      <c r="C64" s="5146" t="s">
        <v>5792</v>
      </c>
      <c r="D64" s="5146" t="s">
        <v>5793</v>
      </c>
    </row>
    <row customHeight="1" ht="11.25">
      <c r="A65" s="5146" t="s">
        <v>4419</v>
      </c>
      <c r="B65" s="5146" t="s">
        <v>5794</v>
      </c>
      <c r="C65" s="5146" t="s">
        <v>5792</v>
      </c>
      <c r="D65" s="5146" t="s">
        <v>5795</v>
      </c>
    </row>
    <row customHeight="1" ht="11.25">
      <c r="A66" s="5146" t="s">
        <v>4422</v>
      </c>
      <c r="B66" s="5146" t="s">
        <v>5796</v>
      </c>
      <c r="C66" s="5146" t="s">
        <v>5759</v>
      </c>
      <c r="D66" s="5146" t="s">
        <v>5746</v>
      </c>
    </row>
    <row customHeight="1" ht="11.25">
      <c r="A67" s="5146" t="s">
        <v>1923</v>
      </c>
      <c r="B67" s="5146" t="s">
        <v>5797</v>
      </c>
      <c r="C67" s="5146" t="s">
        <v>5708</v>
      </c>
      <c r="D67" s="5146" t="s">
        <v>5729</v>
      </c>
    </row>
    <row customHeight="1" ht="11.25">
      <c r="A68" s="5146" t="s">
        <v>4427</v>
      </c>
      <c r="B68" s="5146" t="s">
        <v>5798</v>
      </c>
      <c r="C68" s="5146" t="s">
        <v>5726</v>
      </c>
      <c r="D68" s="5146" t="s">
        <v>5703</v>
      </c>
    </row>
    <row customHeight="1" ht="11.25">
      <c r="A69" s="5146" t="s">
        <v>2134</v>
      </c>
      <c r="B69" s="5146" t="s">
        <v>5799</v>
      </c>
      <c r="C69" s="5146" t="s">
        <v>5762</v>
      </c>
      <c r="D69" s="5146" t="s">
        <v>5800</v>
      </c>
    </row>
    <row customHeight="1" ht="11.25">
      <c r="A70" s="5146" t="s">
        <v>4432</v>
      </c>
      <c r="B70" s="5146" t="s">
        <v>5801</v>
      </c>
      <c r="C70" s="5146" t="s">
        <v>5700</v>
      </c>
      <c r="D70" s="5146" t="s">
        <v>5688</v>
      </c>
    </row>
    <row customHeight="1" ht="11.25">
      <c r="A71" s="5146" t="s">
        <v>4435</v>
      </c>
      <c r="B71" s="5146" t="s">
        <v>5802</v>
      </c>
      <c r="C71" s="5146" t="s">
        <v>5803</v>
      </c>
      <c r="D71" s="5146" t="s">
        <v>5736</v>
      </c>
    </row>
    <row customHeight="1" ht="11.25">
      <c r="A72" s="5146" t="s">
        <v>4438</v>
      </c>
      <c r="B72" s="5146" t="s">
        <v>5804</v>
      </c>
      <c r="C72" s="5146" t="s">
        <v>5805</v>
      </c>
      <c r="D72" s="5146" t="s">
        <v>5703</v>
      </c>
    </row>
    <row customHeight="1" ht="11.25">
      <c r="A73" s="5146" t="s">
        <v>4441</v>
      </c>
      <c r="B73" s="5146" t="s">
        <v>5806</v>
      </c>
      <c r="C73" s="5146" t="s">
        <v>5807</v>
      </c>
      <c r="D73" s="5146" t="s">
        <v>5808</v>
      </c>
    </row>
    <row customHeight="1" ht="11.25">
      <c r="A74" s="5146" t="s">
        <v>4444</v>
      </c>
      <c r="B74" s="5146" t="s">
        <v>5809</v>
      </c>
      <c r="C74" s="5146" t="s">
        <v>5810</v>
      </c>
      <c r="D74" s="5146" t="s">
        <v>5703</v>
      </c>
    </row>
    <row customHeight="1" ht="11.25">
      <c r="A75" s="5146" t="s">
        <v>4447</v>
      </c>
      <c r="B75" s="5146" t="s">
        <v>5811</v>
      </c>
      <c r="C75" s="5146" t="s">
        <v>5685</v>
      </c>
      <c r="D75" s="5146" t="s">
        <v>5688</v>
      </c>
    </row>
    <row customHeight="1" ht="11.25">
      <c r="A76" s="5146" t="s">
        <v>4450</v>
      </c>
      <c r="B76" s="5146" t="s">
        <v>5812</v>
      </c>
      <c r="C76" s="5146" t="s">
        <v>5685</v>
      </c>
      <c r="D76" s="5146" t="s">
        <v>5688</v>
      </c>
    </row>
    <row customHeight="1" ht="11.25">
      <c r="A77" s="5146" t="s">
        <v>4453</v>
      </c>
      <c r="B77" s="5146" t="s">
        <v>5813</v>
      </c>
      <c r="C77" s="5146" t="s">
        <v>5814</v>
      </c>
      <c r="D77" s="5146" t="s">
        <v>5703</v>
      </c>
    </row>
    <row customHeight="1" ht="11.25">
      <c r="A78" s="5146" t="s">
        <v>4456</v>
      </c>
      <c r="B78" s="5146" t="s">
        <v>5815</v>
      </c>
      <c r="C78" s="5146" t="s">
        <v>5816</v>
      </c>
      <c r="D78" s="5146" t="s">
        <v>5686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1380079-67B4-3B89-1273-DAC99487A111}"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32D4AC-C3C8-206F-CC9C-A91BB40FDAF7}"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5147" width="9.140625"/>
  </cols>
  <sheetData>
    <row customHeight="1" ht="11.25">
      <c r="A1" s="169" t="s">
        <v>131</v>
      </c>
      <c r="B1" s="169" t="s">
        <v>5817</v>
      </c>
    </row>
    <row customHeight="1" ht="11.25">
      <c r="A2" s="48" t="s">
        <v>98</v>
      </c>
      <c r="B2" s="48" t="s">
        <v>5818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F58C21-56EC-B121-2F37-298C7DBC596A}"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5145" width="9.140625"/>
    <col min="2" max="2" style="5145" width="65.28125" customWidth="1"/>
  </cols>
  <sheetData>
    <row customHeight="1" ht="11.25">
      <c r="A1" s="841" t="s">
        <v>5819</v>
      </c>
      <c r="B1" s="841" t="s">
        <v>5820</v>
      </c>
    </row>
    <row customHeight="1" ht="11.25">
      <c r="A2" s="841">
        <v>4213775</v>
      </c>
      <c r="B2" s="841" t="s">
        <v>1224</v>
      </c>
    </row>
    <row customHeight="1" ht="11.25">
      <c r="A3" s="841">
        <v>4213784</v>
      </c>
      <c r="B3" s="841" t="s">
        <v>1257</v>
      </c>
    </row>
    <row customHeight="1" ht="11.25">
      <c r="A4" s="841">
        <v>4213781</v>
      </c>
      <c r="B4" s="841" t="s">
        <v>1250</v>
      </c>
    </row>
    <row customHeight="1" ht="11.25">
      <c r="A5" s="841">
        <v>4213776</v>
      </c>
      <c r="B5" s="841" t="s">
        <v>167</v>
      </c>
    </row>
    <row customHeight="1" ht="11.25">
      <c r="A6" s="841">
        <v>4213777</v>
      </c>
      <c r="B6" s="841" t="s">
        <v>173</v>
      </c>
    </row>
    <row customHeight="1" ht="11.25">
      <c r="A7" s="841">
        <v>4213778</v>
      </c>
      <c r="B7" s="841" t="s">
        <v>185</v>
      </c>
    </row>
    <row customHeight="1" ht="11.25">
      <c r="A8" s="841">
        <v>4213780</v>
      </c>
      <c r="B8" s="841" t="s">
        <v>191</v>
      </c>
    </row>
    <row customHeight="1" ht="11.25">
      <c r="A9" s="841">
        <v>4213779</v>
      </c>
      <c r="B9" s="841" t="s">
        <v>1388</v>
      </c>
    </row>
    <row customHeight="1" ht="11.25">
      <c r="A10" s="841">
        <v>4213783</v>
      </c>
      <c r="B10" s="841" t="s">
        <v>1403</v>
      </c>
    </row>
    <row customHeight="1" ht="11.25">
      <c r="A11" s="841">
        <v>4213782</v>
      </c>
      <c r="B11" s="841" t="s">
        <v>197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F1EA92F-1807-5A63-A6AB-.A2B5ABFEEF5}"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5145" width="9.140625"/>
    <col min="2" max="2" style="5145" width="65.28125" customWidth="1"/>
  </cols>
  <sheetData>
    <row customHeight="1" ht="11.25">
      <c r="A1" s="841" t="s">
        <v>5819</v>
      </c>
      <c r="B1" s="841" t="s">
        <v>5821</v>
      </c>
    </row>
    <row customHeight="1" ht="11.25">
      <c r="A2" s="841" t="s">
        <v>175</v>
      </c>
      <c r="B2" s="841" t="s">
        <v>1500</v>
      </c>
    </row>
    <row customHeight="1" ht="11.25">
      <c r="A3" s="841" t="s">
        <v>5822</v>
      </c>
      <c r="B3" s="841" t="s">
        <v>1510</v>
      </c>
    </row>
    <row customHeight="1" ht="11.25">
      <c r="A4" s="841" t="s">
        <v>5823</v>
      </c>
      <c r="B4" s="841" t="s">
        <v>1518</v>
      </c>
    </row>
    <row customHeight="1" ht="11.25">
      <c r="A5" s="841" t="s">
        <v>5824</v>
      </c>
      <c r="B5" s="841" t="s">
        <v>1527</v>
      </c>
    </row>
    <row customHeight="1" ht="11.25">
      <c r="A6" s="841" t="s">
        <v>5825</v>
      </c>
      <c r="B6" s="841" t="s">
        <v>1533</v>
      </c>
    </row>
    <row customHeight="1" ht="11.25">
      <c r="A7" s="841" t="s">
        <v>5826</v>
      </c>
      <c r="B7" s="841" t="s">
        <v>1541</v>
      </c>
    </row>
    <row customHeight="1" ht="11.25">
      <c r="A8" s="841" t="s">
        <v>5827</v>
      </c>
      <c r="B8" s="841" t="s">
        <v>1548</v>
      </c>
    </row>
    <row customHeight="1" ht="11.25">
      <c r="A9" s="841" t="s">
        <v>5828</v>
      </c>
      <c r="B9" s="841" t="s">
        <v>1554</v>
      </c>
    </row>
    <row customHeight="1" ht="11.25">
      <c r="A10" s="841" t="s">
        <v>5829</v>
      </c>
      <c r="B10" s="841" t="s">
        <v>1558</v>
      </c>
    </row>
    <row customHeight="1" ht="11.25">
      <c r="A11" s="841" t="s">
        <v>5830</v>
      </c>
      <c r="B11" s="841" t="s">
        <v>1565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F629227-DCE8-14D6-D038-AC131D4484F6}" mc:Ignorable="x14ac xr xr2 xr3">
  <sheetPr>
    <tabColor rgb="FFFFCC99"/>
  </sheetPr>
  <dimension ref="A1:G490"/>
  <sheetViews>
    <sheetView topLeftCell="A1" showGridLines="0" workbookViewId="0">
      <selection activeCell="A1" sqref="A1"/>
    </sheetView>
  </sheetViews>
  <sheetFormatPr customHeight="1" defaultRowHeight="11.25"/>
  <sheetData>
    <row customHeight="1" ht="11.25">
      <c r="A1" s="373" t="s">
        <v>4276</v>
      </c>
      <c r="B1" s="373" t="s">
        <v>4277</v>
      </c>
      <c r="C1" s="373" t="s">
        <v>4278</v>
      </c>
      <c r="D1" s="373" t="s">
        <v>4279</v>
      </c>
      <c r="E1" s="0" t="s">
        <v>4280</v>
      </c>
      <c r="F1" s="0" t="s">
        <v>4281</v>
      </c>
      <c r="G1" s="0" t="s">
        <v>4282</v>
      </c>
    </row>
    <row customHeight="1" ht="11.25">
      <c r="A2" s="0" t="s">
        <v>14</v>
      </c>
      <c r="B2" s="0" t="s">
        <v>4283</v>
      </c>
      <c r="C2" s="0" t="s">
        <v>4284</v>
      </c>
      <c r="D2" s="0" t="s">
        <v>4283</v>
      </c>
      <c r="E2" s="0" t="s">
        <v>4284</v>
      </c>
      <c r="F2" s="0" t="s">
        <v>4285</v>
      </c>
      <c r="G2" s="0" t="s">
        <v>110</v>
      </c>
    </row>
    <row customHeight="1" ht="11.25">
      <c r="A3" s="0" t="s">
        <v>14</v>
      </c>
      <c r="B3" s="0" t="s">
        <v>4283</v>
      </c>
      <c r="C3" s="0" t="s">
        <v>4284</v>
      </c>
      <c r="D3" s="0" t="s">
        <v>4286</v>
      </c>
      <c r="E3" s="0" t="s">
        <v>4287</v>
      </c>
      <c r="F3" s="0" t="s">
        <v>4288</v>
      </c>
      <c r="G3" s="0" t="s">
        <v>111</v>
      </c>
    </row>
    <row customHeight="1" ht="11.25">
      <c r="A4" s="0" t="s">
        <v>14</v>
      </c>
      <c r="B4" s="0" t="s">
        <v>4283</v>
      </c>
      <c r="C4" s="0" t="s">
        <v>4284</v>
      </c>
      <c r="D4" s="0" t="s">
        <v>4289</v>
      </c>
      <c r="E4" s="0" t="s">
        <v>4290</v>
      </c>
      <c r="F4" s="0" t="s">
        <v>4288</v>
      </c>
      <c r="G4" s="0" t="s">
        <v>90</v>
      </c>
    </row>
    <row customHeight="1" ht="11.25">
      <c r="A5" s="0" t="s">
        <v>14</v>
      </c>
      <c r="B5" s="0" t="s">
        <v>4283</v>
      </c>
      <c r="C5" s="0" t="s">
        <v>4284</v>
      </c>
      <c r="D5" s="0" t="s">
        <v>4291</v>
      </c>
      <c r="E5" s="0" t="s">
        <v>4292</v>
      </c>
      <c r="F5" s="0" t="s">
        <v>4288</v>
      </c>
      <c r="G5" s="0" t="s">
        <v>91</v>
      </c>
    </row>
    <row customHeight="1" ht="11.25">
      <c r="A6" s="0" t="s">
        <v>14</v>
      </c>
      <c r="B6" s="0" t="s">
        <v>4283</v>
      </c>
      <c r="C6" s="0" t="s">
        <v>4284</v>
      </c>
      <c r="D6" s="0" t="s">
        <v>4293</v>
      </c>
      <c r="E6" s="0" t="s">
        <v>4294</v>
      </c>
      <c r="F6" s="0" t="s">
        <v>4288</v>
      </c>
      <c r="G6" s="0" t="s">
        <v>112</v>
      </c>
    </row>
    <row customHeight="1" ht="11.25">
      <c r="A7" s="0" t="s">
        <v>14</v>
      </c>
      <c r="B7" s="0" t="s">
        <v>4283</v>
      </c>
      <c r="C7" s="0" t="s">
        <v>4284</v>
      </c>
      <c r="D7" s="0" t="s">
        <v>4295</v>
      </c>
      <c r="E7" s="0" t="s">
        <v>4296</v>
      </c>
      <c r="F7" s="0" t="s">
        <v>4288</v>
      </c>
      <c r="G7" s="0" t="s">
        <v>92</v>
      </c>
    </row>
    <row customHeight="1" ht="11.25">
      <c r="A8" s="0" t="s">
        <v>14</v>
      </c>
      <c r="B8" s="0" t="s">
        <v>4283</v>
      </c>
      <c r="C8" s="0" t="s">
        <v>4284</v>
      </c>
      <c r="D8" s="0" t="s">
        <v>4297</v>
      </c>
      <c r="E8" s="0" t="s">
        <v>4298</v>
      </c>
      <c r="F8" s="0" t="s">
        <v>4288</v>
      </c>
      <c r="G8" s="0" t="s">
        <v>93</v>
      </c>
    </row>
    <row customHeight="1" ht="11.25">
      <c r="A9" s="0" t="s">
        <v>14</v>
      </c>
      <c r="B9" s="0" t="s">
        <v>4283</v>
      </c>
      <c r="C9" s="0" t="s">
        <v>4284</v>
      </c>
      <c r="D9" s="0" t="s">
        <v>4299</v>
      </c>
      <c r="E9" s="0" t="s">
        <v>4300</v>
      </c>
      <c r="F9" s="0" t="s">
        <v>4288</v>
      </c>
      <c r="G9" s="0" t="s">
        <v>113</v>
      </c>
    </row>
    <row customHeight="1" ht="11.25">
      <c r="A10" s="0" t="s">
        <v>14</v>
      </c>
      <c r="B10" s="0" t="s">
        <v>4283</v>
      </c>
      <c r="C10" s="0" t="s">
        <v>4284</v>
      </c>
      <c r="D10" s="0" t="s">
        <v>4301</v>
      </c>
      <c r="E10" s="0" t="s">
        <v>4302</v>
      </c>
      <c r="F10" s="0" t="s">
        <v>4288</v>
      </c>
      <c r="G10" s="0" t="s">
        <v>149</v>
      </c>
    </row>
    <row customHeight="1" ht="11.25">
      <c r="A11" s="0" t="s">
        <v>14</v>
      </c>
      <c r="B11" s="0" t="s">
        <v>4283</v>
      </c>
      <c r="C11" s="0" t="s">
        <v>4284</v>
      </c>
      <c r="D11" s="0" t="s">
        <v>4303</v>
      </c>
      <c r="E11" s="0" t="s">
        <v>4304</v>
      </c>
      <c r="F11" s="0" t="s">
        <v>4288</v>
      </c>
      <c r="G11" s="0" t="s">
        <v>150</v>
      </c>
    </row>
    <row customHeight="1" ht="11.25">
      <c r="A12" s="0" t="s">
        <v>14</v>
      </c>
      <c r="B12" s="0" t="s">
        <v>4283</v>
      </c>
      <c r="C12" s="0" t="s">
        <v>4284</v>
      </c>
      <c r="D12" s="0" t="s">
        <v>4305</v>
      </c>
      <c r="E12" s="0" t="s">
        <v>4306</v>
      </c>
      <c r="F12" s="0" t="s">
        <v>4288</v>
      </c>
      <c r="G12" s="0" t="s">
        <v>151</v>
      </c>
    </row>
    <row customHeight="1" ht="11.25">
      <c r="A13" s="0" t="s">
        <v>14</v>
      </c>
      <c r="B13" s="0" t="s">
        <v>4283</v>
      </c>
      <c r="C13" s="0" t="s">
        <v>4284</v>
      </c>
      <c r="D13" s="0" t="s">
        <v>4307</v>
      </c>
      <c r="E13" s="0" t="s">
        <v>4308</v>
      </c>
      <c r="F13" s="0" t="s">
        <v>4288</v>
      </c>
      <c r="G13" s="0" t="s">
        <v>152</v>
      </c>
    </row>
    <row customHeight="1" ht="11.25">
      <c r="A14" s="0" t="s">
        <v>14</v>
      </c>
      <c r="B14" s="0" t="s">
        <v>4283</v>
      </c>
      <c r="C14" s="0" t="s">
        <v>4284</v>
      </c>
      <c r="D14" s="0" t="s">
        <v>4309</v>
      </c>
      <c r="E14" s="0" t="s">
        <v>4310</v>
      </c>
      <c r="F14" s="0" t="s">
        <v>4288</v>
      </c>
      <c r="G14" s="0" t="s">
        <v>153</v>
      </c>
    </row>
    <row customHeight="1" ht="11.25">
      <c r="A15" s="0" t="s">
        <v>14</v>
      </c>
      <c r="B15" s="0" t="s">
        <v>4283</v>
      </c>
      <c r="C15" s="0" t="s">
        <v>4284</v>
      </c>
      <c r="D15" s="0" t="s">
        <v>4311</v>
      </c>
      <c r="E15" s="0" t="s">
        <v>4312</v>
      </c>
      <c r="F15" s="0" t="s">
        <v>4288</v>
      </c>
      <c r="G15" s="0" t="s">
        <v>154</v>
      </c>
    </row>
    <row customHeight="1" ht="11.25">
      <c r="A16" s="0" t="s">
        <v>14</v>
      </c>
      <c r="B16" s="0" t="s">
        <v>4283</v>
      </c>
      <c r="C16" s="0" t="s">
        <v>4284</v>
      </c>
      <c r="D16" s="0" t="s">
        <v>4313</v>
      </c>
      <c r="E16" s="0" t="s">
        <v>4314</v>
      </c>
      <c r="F16" s="0" t="s">
        <v>4288</v>
      </c>
      <c r="G16" s="0" t="s">
        <v>1463</v>
      </c>
    </row>
    <row customHeight="1" ht="11.25">
      <c r="A17" s="0" t="s">
        <v>14</v>
      </c>
      <c r="B17" s="0" t="s">
        <v>4283</v>
      </c>
      <c r="C17" s="0" t="s">
        <v>4284</v>
      </c>
      <c r="D17" s="0" t="s">
        <v>4315</v>
      </c>
      <c r="E17" s="0" t="s">
        <v>4316</v>
      </c>
      <c r="F17" s="0" t="s">
        <v>4288</v>
      </c>
      <c r="G17" s="0" t="s">
        <v>1469</v>
      </c>
    </row>
    <row customHeight="1" ht="11.25">
      <c r="A18" s="0" t="s">
        <v>14</v>
      </c>
      <c r="B18" s="0" t="s">
        <v>4283</v>
      </c>
      <c r="C18" s="0" t="s">
        <v>4284</v>
      </c>
      <c r="D18" s="0" t="s">
        <v>4317</v>
      </c>
      <c r="E18" s="0" t="s">
        <v>4318</v>
      </c>
      <c r="F18" s="0" t="s">
        <v>4288</v>
      </c>
      <c r="G18" s="0" t="s">
        <v>1480</v>
      </c>
    </row>
    <row customHeight="1" ht="11.25">
      <c r="A19" s="0" t="s">
        <v>14</v>
      </c>
      <c r="B19" s="0" t="s">
        <v>4283</v>
      </c>
      <c r="C19" s="0" t="s">
        <v>4284</v>
      </c>
      <c r="D19" s="0" t="s">
        <v>4319</v>
      </c>
      <c r="E19" s="0" t="s">
        <v>4320</v>
      </c>
      <c r="F19" s="0" t="s">
        <v>4288</v>
      </c>
      <c r="G19" s="0" t="s">
        <v>1494</v>
      </c>
    </row>
    <row customHeight="1" ht="11.25">
      <c r="A20" s="0" t="s">
        <v>14</v>
      </c>
      <c r="B20" s="0" t="s">
        <v>4293</v>
      </c>
      <c r="C20" s="0" t="s">
        <v>4321</v>
      </c>
      <c r="D20" s="0" t="s">
        <v>4293</v>
      </c>
      <c r="E20" s="0" t="s">
        <v>4321</v>
      </c>
      <c r="F20" s="0" t="s">
        <v>4322</v>
      </c>
      <c r="G20" s="0" t="s">
        <v>1506</v>
      </c>
    </row>
    <row customHeight="1" ht="11.25">
      <c r="A21" s="0" t="s">
        <v>14</v>
      </c>
      <c r="B21" s="0" t="s">
        <v>4323</v>
      </c>
      <c r="C21" s="0" t="s">
        <v>4324</v>
      </c>
      <c r="D21" s="0" t="s">
        <v>4323</v>
      </c>
      <c r="E21" s="0" t="s">
        <v>4324</v>
      </c>
      <c r="F21" s="0" t="s">
        <v>4285</v>
      </c>
      <c r="G21" s="0" t="s">
        <v>1514</v>
      </c>
    </row>
    <row customHeight="1" ht="11.25">
      <c r="A22" s="0" t="s">
        <v>14</v>
      </c>
      <c r="B22" s="0" t="s">
        <v>4323</v>
      </c>
      <c r="C22" s="0" t="s">
        <v>4324</v>
      </c>
      <c r="D22" s="0" t="s">
        <v>4325</v>
      </c>
      <c r="E22" s="0" t="s">
        <v>4326</v>
      </c>
      <c r="F22" s="0" t="s">
        <v>4327</v>
      </c>
      <c r="G22" s="0" t="s">
        <v>1530</v>
      </c>
    </row>
    <row customHeight="1" ht="11.25">
      <c r="A23" s="0" t="s">
        <v>14</v>
      </c>
      <c r="B23" s="0" t="s">
        <v>4323</v>
      </c>
      <c r="C23" s="0" t="s">
        <v>4324</v>
      </c>
      <c r="D23" s="0" t="s">
        <v>4328</v>
      </c>
      <c r="E23" s="0" t="s">
        <v>4329</v>
      </c>
      <c r="F23" s="0" t="s">
        <v>4330</v>
      </c>
      <c r="G23" s="0" t="s">
        <v>1537</v>
      </c>
    </row>
    <row customHeight="1" ht="11.25">
      <c r="A24" s="0" t="s">
        <v>14</v>
      </c>
      <c r="B24" s="0" t="s">
        <v>4323</v>
      </c>
      <c r="C24" s="0" t="s">
        <v>4324</v>
      </c>
      <c r="D24" s="0" t="s">
        <v>4331</v>
      </c>
      <c r="E24" s="0" t="s">
        <v>4332</v>
      </c>
      <c r="F24" s="0" t="s">
        <v>4288</v>
      </c>
      <c r="G24" s="0" t="s">
        <v>1545</v>
      </c>
    </row>
    <row customHeight="1" ht="11.25">
      <c r="A25" s="0" t="s">
        <v>14</v>
      </c>
      <c r="B25" s="0" t="s">
        <v>4323</v>
      </c>
      <c r="C25" s="0" t="s">
        <v>4324</v>
      </c>
      <c r="D25" s="0" t="s">
        <v>4333</v>
      </c>
      <c r="E25" s="0" t="s">
        <v>4334</v>
      </c>
      <c r="F25" s="0" t="s">
        <v>4288</v>
      </c>
      <c r="G25" s="0" t="s">
        <v>1552</v>
      </c>
    </row>
    <row customHeight="1" ht="11.25">
      <c r="A26" s="0" t="s">
        <v>14</v>
      </c>
      <c r="B26" s="0" t="s">
        <v>4335</v>
      </c>
      <c r="C26" s="0" t="s">
        <v>4336</v>
      </c>
      <c r="D26" s="0" t="s">
        <v>4335</v>
      </c>
      <c r="E26" s="0" t="s">
        <v>4336</v>
      </c>
      <c r="F26" s="0" t="s">
        <v>4285</v>
      </c>
      <c r="G26" s="0" t="s">
        <v>1556</v>
      </c>
    </row>
    <row customHeight="1" ht="11.25">
      <c r="A27" s="0" t="s">
        <v>14</v>
      </c>
      <c r="B27" s="0" t="s">
        <v>4335</v>
      </c>
      <c r="C27" s="0" t="s">
        <v>4336</v>
      </c>
      <c r="D27" s="0" t="s">
        <v>4337</v>
      </c>
      <c r="E27" s="0" t="s">
        <v>4338</v>
      </c>
      <c r="F27" s="0" t="s">
        <v>4288</v>
      </c>
      <c r="G27" s="0" t="s">
        <v>1561</v>
      </c>
    </row>
    <row customHeight="1" ht="11.25">
      <c r="A28" s="0" t="s">
        <v>14</v>
      </c>
      <c r="B28" s="0" t="s">
        <v>4335</v>
      </c>
      <c r="C28" s="0" t="s">
        <v>4336</v>
      </c>
      <c r="D28" s="0" t="s">
        <v>4339</v>
      </c>
      <c r="E28" s="0" t="s">
        <v>4340</v>
      </c>
      <c r="F28" s="0" t="s">
        <v>4330</v>
      </c>
      <c r="G28" s="0" t="s">
        <v>1569</v>
      </c>
    </row>
    <row customHeight="1" ht="11.25">
      <c r="A29" s="0" t="s">
        <v>14</v>
      </c>
      <c r="B29" s="0" t="s">
        <v>4335</v>
      </c>
      <c r="C29" s="0" t="s">
        <v>4336</v>
      </c>
      <c r="D29" s="0" t="s">
        <v>4341</v>
      </c>
      <c r="E29" s="0" t="s">
        <v>4342</v>
      </c>
      <c r="F29" s="0" t="s">
        <v>4288</v>
      </c>
      <c r="G29" s="0" t="s">
        <v>1571</v>
      </c>
    </row>
    <row customHeight="1" ht="11.25">
      <c r="A30" s="0" t="s">
        <v>14</v>
      </c>
      <c r="B30" s="0" t="s">
        <v>4335</v>
      </c>
      <c r="C30" s="0" t="s">
        <v>4336</v>
      </c>
      <c r="D30" s="0" t="s">
        <v>4343</v>
      </c>
      <c r="E30" s="0" t="s">
        <v>4344</v>
      </c>
      <c r="F30" s="0" t="s">
        <v>4288</v>
      </c>
      <c r="G30" s="0" t="s">
        <v>1574</v>
      </c>
    </row>
    <row customHeight="1" ht="11.25">
      <c r="A31" s="0" t="s">
        <v>14</v>
      </c>
      <c r="B31" s="0" t="s">
        <v>4335</v>
      </c>
      <c r="C31" s="0" t="s">
        <v>4336</v>
      </c>
      <c r="D31" s="0" t="s">
        <v>4345</v>
      </c>
      <c r="E31" s="0" t="s">
        <v>4346</v>
      </c>
      <c r="F31" s="0" t="s">
        <v>4288</v>
      </c>
      <c r="G31" s="0" t="s">
        <v>1579</v>
      </c>
    </row>
    <row customHeight="1" ht="11.25">
      <c r="A32" s="0" t="s">
        <v>14</v>
      </c>
      <c r="B32" s="0" t="s">
        <v>4335</v>
      </c>
      <c r="C32" s="0" t="s">
        <v>4336</v>
      </c>
      <c r="D32" s="0" t="s">
        <v>4347</v>
      </c>
      <c r="E32" s="0" t="s">
        <v>4348</v>
      </c>
      <c r="F32" s="0" t="s">
        <v>4288</v>
      </c>
      <c r="G32" s="0" t="s">
        <v>1581</v>
      </c>
    </row>
    <row customHeight="1" ht="11.25">
      <c r="A33" s="0" t="s">
        <v>14</v>
      </c>
      <c r="B33" s="0" t="s">
        <v>4335</v>
      </c>
      <c r="C33" s="0" t="s">
        <v>4336</v>
      </c>
      <c r="D33" s="0" t="s">
        <v>4349</v>
      </c>
      <c r="E33" s="0" t="s">
        <v>4350</v>
      </c>
      <c r="F33" s="0" t="s">
        <v>4288</v>
      </c>
      <c r="G33" s="0" t="s">
        <v>1583</v>
      </c>
    </row>
    <row customHeight="1" ht="11.25">
      <c r="A34" s="0" t="s">
        <v>14</v>
      </c>
      <c r="B34" s="0" t="s">
        <v>4335</v>
      </c>
      <c r="C34" s="0" t="s">
        <v>4336</v>
      </c>
      <c r="D34" s="0" t="s">
        <v>4351</v>
      </c>
      <c r="E34" s="0" t="s">
        <v>4352</v>
      </c>
      <c r="F34" s="0" t="s">
        <v>4288</v>
      </c>
      <c r="G34" s="0" t="s">
        <v>1585</v>
      </c>
    </row>
    <row customHeight="1" ht="11.25">
      <c r="A35" s="0" t="s">
        <v>14</v>
      </c>
      <c r="B35" s="0" t="s">
        <v>4353</v>
      </c>
      <c r="C35" s="0" t="s">
        <v>4354</v>
      </c>
      <c r="D35" s="0" t="s">
        <v>4353</v>
      </c>
      <c r="E35" s="0" t="s">
        <v>4354</v>
      </c>
      <c r="F35" s="0" t="s">
        <v>4285</v>
      </c>
      <c r="G35" s="0" t="s">
        <v>1590</v>
      </c>
    </row>
    <row customHeight="1" ht="11.25">
      <c r="A36" s="0" t="s">
        <v>14</v>
      </c>
      <c r="B36" s="0" t="s">
        <v>4353</v>
      </c>
      <c r="C36" s="0" t="s">
        <v>4354</v>
      </c>
      <c r="D36" s="0" t="s">
        <v>4355</v>
      </c>
      <c r="E36" s="0" t="s">
        <v>4356</v>
      </c>
      <c r="F36" s="0" t="s">
        <v>4288</v>
      </c>
      <c r="G36" s="0" t="s">
        <v>1595</v>
      </c>
    </row>
    <row customHeight="1" ht="11.25">
      <c r="A37" s="0" t="s">
        <v>14</v>
      </c>
      <c r="B37" s="0" t="s">
        <v>4353</v>
      </c>
      <c r="C37" s="0" t="s">
        <v>4354</v>
      </c>
      <c r="D37" s="0" t="s">
        <v>4357</v>
      </c>
      <c r="E37" s="0" t="s">
        <v>4358</v>
      </c>
      <c r="F37" s="0" t="s">
        <v>4288</v>
      </c>
      <c r="G37" s="0" t="s">
        <v>1599</v>
      </c>
    </row>
    <row customHeight="1" ht="11.25">
      <c r="A38" s="0" t="s">
        <v>14</v>
      </c>
      <c r="B38" s="0" t="s">
        <v>4353</v>
      </c>
      <c r="C38" s="0" t="s">
        <v>4354</v>
      </c>
      <c r="D38" s="0" t="s">
        <v>4359</v>
      </c>
      <c r="E38" s="0" t="s">
        <v>4360</v>
      </c>
      <c r="F38" s="0" t="s">
        <v>4288</v>
      </c>
      <c r="G38" s="0" t="s">
        <v>1607</v>
      </c>
    </row>
    <row customHeight="1" ht="11.25">
      <c r="A39" s="0" t="s">
        <v>14</v>
      </c>
      <c r="B39" s="0" t="s">
        <v>4353</v>
      </c>
      <c r="C39" s="0" t="s">
        <v>4354</v>
      </c>
      <c r="D39" s="0" t="s">
        <v>4361</v>
      </c>
      <c r="E39" s="0" t="s">
        <v>4362</v>
      </c>
      <c r="F39" s="0" t="s">
        <v>4288</v>
      </c>
      <c r="G39" s="0" t="s">
        <v>1613</v>
      </c>
    </row>
    <row customHeight="1" ht="11.25">
      <c r="A40" s="0" t="s">
        <v>14</v>
      </c>
      <c r="B40" s="0" t="s">
        <v>4353</v>
      </c>
      <c r="C40" s="0" t="s">
        <v>4354</v>
      </c>
      <c r="D40" s="0" t="s">
        <v>4363</v>
      </c>
      <c r="E40" s="0" t="s">
        <v>4364</v>
      </c>
      <c r="F40" s="0" t="s">
        <v>4288</v>
      </c>
      <c r="G40" s="0" t="s">
        <v>1618</v>
      </c>
    </row>
    <row customHeight="1" ht="11.25">
      <c r="A41" s="0" t="s">
        <v>14</v>
      </c>
      <c r="B41" s="0" t="s">
        <v>4353</v>
      </c>
      <c r="C41" s="0" t="s">
        <v>4354</v>
      </c>
      <c r="D41" s="0" t="s">
        <v>4365</v>
      </c>
      <c r="E41" s="0" t="s">
        <v>4366</v>
      </c>
      <c r="F41" s="0" t="s">
        <v>4288</v>
      </c>
      <c r="G41" s="0" t="s">
        <v>1622</v>
      </c>
    </row>
    <row customHeight="1" ht="11.25">
      <c r="A42" s="0" t="s">
        <v>14</v>
      </c>
      <c r="B42" s="0" t="s">
        <v>4353</v>
      </c>
      <c r="C42" s="0" t="s">
        <v>4354</v>
      </c>
      <c r="D42" s="0" t="s">
        <v>4367</v>
      </c>
      <c r="E42" s="0" t="s">
        <v>4368</v>
      </c>
      <c r="F42" s="0" t="s">
        <v>4288</v>
      </c>
      <c r="G42" s="0" t="s">
        <v>1625</v>
      </c>
    </row>
    <row customHeight="1" ht="11.25">
      <c r="A43" s="0" t="s">
        <v>14</v>
      </c>
      <c r="B43" s="0" t="s">
        <v>4353</v>
      </c>
      <c r="C43" s="0" t="s">
        <v>4354</v>
      </c>
      <c r="D43" s="0" t="s">
        <v>4369</v>
      </c>
      <c r="E43" s="0" t="s">
        <v>4370</v>
      </c>
      <c r="F43" s="0" t="s">
        <v>4288</v>
      </c>
      <c r="G43" s="0" t="s">
        <v>1632</v>
      </c>
    </row>
    <row customHeight="1" ht="11.25">
      <c r="A44" s="0" t="s">
        <v>14</v>
      </c>
      <c r="B44" s="0" t="s">
        <v>4353</v>
      </c>
      <c r="C44" s="0" t="s">
        <v>4354</v>
      </c>
      <c r="D44" s="0" t="s">
        <v>4371</v>
      </c>
      <c r="E44" s="0" t="s">
        <v>4372</v>
      </c>
      <c r="F44" s="0" t="s">
        <v>4288</v>
      </c>
      <c r="G44" s="0" t="s">
        <v>1641</v>
      </c>
    </row>
    <row customHeight="1" ht="11.25">
      <c r="A45" s="0" t="s">
        <v>14</v>
      </c>
      <c r="B45" s="0" t="s">
        <v>4353</v>
      </c>
      <c r="C45" s="0" t="s">
        <v>4354</v>
      </c>
      <c r="D45" s="0" t="s">
        <v>4373</v>
      </c>
      <c r="E45" s="0" t="s">
        <v>4374</v>
      </c>
      <c r="F45" s="0" t="s">
        <v>4288</v>
      </c>
      <c r="G45" s="0" t="s">
        <v>1646</v>
      </c>
    </row>
    <row customHeight="1" ht="11.25">
      <c r="A46" s="0" t="s">
        <v>14</v>
      </c>
      <c r="B46" s="0" t="s">
        <v>4353</v>
      </c>
      <c r="C46" s="0" t="s">
        <v>4354</v>
      </c>
      <c r="D46" s="0" t="s">
        <v>4375</v>
      </c>
      <c r="E46" s="0" t="s">
        <v>4376</v>
      </c>
      <c r="F46" s="0" t="s">
        <v>4288</v>
      </c>
      <c r="G46" s="0" t="s">
        <v>1650</v>
      </c>
    </row>
    <row customHeight="1" ht="11.25">
      <c r="A47" s="0" t="s">
        <v>14</v>
      </c>
      <c r="B47" s="0" t="s">
        <v>4353</v>
      </c>
      <c r="C47" s="0" t="s">
        <v>4354</v>
      </c>
      <c r="D47" s="0" t="s">
        <v>4377</v>
      </c>
      <c r="E47" s="0" t="s">
        <v>4378</v>
      </c>
      <c r="F47" s="0" t="s">
        <v>4288</v>
      </c>
      <c r="G47" s="0" t="s">
        <v>1656</v>
      </c>
    </row>
    <row customHeight="1" ht="11.25">
      <c r="A48" s="0" t="s">
        <v>14</v>
      </c>
      <c r="B48" s="0" t="s">
        <v>4379</v>
      </c>
      <c r="C48" s="0" t="s">
        <v>4380</v>
      </c>
      <c r="D48" s="0" t="s">
        <v>4381</v>
      </c>
      <c r="E48" s="0" t="s">
        <v>4382</v>
      </c>
      <c r="F48" s="0" t="s">
        <v>4330</v>
      </c>
      <c r="G48" s="0" t="s">
        <v>1661</v>
      </c>
    </row>
    <row customHeight="1" ht="11.25">
      <c r="A49" s="0" t="s">
        <v>14</v>
      </c>
      <c r="B49" s="0" t="s">
        <v>4379</v>
      </c>
      <c r="C49" s="0" t="s">
        <v>4380</v>
      </c>
      <c r="D49" s="0" t="s">
        <v>4383</v>
      </c>
      <c r="E49" s="0" t="s">
        <v>4384</v>
      </c>
      <c r="F49" s="0" t="s">
        <v>4330</v>
      </c>
      <c r="G49" s="0" t="s">
        <v>1664</v>
      </c>
    </row>
    <row customHeight="1" ht="11.25">
      <c r="A50" s="0" t="s">
        <v>14</v>
      </c>
      <c r="B50" s="0" t="s">
        <v>4379</v>
      </c>
      <c r="C50" s="0" t="s">
        <v>4380</v>
      </c>
      <c r="D50" s="0" t="s">
        <v>4379</v>
      </c>
      <c r="E50" s="0" t="s">
        <v>4380</v>
      </c>
      <c r="F50" s="0" t="s">
        <v>4285</v>
      </c>
      <c r="G50" s="0" t="s">
        <v>1668</v>
      </c>
    </row>
    <row customHeight="1" ht="11.25">
      <c r="A51" s="0" t="s">
        <v>14</v>
      </c>
      <c r="B51" s="0" t="s">
        <v>4379</v>
      </c>
      <c r="C51" s="0" t="s">
        <v>4380</v>
      </c>
      <c r="D51" s="0" t="s">
        <v>4385</v>
      </c>
      <c r="E51" s="0" t="s">
        <v>4386</v>
      </c>
      <c r="F51" s="0" t="s">
        <v>4327</v>
      </c>
      <c r="G51" s="0" t="s">
        <v>1672</v>
      </c>
    </row>
    <row customHeight="1" ht="11.25">
      <c r="A52" s="0" t="s">
        <v>14</v>
      </c>
      <c r="B52" s="0" t="s">
        <v>4379</v>
      </c>
      <c r="C52" s="0" t="s">
        <v>4380</v>
      </c>
      <c r="D52" s="0" t="s">
        <v>4387</v>
      </c>
      <c r="E52" s="0" t="s">
        <v>4388</v>
      </c>
      <c r="F52" s="0" t="s">
        <v>4288</v>
      </c>
      <c r="G52" s="0" t="s">
        <v>1676</v>
      </c>
    </row>
    <row customHeight="1" ht="11.25">
      <c r="A53" s="0" t="s">
        <v>14</v>
      </c>
      <c r="B53" s="0" t="s">
        <v>4379</v>
      </c>
      <c r="C53" s="0" t="s">
        <v>4380</v>
      </c>
      <c r="D53" s="0" t="s">
        <v>4389</v>
      </c>
      <c r="E53" s="0" t="s">
        <v>4390</v>
      </c>
      <c r="F53" s="0" t="s">
        <v>4330</v>
      </c>
      <c r="G53" s="0" t="s">
        <v>1678</v>
      </c>
    </row>
    <row customHeight="1" ht="11.25">
      <c r="A54" s="0" t="s">
        <v>14</v>
      </c>
      <c r="B54" s="0" t="s">
        <v>4379</v>
      </c>
      <c r="C54" s="0" t="s">
        <v>4380</v>
      </c>
      <c r="D54" s="0" t="s">
        <v>4391</v>
      </c>
      <c r="E54" s="0" t="s">
        <v>4392</v>
      </c>
      <c r="F54" s="0" t="s">
        <v>4330</v>
      </c>
      <c r="G54" s="0" t="s">
        <v>1681</v>
      </c>
    </row>
    <row customHeight="1" ht="11.25">
      <c r="A55" s="0" t="s">
        <v>14</v>
      </c>
      <c r="B55" s="0" t="s">
        <v>4393</v>
      </c>
      <c r="C55" s="0" t="s">
        <v>4394</v>
      </c>
      <c r="D55" s="0" t="s">
        <v>4395</v>
      </c>
      <c r="E55" s="0" t="s">
        <v>4396</v>
      </c>
      <c r="F55" s="0" t="s">
        <v>4288</v>
      </c>
      <c r="G55" s="0" t="s">
        <v>1685</v>
      </c>
    </row>
    <row customHeight="1" ht="11.25">
      <c r="A56" s="0" t="s">
        <v>14</v>
      </c>
      <c r="B56" s="0" t="s">
        <v>4393</v>
      </c>
      <c r="C56" s="0" t="s">
        <v>4394</v>
      </c>
      <c r="D56" s="0" t="s">
        <v>4397</v>
      </c>
      <c r="E56" s="0" t="s">
        <v>4398</v>
      </c>
      <c r="F56" s="0" t="s">
        <v>4288</v>
      </c>
      <c r="G56" s="0" t="s">
        <v>1688</v>
      </c>
    </row>
    <row customHeight="1" ht="11.25">
      <c r="A57" s="0" t="s">
        <v>14</v>
      </c>
      <c r="B57" s="0" t="s">
        <v>4393</v>
      </c>
      <c r="C57" s="0" t="s">
        <v>4394</v>
      </c>
      <c r="D57" s="0" t="s">
        <v>4393</v>
      </c>
      <c r="E57" s="0" t="s">
        <v>4394</v>
      </c>
      <c r="F57" s="0" t="s">
        <v>4285</v>
      </c>
      <c r="G57" s="0" t="s">
        <v>1691</v>
      </c>
    </row>
    <row customHeight="1" ht="11.25">
      <c r="A58" s="0" t="s">
        <v>14</v>
      </c>
      <c r="B58" s="0" t="s">
        <v>4393</v>
      </c>
      <c r="C58" s="0" t="s">
        <v>4394</v>
      </c>
      <c r="D58" s="0" t="s">
        <v>4399</v>
      </c>
      <c r="E58" s="0" t="s">
        <v>4400</v>
      </c>
      <c r="F58" s="0" t="s">
        <v>4288</v>
      </c>
      <c r="G58" s="0" t="s">
        <v>1694</v>
      </c>
    </row>
    <row customHeight="1" ht="11.25">
      <c r="A59" s="0" t="s">
        <v>14</v>
      </c>
      <c r="B59" s="0" t="s">
        <v>4393</v>
      </c>
      <c r="C59" s="0" t="s">
        <v>4394</v>
      </c>
      <c r="D59" s="0" t="s">
        <v>4401</v>
      </c>
      <c r="E59" s="0" t="s">
        <v>4402</v>
      </c>
      <c r="F59" s="0" t="s">
        <v>4288</v>
      </c>
      <c r="G59" s="0" t="s">
        <v>1698</v>
      </c>
    </row>
    <row customHeight="1" ht="11.25">
      <c r="A60" s="0" t="s">
        <v>14</v>
      </c>
      <c r="B60" s="0" t="s">
        <v>4393</v>
      </c>
      <c r="C60" s="0" t="s">
        <v>4394</v>
      </c>
      <c r="D60" s="0" t="s">
        <v>4403</v>
      </c>
      <c r="E60" s="0" t="s">
        <v>4404</v>
      </c>
      <c r="F60" s="0" t="s">
        <v>4288</v>
      </c>
      <c r="G60" s="0" t="s">
        <v>1701</v>
      </c>
    </row>
    <row customHeight="1" ht="11.25">
      <c r="A61" s="0" t="s">
        <v>14</v>
      </c>
      <c r="B61" s="0" t="s">
        <v>4393</v>
      </c>
      <c r="C61" s="0" t="s">
        <v>4394</v>
      </c>
      <c r="D61" s="0" t="s">
        <v>4405</v>
      </c>
      <c r="E61" s="0" t="s">
        <v>4406</v>
      </c>
      <c r="F61" s="0" t="s">
        <v>4288</v>
      </c>
      <c r="G61" s="0" t="s">
        <v>4407</v>
      </c>
    </row>
    <row customHeight="1" ht="11.25">
      <c r="A62" s="0" t="s">
        <v>14</v>
      </c>
      <c r="B62" s="0" t="s">
        <v>4393</v>
      </c>
      <c r="C62" s="0" t="s">
        <v>4394</v>
      </c>
      <c r="D62" s="0" t="s">
        <v>4408</v>
      </c>
      <c r="E62" s="0" t="s">
        <v>4409</v>
      </c>
      <c r="F62" s="0" t="s">
        <v>4288</v>
      </c>
      <c r="G62" s="0" t="s">
        <v>4410</v>
      </c>
    </row>
    <row customHeight="1" ht="11.25">
      <c r="A63" s="0" t="s">
        <v>14</v>
      </c>
      <c r="B63" s="0" t="s">
        <v>4393</v>
      </c>
      <c r="C63" s="0" t="s">
        <v>4394</v>
      </c>
      <c r="D63" s="0" t="s">
        <v>4411</v>
      </c>
      <c r="E63" s="0" t="s">
        <v>4412</v>
      </c>
      <c r="F63" s="0" t="s">
        <v>4288</v>
      </c>
      <c r="G63" s="0" t="s">
        <v>4413</v>
      </c>
    </row>
    <row customHeight="1" ht="11.25">
      <c r="A64" s="0" t="s">
        <v>14</v>
      </c>
      <c r="B64" s="0" t="s">
        <v>4393</v>
      </c>
      <c r="C64" s="0" t="s">
        <v>4394</v>
      </c>
      <c r="D64" s="0" t="s">
        <v>4414</v>
      </c>
      <c r="E64" s="0" t="s">
        <v>4415</v>
      </c>
      <c r="F64" s="0" t="s">
        <v>4288</v>
      </c>
      <c r="G64" s="0" t="s">
        <v>4416</v>
      </c>
    </row>
    <row customHeight="1" ht="11.25">
      <c r="A65" s="0" t="s">
        <v>14</v>
      </c>
      <c r="B65" s="0" t="s">
        <v>4393</v>
      </c>
      <c r="C65" s="0" t="s">
        <v>4394</v>
      </c>
      <c r="D65" s="0" t="s">
        <v>4417</v>
      </c>
      <c r="E65" s="0" t="s">
        <v>4418</v>
      </c>
      <c r="F65" s="0" t="s">
        <v>4288</v>
      </c>
      <c r="G65" s="0" t="s">
        <v>4419</v>
      </c>
    </row>
    <row customHeight="1" ht="11.25">
      <c r="A66" s="0" t="s">
        <v>14</v>
      </c>
      <c r="B66" s="0" t="s">
        <v>4393</v>
      </c>
      <c r="C66" s="0" t="s">
        <v>4394</v>
      </c>
      <c r="D66" s="0" t="s">
        <v>4420</v>
      </c>
      <c r="E66" s="0" t="s">
        <v>4421</v>
      </c>
      <c r="F66" s="0" t="s">
        <v>4288</v>
      </c>
      <c r="G66" s="0" t="s">
        <v>4422</v>
      </c>
    </row>
    <row customHeight="1" ht="11.25">
      <c r="A67" s="0" t="s">
        <v>14</v>
      </c>
      <c r="B67" s="0" t="s">
        <v>4393</v>
      </c>
      <c r="C67" s="0" t="s">
        <v>4394</v>
      </c>
      <c r="D67" s="0" t="s">
        <v>4423</v>
      </c>
      <c r="E67" s="0" t="s">
        <v>4424</v>
      </c>
      <c r="F67" s="0" t="s">
        <v>4288</v>
      </c>
      <c r="G67" s="0" t="s">
        <v>1923</v>
      </c>
    </row>
    <row customHeight="1" ht="11.25">
      <c r="A68" s="0" t="s">
        <v>14</v>
      </c>
      <c r="B68" s="0" t="s">
        <v>4393</v>
      </c>
      <c r="C68" s="0" t="s">
        <v>4394</v>
      </c>
      <c r="D68" s="0" t="s">
        <v>4425</v>
      </c>
      <c r="E68" s="0" t="s">
        <v>4426</v>
      </c>
      <c r="F68" s="0" t="s">
        <v>4288</v>
      </c>
      <c r="G68" s="0" t="s">
        <v>4427</v>
      </c>
    </row>
    <row customHeight="1" ht="11.25">
      <c r="A69" s="0" t="s">
        <v>14</v>
      </c>
      <c r="B69" s="0" t="s">
        <v>4428</v>
      </c>
      <c r="C69" s="0" t="s">
        <v>4429</v>
      </c>
      <c r="D69" s="0" t="s">
        <v>4430</v>
      </c>
      <c r="E69" s="0" t="s">
        <v>4431</v>
      </c>
      <c r="F69" s="0" t="s">
        <v>4288</v>
      </c>
      <c r="G69" s="0" t="s">
        <v>2134</v>
      </c>
    </row>
    <row customHeight="1" ht="11.25">
      <c r="A70" s="0" t="s">
        <v>14</v>
      </c>
      <c r="B70" s="0" t="s">
        <v>4428</v>
      </c>
      <c r="C70" s="0" t="s">
        <v>4429</v>
      </c>
      <c r="D70" s="0" t="s">
        <v>4428</v>
      </c>
      <c r="E70" s="0" t="s">
        <v>4429</v>
      </c>
      <c r="F70" s="0" t="s">
        <v>4285</v>
      </c>
      <c r="G70" s="0" t="s">
        <v>4432</v>
      </c>
    </row>
    <row customHeight="1" ht="11.25">
      <c r="A71" s="0" t="s">
        <v>14</v>
      </c>
      <c r="B71" s="0" t="s">
        <v>4428</v>
      </c>
      <c r="C71" s="0" t="s">
        <v>4429</v>
      </c>
      <c r="D71" s="0" t="s">
        <v>4433</v>
      </c>
      <c r="E71" s="0" t="s">
        <v>4434</v>
      </c>
      <c r="F71" s="0" t="s">
        <v>4327</v>
      </c>
      <c r="G71" s="0" t="s">
        <v>4435</v>
      </c>
    </row>
    <row customHeight="1" ht="11.25">
      <c r="A72" s="0" t="s">
        <v>14</v>
      </c>
      <c r="B72" s="0" t="s">
        <v>4428</v>
      </c>
      <c r="C72" s="0" t="s">
        <v>4429</v>
      </c>
      <c r="D72" s="0" t="s">
        <v>4436</v>
      </c>
      <c r="E72" s="0" t="s">
        <v>4437</v>
      </c>
      <c r="F72" s="0" t="s">
        <v>4288</v>
      </c>
      <c r="G72" s="0" t="s">
        <v>4438</v>
      </c>
    </row>
    <row customHeight="1" ht="11.25">
      <c r="A73" s="0" t="s">
        <v>14</v>
      </c>
      <c r="B73" s="0" t="s">
        <v>4428</v>
      </c>
      <c r="C73" s="0" t="s">
        <v>4429</v>
      </c>
      <c r="D73" s="0" t="s">
        <v>4439</v>
      </c>
      <c r="E73" s="0" t="s">
        <v>4440</v>
      </c>
      <c r="F73" s="0" t="s">
        <v>4288</v>
      </c>
      <c r="G73" s="0" t="s">
        <v>4441</v>
      </c>
    </row>
    <row customHeight="1" ht="11.25">
      <c r="A74" s="0" t="s">
        <v>14</v>
      </c>
      <c r="B74" s="0" t="s">
        <v>4428</v>
      </c>
      <c r="C74" s="0" t="s">
        <v>4429</v>
      </c>
      <c r="D74" s="0" t="s">
        <v>4442</v>
      </c>
      <c r="E74" s="0" t="s">
        <v>4443</v>
      </c>
      <c r="F74" s="0" t="s">
        <v>4288</v>
      </c>
      <c r="G74" s="0" t="s">
        <v>4444</v>
      </c>
    </row>
    <row customHeight="1" ht="11.25">
      <c r="A75" s="0" t="s">
        <v>14</v>
      </c>
      <c r="B75" s="0" t="s">
        <v>4428</v>
      </c>
      <c r="C75" s="0" t="s">
        <v>4429</v>
      </c>
      <c r="D75" s="0" t="s">
        <v>4445</v>
      </c>
      <c r="E75" s="0" t="s">
        <v>4446</v>
      </c>
      <c r="F75" s="0" t="s">
        <v>4288</v>
      </c>
      <c r="G75" s="0" t="s">
        <v>4447</v>
      </c>
    </row>
    <row customHeight="1" ht="11.25">
      <c r="A76" s="0" t="s">
        <v>14</v>
      </c>
      <c r="B76" s="0" t="s">
        <v>4428</v>
      </c>
      <c r="C76" s="0" t="s">
        <v>4429</v>
      </c>
      <c r="D76" s="0" t="s">
        <v>4448</v>
      </c>
      <c r="E76" s="0" t="s">
        <v>4449</v>
      </c>
      <c r="F76" s="0" t="s">
        <v>4288</v>
      </c>
      <c r="G76" s="0" t="s">
        <v>4450</v>
      </c>
    </row>
    <row customHeight="1" ht="11.25">
      <c r="A77" s="0" t="s">
        <v>14</v>
      </c>
      <c r="B77" s="0" t="s">
        <v>4428</v>
      </c>
      <c r="C77" s="0" t="s">
        <v>4429</v>
      </c>
      <c r="D77" s="0" t="s">
        <v>4451</v>
      </c>
      <c r="E77" s="0" t="s">
        <v>4452</v>
      </c>
      <c r="F77" s="0" t="s">
        <v>4288</v>
      </c>
      <c r="G77" s="0" t="s">
        <v>4453</v>
      </c>
    </row>
    <row customHeight="1" ht="11.25">
      <c r="A78" s="0" t="s">
        <v>14</v>
      </c>
      <c r="B78" s="0" t="s">
        <v>4428</v>
      </c>
      <c r="C78" s="0" t="s">
        <v>4429</v>
      </c>
      <c r="D78" s="0" t="s">
        <v>4454</v>
      </c>
      <c r="E78" s="0" t="s">
        <v>4455</v>
      </c>
      <c r="F78" s="0" t="s">
        <v>4288</v>
      </c>
      <c r="G78" s="0" t="s">
        <v>4456</v>
      </c>
    </row>
    <row customHeight="1" ht="11.25">
      <c r="A79" s="0" t="s">
        <v>14</v>
      </c>
      <c r="B79" s="0" t="s">
        <v>4428</v>
      </c>
      <c r="C79" s="0" t="s">
        <v>4429</v>
      </c>
      <c r="D79" s="0" t="s">
        <v>4457</v>
      </c>
      <c r="E79" s="0" t="s">
        <v>4458</v>
      </c>
      <c r="F79" s="0" t="s">
        <v>4288</v>
      </c>
      <c r="G79" s="0" t="s">
        <v>4459</v>
      </c>
    </row>
    <row customHeight="1" ht="11.25">
      <c r="A80" s="0" t="s">
        <v>14</v>
      </c>
      <c r="B80" s="0" t="s">
        <v>4428</v>
      </c>
      <c r="C80" s="0" t="s">
        <v>4429</v>
      </c>
      <c r="D80" s="0" t="s">
        <v>4460</v>
      </c>
      <c r="E80" s="0" t="s">
        <v>4461</v>
      </c>
      <c r="F80" s="0" t="s">
        <v>4288</v>
      </c>
      <c r="G80" s="0" t="s">
        <v>4462</v>
      </c>
    </row>
    <row customHeight="1" ht="11.25">
      <c r="A81" s="0" t="s">
        <v>14</v>
      </c>
      <c r="B81" s="0" t="s">
        <v>4428</v>
      </c>
      <c r="C81" s="0" t="s">
        <v>4429</v>
      </c>
      <c r="D81" s="0" t="s">
        <v>4463</v>
      </c>
      <c r="E81" s="0" t="s">
        <v>4464</v>
      </c>
      <c r="F81" s="0" t="s">
        <v>4288</v>
      </c>
      <c r="G81" s="0" t="s">
        <v>4465</v>
      </c>
    </row>
    <row customHeight="1" ht="11.25">
      <c r="A82" s="0" t="s">
        <v>14</v>
      </c>
      <c r="B82" s="0" t="s">
        <v>4428</v>
      </c>
      <c r="C82" s="0" t="s">
        <v>4429</v>
      </c>
      <c r="D82" s="0" t="s">
        <v>4466</v>
      </c>
      <c r="E82" s="0" t="s">
        <v>4467</v>
      </c>
      <c r="F82" s="0" t="s">
        <v>4288</v>
      </c>
      <c r="G82" s="0" t="s">
        <v>4468</v>
      </c>
    </row>
    <row customHeight="1" ht="11.25">
      <c r="A83" s="0" t="s">
        <v>14</v>
      </c>
      <c r="B83" s="0" t="s">
        <v>4428</v>
      </c>
      <c r="C83" s="0" t="s">
        <v>4429</v>
      </c>
      <c r="D83" s="0" t="s">
        <v>4469</v>
      </c>
      <c r="E83" s="0" t="s">
        <v>4470</v>
      </c>
      <c r="F83" s="0" t="s">
        <v>4471</v>
      </c>
      <c r="G83" s="0" t="s">
        <v>4472</v>
      </c>
    </row>
    <row customHeight="1" ht="11.25">
      <c r="A84" s="0" t="s">
        <v>14</v>
      </c>
      <c r="B84" s="0" t="s">
        <v>4428</v>
      </c>
      <c r="C84" s="0" t="s">
        <v>4429</v>
      </c>
      <c r="D84" s="0" t="s">
        <v>4473</v>
      </c>
      <c r="E84" s="0" t="s">
        <v>4474</v>
      </c>
      <c r="F84" s="0" t="s">
        <v>4288</v>
      </c>
      <c r="G84" s="0" t="s">
        <v>4475</v>
      </c>
    </row>
    <row customHeight="1" ht="11.25">
      <c r="A85" s="0" t="s">
        <v>14</v>
      </c>
      <c r="B85" s="0" t="s">
        <v>4428</v>
      </c>
      <c r="C85" s="0" t="s">
        <v>4429</v>
      </c>
      <c r="D85" s="0" t="s">
        <v>4476</v>
      </c>
      <c r="E85" s="0" t="s">
        <v>4477</v>
      </c>
      <c r="F85" s="0" t="s">
        <v>4288</v>
      </c>
      <c r="G85" s="0" t="s">
        <v>4478</v>
      </c>
    </row>
    <row customHeight="1" ht="11.25">
      <c r="A86" s="0" t="s">
        <v>14</v>
      </c>
      <c r="B86" s="0" t="s">
        <v>4428</v>
      </c>
      <c r="C86" s="0" t="s">
        <v>4429</v>
      </c>
      <c r="D86" s="0" t="s">
        <v>4479</v>
      </c>
      <c r="E86" s="0" t="s">
        <v>4480</v>
      </c>
      <c r="F86" s="0" t="s">
        <v>4288</v>
      </c>
      <c r="G86" s="0" t="s">
        <v>4481</v>
      </c>
    </row>
    <row customHeight="1" ht="11.25">
      <c r="A87" s="0" t="s">
        <v>14</v>
      </c>
      <c r="B87" s="0" t="s">
        <v>4428</v>
      </c>
      <c r="C87" s="0" t="s">
        <v>4429</v>
      </c>
      <c r="D87" s="0" t="s">
        <v>4482</v>
      </c>
      <c r="E87" s="0" t="s">
        <v>4483</v>
      </c>
      <c r="F87" s="0" t="s">
        <v>4288</v>
      </c>
      <c r="G87" s="0" t="s">
        <v>4484</v>
      </c>
    </row>
    <row customHeight="1" ht="11.25">
      <c r="A88" s="0" t="s">
        <v>14</v>
      </c>
      <c r="B88" s="0" t="s">
        <v>4428</v>
      </c>
      <c r="C88" s="0" t="s">
        <v>4429</v>
      </c>
      <c r="D88" s="0" t="s">
        <v>4485</v>
      </c>
      <c r="E88" s="0" t="s">
        <v>4486</v>
      </c>
      <c r="F88" s="0" t="s">
        <v>4288</v>
      </c>
      <c r="G88" s="0" t="s">
        <v>4487</v>
      </c>
    </row>
    <row customHeight="1" ht="11.25">
      <c r="A89" s="0" t="s">
        <v>14</v>
      </c>
      <c r="B89" s="0" t="s">
        <v>4428</v>
      </c>
      <c r="C89" s="0" t="s">
        <v>4429</v>
      </c>
      <c r="D89" s="0" t="s">
        <v>4488</v>
      </c>
      <c r="E89" s="0" t="s">
        <v>4489</v>
      </c>
      <c r="F89" s="0" t="s">
        <v>4288</v>
      </c>
      <c r="G89" s="0" t="s">
        <v>4490</v>
      </c>
    </row>
    <row customHeight="1" ht="11.25">
      <c r="A90" s="0" t="s">
        <v>14</v>
      </c>
      <c r="B90" s="0" t="s">
        <v>4428</v>
      </c>
      <c r="C90" s="0" t="s">
        <v>4429</v>
      </c>
      <c r="D90" s="0" t="s">
        <v>4491</v>
      </c>
      <c r="E90" s="0" t="s">
        <v>4492</v>
      </c>
      <c r="F90" s="0" t="s">
        <v>4288</v>
      </c>
      <c r="G90" s="0" t="s">
        <v>4493</v>
      </c>
    </row>
    <row customHeight="1" ht="11.25">
      <c r="A91" s="0" t="s">
        <v>14</v>
      </c>
      <c r="B91" s="0" t="s">
        <v>4428</v>
      </c>
      <c r="C91" s="0" t="s">
        <v>4429</v>
      </c>
      <c r="D91" s="0" t="s">
        <v>4494</v>
      </c>
      <c r="E91" s="0" t="s">
        <v>4495</v>
      </c>
      <c r="F91" s="0" t="s">
        <v>4288</v>
      </c>
      <c r="G91" s="0" t="s">
        <v>4496</v>
      </c>
    </row>
    <row customHeight="1" ht="11.25">
      <c r="A92" s="0" t="s">
        <v>14</v>
      </c>
      <c r="B92" s="0" t="s">
        <v>4428</v>
      </c>
      <c r="C92" s="0" t="s">
        <v>4429</v>
      </c>
      <c r="D92" s="0" t="s">
        <v>4497</v>
      </c>
      <c r="E92" s="0" t="s">
        <v>4498</v>
      </c>
      <c r="F92" s="0" t="s">
        <v>4288</v>
      </c>
      <c r="G92" s="0" t="s">
        <v>4499</v>
      </c>
    </row>
    <row customHeight="1" ht="11.25">
      <c r="A93" s="0" t="s">
        <v>14</v>
      </c>
      <c r="B93" s="0" t="s">
        <v>4428</v>
      </c>
      <c r="C93" s="0" t="s">
        <v>4429</v>
      </c>
      <c r="D93" s="0" t="s">
        <v>4500</v>
      </c>
      <c r="E93" s="0" t="s">
        <v>4501</v>
      </c>
      <c r="F93" s="0" t="s">
        <v>4288</v>
      </c>
      <c r="G93" s="0" t="s">
        <v>4502</v>
      </c>
    </row>
    <row customHeight="1" ht="11.25">
      <c r="A94" s="0" t="s">
        <v>14</v>
      </c>
      <c r="B94" s="0" t="s">
        <v>4428</v>
      </c>
      <c r="C94" s="0" t="s">
        <v>4429</v>
      </c>
      <c r="D94" s="0" t="s">
        <v>4503</v>
      </c>
      <c r="E94" s="0" t="s">
        <v>4504</v>
      </c>
      <c r="F94" s="0" t="s">
        <v>4288</v>
      </c>
      <c r="G94" s="0" t="s">
        <v>4505</v>
      </c>
    </row>
    <row customHeight="1" ht="11.25">
      <c r="A95" s="0" t="s">
        <v>14</v>
      </c>
      <c r="B95" s="0" t="s">
        <v>4428</v>
      </c>
      <c r="C95" s="0" t="s">
        <v>4429</v>
      </c>
      <c r="D95" s="0" t="s">
        <v>4506</v>
      </c>
      <c r="E95" s="0" t="s">
        <v>4507</v>
      </c>
      <c r="F95" s="0" t="s">
        <v>4288</v>
      </c>
      <c r="G95" s="0" t="s">
        <v>4508</v>
      </c>
    </row>
    <row customHeight="1" ht="11.25">
      <c r="A96" s="0" t="s">
        <v>14</v>
      </c>
      <c r="B96" s="0" t="s">
        <v>4509</v>
      </c>
      <c r="C96" s="0" t="s">
        <v>4510</v>
      </c>
      <c r="D96" s="0" t="s">
        <v>4511</v>
      </c>
      <c r="E96" s="0" t="s">
        <v>4512</v>
      </c>
      <c r="F96" s="0" t="s">
        <v>4288</v>
      </c>
      <c r="G96" s="0" t="s">
        <v>4513</v>
      </c>
    </row>
    <row customHeight="1" ht="11.25">
      <c r="A97" s="0" t="s">
        <v>14</v>
      </c>
      <c r="B97" s="0" t="s">
        <v>4509</v>
      </c>
      <c r="C97" s="0" t="s">
        <v>4510</v>
      </c>
      <c r="D97" s="0" t="s">
        <v>4509</v>
      </c>
      <c r="E97" s="0" t="s">
        <v>4510</v>
      </c>
      <c r="F97" s="0" t="s">
        <v>4285</v>
      </c>
      <c r="G97" s="0" t="s">
        <v>4514</v>
      </c>
    </row>
    <row customHeight="1" ht="11.25">
      <c r="A98" s="0" t="s">
        <v>14</v>
      </c>
      <c r="B98" s="0" t="s">
        <v>4509</v>
      </c>
      <c r="C98" s="0" t="s">
        <v>4510</v>
      </c>
      <c r="D98" s="0" t="s">
        <v>4515</v>
      </c>
      <c r="E98" s="0" t="s">
        <v>4516</v>
      </c>
      <c r="F98" s="0" t="s">
        <v>4330</v>
      </c>
      <c r="G98" s="0" t="s">
        <v>4517</v>
      </c>
    </row>
    <row customHeight="1" ht="11.25">
      <c r="A99" s="0" t="s">
        <v>14</v>
      </c>
      <c r="B99" s="0" t="s">
        <v>4509</v>
      </c>
      <c r="C99" s="0" t="s">
        <v>4510</v>
      </c>
      <c r="D99" s="0" t="s">
        <v>4518</v>
      </c>
      <c r="E99" s="0" t="s">
        <v>4519</v>
      </c>
      <c r="F99" s="0" t="s">
        <v>4288</v>
      </c>
      <c r="G99" s="0" t="s">
        <v>4520</v>
      </c>
    </row>
    <row customHeight="1" ht="11.25">
      <c r="A100" s="0" t="s">
        <v>14</v>
      </c>
      <c r="B100" s="0" t="s">
        <v>4509</v>
      </c>
      <c r="C100" s="0" t="s">
        <v>4510</v>
      </c>
      <c r="D100" s="0" t="s">
        <v>4521</v>
      </c>
      <c r="E100" s="0" t="s">
        <v>4522</v>
      </c>
      <c r="F100" s="0" t="s">
        <v>4288</v>
      </c>
      <c r="G100" s="0" t="s">
        <v>4523</v>
      </c>
    </row>
    <row customHeight="1" ht="11.25">
      <c r="A101" s="0" t="s">
        <v>14</v>
      </c>
      <c r="B101" s="0" t="s">
        <v>4509</v>
      </c>
      <c r="C101" s="0" t="s">
        <v>4510</v>
      </c>
      <c r="D101" s="0" t="s">
        <v>4524</v>
      </c>
      <c r="E101" s="0" t="s">
        <v>4525</v>
      </c>
      <c r="F101" s="0" t="s">
        <v>4471</v>
      </c>
      <c r="G101" s="0" t="s">
        <v>4526</v>
      </c>
    </row>
    <row customHeight="1" ht="11.25">
      <c r="A102" s="0" t="s">
        <v>14</v>
      </c>
      <c r="B102" s="0" t="s">
        <v>4509</v>
      </c>
      <c r="C102" s="0" t="s">
        <v>4510</v>
      </c>
      <c r="D102" s="0" t="s">
        <v>4527</v>
      </c>
      <c r="E102" s="0" t="s">
        <v>4528</v>
      </c>
      <c r="F102" s="0" t="s">
        <v>4288</v>
      </c>
      <c r="G102" s="0" t="s">
        <v>4529</v>
      </c>
    </row>
    <row customHeight="1" ht="11.25">
      <c r="A103" s="0" t="s">
        <v>14</v>
      </c>
      <c r="B103" s="0" t="s">
        <v>4509</v>
      </c>
      <c r="C103" s="0" t="s">
        <v>4510</v>
      </c>
      <c r="D103" s="0" t="s">
        <v>4530</v>
      </c>
      <c r="E103" s="0" t="s">
        <v>4531</v>
      </c>
      <c r="F103" s="0" t="s">
        <v>4288</v>
      </c>
      <c r="G103" s="0" t="s">
        <v>4532</v>
      </c>
    </row>
    <row customHeight="1" ht="11.25">
      <c r="A104" s="0" t="s">
        <v>14</v>
      </c>
      <c r="B104" s="0" t="s">
        <v>4509</v>
      </c>
      <c r="C104" s="0" t="s">
        <v>4510</v>
      </c>
      <c r="D104" s="0" t="s">
        <v>4533</v>
      </c>
      <c r="E104" s="0" t="s">
        <v>4534</v>
      </c>
      <c r="F104" s="0" t="s">
        <v>4288</v>
      </c>
      <c r="G104" s="0" t="s">
        <v>4535</v>
      </c>
    </row>
    <row customHeight="1" ht="11.25">
      <c r="A105" s="0" t="s">
        <v>14</v>
      </c>
      <c r="B105" s="0" t="s">
        <v>4509</v>
      </c>
      <c r="C105" s="0" t="s">
        <v>4510</v>
      </c>
      <c r="D105" s="0" t="s">
        <v>4536</v>
      </c>
      <c r="E105" s="0" t="s">
        <v>4537</v>
      </c>
      <c r="F105" s="0" t="s">
        <v>4288</v>
      </c>
      <c r="G105" s="0" t="s">
        <v>4538</v>
      </c>
    </row>
    <row customHeight="1" ht="11.25">
      <c r="A106" s="0" t="s">
        <v>14</v>
      </c>
      <c r="B106" s="0" t="s">
        <v>4509</v>
      </c>
      <c r="C106" s="0" t="s">
        <v>4510</v>
      </c>
      <c r="D106" s="0" t="s">
        <v>4539</v>
      </c>
      <c r="E106" s="0" t="s">
        <v>4540</v>
      </c>
      <c r="F106" s="0" t="s">
        <v>4288</v>
      </c>
      <c r="G106" s="0" t="s">
        <v>4541</v>
      </c>
    </row>
    <row customHeight="1" ht="11.25">
      <c r="A107" s="0" t="s">
        <v>14</v>
      </c>
      <c r="B107" s="0" t="s">
        <v>4509</v>
      </c>
      <c r="C107" s="0" t="s">
        <v>4510</v>
      </c>
      <c r="D107" s="0" t="s">
        <v>4542</v>
      </c>
      <c r="E107" s="0" t="s">
        <v>4543</v>
      </c>
      <c r="F107" s="0" t="s">
        <v>4288</v>
      </c>
      <c r="G107" s="0" t="s">
        <v>4544</v>
      </c>
    </row>
    <row customHeight="1" ht="11.25">
      <c r="A108" s="0" t="s">
        <v>14</v>
      </c>
      <c r="B108" s="0" t="s">
        <v>4545</v>
      </c>
      <c r="C108" s="0" t="s">
        <v>4546</v>
      </c>
      <c r="D108" s="0" t="s">
        <v>4547</v>
      </c>
      <c r="E108" s="0" t="s">
        <v>4548</v>
      </c>
      <c r="F108" s="0" t="s">
        <v>4288</v>
      </c>
      <c r="G108" s="0" t="s">
        <v>4549</v>
      </c>
    </row>
    <row customHeight="1" ht="11.25">
      <c r="A109" s="0" t="s">
        <v>14</v>
      </c>
      <c r="B109" s="0" t="s">
        <v>4545</v>
      </c>
      <c r="C109" s="0" t="s">
        <v>4546</v>
      </c>
      <c r="D109" s="0" t="s">
        <v>4550</v>
      </c>
      <c r="E109" s="0" t="s">
        <v>4551</v>
      </c>
      <c r="F109" s="0" t="s">
        <v>4288</v>
      </c>
      <c r="G109" s="0" t="s">
        <v>4552</v>
      </c>
    </row>
    <row customHeight="1" ht="11.25">
      <c r="A110" s="0" t="s">
        <v>14</v>
      </c>
      <c r="B110" s="0" t="s">
        <v>4545</v>
      </c>
      <c r="C110" s="0" t="s">
        <v>4546</v>
      </c>
      <c r="D110" s="0" t="s">
        <v>4553</v>
      </c>
      <c r="E110" s="0" t="s">
        <v>4554</v>
      </c>
      <c r="F110" s="0" t="s">
        <v>4288</v>
      </c>
      <c r="G110" s="0" t="s">
        <v>4555</v>
      </c>
    </row>
    <row customHeight="1" ht="11.25">
      <c r="A111" s="0" t="s">
        <v>14</v>
      </c>
      <c r="B111" s="0" t="s">
        <v>4545</v>
      </c>
      <c r="C111" s="0" t="s">
        <v>4546</v>
      </c>
      <c r="D111" s="0" t="s">
        <v>4556</v>
      </c>
      <c r="E111" s="0" t="s">
        <v>4557</v>
      </c>
      <c r="F111" s="0" t="s">
        <v>4288</v>
      </c>
      <c r="G111" s="0" t="s">
        <v>4558</v>
      </c>
    </row>
    <row customHeight="1" ht="11.25">
      <c r="A112" s="0" t="s">
        <v>14</v>
      </c>
      <c r="B112" s="0" t="s">
        <v>4545</v>
      </c>
      <c r="C112" s="0" t="s">
        <v>4546</v>
      </c>
      <c r="D112" s="0" t="s">
        <v>4545</v>
      </c>
      <c r="E112" s="0" t="s">
        <v>4546</v>
      </c>
      <c r="F112" s="0" t="s">
        <v>4285</v>
      </c>
      <c r="G112" s="0" t="s">
        <v>4559</v>
      </c>
    </row>
    <row customHeight="1" ht="11.25">
      <c r="A113" s="0" t="s">
        <v>14</v>
      </c>
      <c r="B113" s="0" t="s">
        <v>4545</v>
      </c>
      <c r="C113" s="0" t="s">
        <v>4546</v>
      </c>
      <c r="D113" s="0" t="s">
        <v>4560</v>
      </c>
      <c r="E113" s="0" t="s">
        <v>4561</v>
      </c>
      <c r="F113" s="0" t="s">
        <v>4330</v>
      </c>
      <c r="G113" s="0" t="s">
        <v>4562</v>
      </c>
    </row>
    <row customHeight="1" ht="11.25">
      <c r="A114" s="0" t="s">
        <v>14</v>
      </c>
      <c r="B114" s="0" t="s">
        <v>4545</v>
      </c>
      <c r="C114" s="0" t="s">
        <v>4546</v>
      </c>
      <c r="D114" s="0" t="s">
        <v>4563</v>
      </c>
      <c r="E114" s="0" t="s">
        <v>4564</v>
      </c>
      <c r="F114" s="0" t="s">
        <v>4288</v>
      </c>
      <c r="G114" s="0" t="s">
        <v>4565</v>
      </c>
    </row>
    <row customHeight="1" ht="11.25">
      <c r="A115" s="0" t="s">
        <v>14</v>
      </c>
      <c r="B115" s="0" t="s">
        <v>4545</v>
      </c>
      <c r="C115" s="0" t="s">
        <v>4546</v>
      </c>
      <c r="D115" s="0" t="s">
        <v>4566</v>
      </c>
      <c r="E115" s="0" t="s">
        <v>4567</v>
      </c>
      <c r="F115" s="0" t="s">
        <v>4288</v>
      </c>
      <c r="G115" s="0" t="s">
        <v>4568</v>
      </c>
    </row>
    <row customHeight="1" ht="11.25">
      <c r="A116" s="0" t="s">
        <v>14</v>
      </c>
      <c r="B116" s="0" t="s">
        <v>4545</v>
      </c>
      <c r="C116" s="0" t="s">
        <v>4546</v>
      </c>
      <c r="D116" s="0" t="s">
        <v>4569</v>
      </c>
      <c r="E116" s="0" t="s">
        <v>4570</v>
      </c>
      <c r="F116" s="0" t="s">
        <v>4288</v>
      </c>
      <c r="G116" s="0" t="s">
        <v>4571</v>
      </c>
    </row>
    <row customHeight="1" ht="11.25">
      <c r="A117" s="0" t="s">
        <v>14</v>
      </c>
      <c r="B117" s="0" t="s">
        <v>4545</v>
      </c>
      <c r="C117" s="0" t="s">
        <v>4546</v>
      </c>
      <c r="D117" s="0" t="s">
        <v>4572</v>
      </c>
      <c r="E117" s="0" t="s">
        <v>4573</v>
      </c>
      <c r="F117" s="0" t="s">
        <v>4288</v>
      </c>
      <c r="G117" s="0" t="s">
        <v>4574</v>
      </c>
    </row>
    <row customHeight="1" ht="11.25">
      <c r="A118" s="0" t="s">
        <v>14</v>
      </c>
      <c r="B118" s="0" t="s">
        <v>4545</v>
      </c>
      <c r="C118" s="0" t="s">
        <v>4546</v>
      </c>
      <c r="D118" s="0" t="s">
        <v>4575</v>
      </c>
      <c r="E118" s="0" t="s">
        <v>4576</v>
      </c>
      <c r="F118" s="0" t="s">
        <v>4288</v>
      </c>
      <c r="G118" s="0" t="s">
        <v>4577</v>
      </c>
    </row>
    <row customHeight="1" ht="11.25">
      <c r="A119" s="0" t="s">
        <v>14</v>
      </c>
      <c r="B119" s="0" t="s">
        <v>4545</v>
      </c>
      <c r="C119" s="0" t="s">
        <v>4546</v>
      </c>
      <c r="D119" s="0" t="s">
        <v>4578</v>
      </c>
      <c r="E119" s="0" t="s">
        <v>4579</v>
      </c>
      <c r="F119" s="0" t="s">
        <v>4330</v>
      </c>
      <c r="G119" s="0" t="s">
        <v>4580</v>
      </c>
    </row>
    <row customHeight="1" ht="11.25">
      <c r="A120" s="0" t="s">
        <v>14</v>
      </c>
      <c r="B120" s="0" t="s">
        <v>4545</v>
      </c>
      <c r="C120" s="0" t="s">
        <v>4546</v>
      </c>
      <c r="D120" s="0" t="s">
        <v>4581</v>
      </c>
      <c r="E120" s="0" t="s">
        <v>4582</v>
      </c>
      <c r="F120" s="0" t="s">
        <v>4288</v>
      </c>
      <c r="G120" s="0" t="s">
        <v>4583</v>
      </c>
    </row>
    <row customHeight="1" ht="11.25">
      <c r="A121" s="0" t="s">
        <v>14</v>
      </c>
      <c r="B121" s="0" t="s">
        <v>4545</v>
      </c>
      <c r="C121" s="0" t="s">
        <v>4546</v>
      </c>
      <c r="D121" s="0" t="s">
        <v>4584</v>
      </c>
      <c r="E121" s="0" t="s">
        <v>4585</v>
      </c>
      <c r="F121" s="0" t="s">
        <v>4288</v>
      </c>
      <c r="G121" s="0" t="s">
        <v>4586</v>
      </c>
    </row>
    <row customHeight="1" ht="11.25">
      <c r="A122" s="0" t="s">
        <v>14</v>
      </c>
      <c r="B122" s="0" t="s">
        <v>4545</v>
      </c>
      <c r="C122" s="0" t="s">
        <v>4546</v>
      </c>
      <c r="D122" s="0" t="s">
        <v>4587</v>
      </c>
      <c r="E122" s="0" t="s">
        <v>4588</v>
      </c>
      <c r="F122" s="0" t="s">
        <v>4288</v>
      </c>
      <c r="G122" s="0" t="s">
        <v>4589</v>
      </c>
    </row>
    <row customHeight="1" ht="11.25">
      <c r="A123" s="0" t="s">
        <v>14</v>
      </c>
      <c r="B123" s="0" t="s">
        <v>4545</v>
      </c>
      <c r="C123" s="0" t="s">
        <v>4546</v>
      </c>
      <c r="D123" s="0" t="s">
        <v>4590</v>
      </c>
      <c r="E123" s="0" t="s">
        <v>4591</v>
      </c>
      <c r="F123" s="0" t="s">
        <v>4288</v>
      </c>
      <c r="G123" s="0" t="s">
        <v>4592</v>
      </c>
    </row>
    <row customHeight="1" ht="11.25">
      <c r="A124" s="0" t="s">
        <v>14</v>
      </c>
      <c r="B124" s="0" t="s">
        <v>4593</v>
      </c>
      <c r="C124" s="0" t="s">
        <v>4594</v>
      </c>
      <c r="D124" s="0" t="s">
        <v>4595</v>
      </c>
      <c r="E124" s="0" t="s">
        <v>4596</v>
      </c>
      <c r="F124" s="0" t="s">
        <v>4288</v>
      </c>
      <c r="G124" s="0" t="s">
        <v>4597</v>
      </c>
    </row>
    <row customHeight="1" ht="11.25">
      <c r="A125" s="0" t="s">
        <v>14</v>
      </c>
      <c r="B125" s="0" t="s">
        <v>4593</v>
      </c>
      <c r="C125" s="0" t="s">
        <v>4594</v>
      </c>
      <c r="D125" s="0" t="s">
        <v>4598</v>
      </c>
      <c r="E125" s="0" t="s">
        <v>4599</v>
      </c>
      <c r="F125" s="0" t="s">
        <v>4288</v>
      </c>
      <c r="G125" s="0" t="s">
        <v>4600</v>
      </c>
    </row>
    <row customHeight="1" ht="11.25">
      <c r="A126" s="0" t="s">
        <v>14</v>
      </c>
      <c r="B126" s="0" t="s">
        <v>4593</v>
      </c>
      <c r="C126" s="0" t="s">
        <v>4594</v>
      </c>
      <c r="D126" s="0" t="s">
        <v>4593</v>
      </c>
      <c r="E126" s="0" t="s">
        <v>4594</v>
      </c>
      <c r="F126" s="0" t="s">
        <v>4285</v>
      </c>
      <c r="G126" s="0" t="s">
        <v>4601</v>
      </c>
    </row>
    <row customHeight="1" ht="11.25">
      <c r="A127" s="0" t="s">
        <v>14</v>
      </c>
      <c r="B127" s="0" t="s">
        <v>4593</v>
      </c>
      <c r="C127" s="0" t="s">
        <v>4594</v>
      </c>
      <c r="D127" s="0" t="s">
        <v>4602</v>
      </c>
      <c r="E127" s="0" t="s">
        <v>4603</v>
      </c>
      <c r="F127" s="0" t="s">
        <v>4288</v>
      </c>
      <c r="G127" s="0" t="s">
        <v>4604</v>
      </c>
    </row>
    <row customHeight="1" ht="11.25">
      <c r="A128" s="0" t="s">
        <v>14</v>
      </c>
      <c r="B128" s="0" t="s">
        <v>4593</v>
      </c>
      <c r="C128" s="0" t="s">
        <v>4594</v>
      </c>
      <c r="D128" s="0" t="s">
        <v>4605</v>
      </c>
      <c r="E128" s="0" t="s">
        <v>4606</v>
      </c>
      <c r="F128" s="0" t="s">
        <v>4288</v>
      </c>
      <c r="G128" s="0" t="s">
        <v>4607</v>
      </c>
    </row>
    <row customHeight="1" ht="11.25">
      <c r="A129" s="0" t="s">
        <v>14</v>
      </c>
      <c r="B129" s="0" t="s">
        <v>4593</v>
      </c>
      <c r="C129" s="0" t="s">
        <v>4594</v>
      </c>
      <c r="D129" s="0" t="s">
        <v>4608</v>
      </c>
      <c r="E129" s="0" t="s">
        <v>4609</v>
      </c>
      <c r="F129" s="0" t="s">
        <v>4288</v>
      </c>
      <c r="G129" s="0" t="s">
        <v>4610</v>
      </c>
    </row>
    <row customHeight="1" ht="11.25">
      <c r="A130" s="0" t="s">
        <v>14</v>
      </c>
      <c r="B130" s="0" t="s">
        <v>4593</v>
      </c>
      <c r="C130" s="0" t="s">
        <v>4594</v>
      </c>
      <c r="D130" s="0" t="s">
        <v>4611</v>
      </c>
      <c r="E130" s="0" t="s">
        <v>4612</v>
      </c>
      <c r="F130" s="0" t="s">
        <v>4288</v>
      </c>
      <c r="G130" s="0" t="s">
        <v>4613</v>
      </c>
    </row>
    <row customHeight="1" ht="11.25">
      <c r="A131" s="0" t="s">
        <v>14</v>
      </c>
      <c r="B131" s="0" t="s">
        <v>4593</v>
      </c>
      <c r="C131" s="0" t="s">
        <v>4594</v>
      </c>
      <c r="D131" s="0" t="s">
        <v>4614</v>
      </c>
      <c r="E131" s="0" t="s">
        <v>4615</v>
      </c>
      <c r="F131" s="0" t="s">
        <v>4288</v>
      </c>
      <c r="G131" s="0" t="s">
        <v>4616</v>
      </c>
    </row>
    <row customHeight="1" ht="11.25">
      <c r="A132" s="0" t="s">
        <v>14</v>
      </c>
      <c r="B132" s="0" t="s">
        <v>4593</v>
      </c>
      <c r="C132" s="0" t="s">
        <v>4594</v>
      </c>
      <c r="D132" s="0" t="s">
        <v>4617</v>
      </c>
      <c r="E132" s="0" t="s">
        <v>4618</v>
      </c>
      <c r="F132" s="0" t="s">
        <v>4288</v>
      </c>
      <c r="G132" s="0" t="s">
        <v>4619</v>
      </c>
    </row>
    <row customHeight="1" ht="11.25">
      <c r="A133" s="0" t="s">
        <v>14</v>
      </c>
      <c r="B133" s="0" t="s">
        <v>4593</v>
      </c>
      <c r="C133" s="0" t="s">
        <v>4594</v>
      </c>
      <c r="D133" s="0" t="s">
        <v>4620</v>
      </c>
      <c r="E133" s="0" t="s">
        <v>4621</v>
      </c>
      <c r="F133" s="0" t="s">
        <v>4288</v>
      </c>
      <c r="G133" s="0" t="s">
        <v>4622</v>
      </c>
    </row>
    <row customHeight="1" ht="11.25">
      <c r="A134" s="0" t="s">
        <v>14</v>
      </c>
      <c r="B134" s="0" t="s">
        <v>4593</v>
      </c>
      <c r="C134" s="0" t="s">
        <v>4594</v>
      </c>
      <c r="D134" s="0" t="s">
        <v>4623</v>
      </c>
      <c r="E134" s="0" t="s">
        <v>4624</v>
      </c>
      <c r="F134" s="0" t="s">
        <v>4288</v>
      </c>
      <c r="G134" s="0" t="s">
        <v>4625</v>
      </c>
    </row>
    <row customHeight="1" ht="11.25">
      <c r="A135" s="0" t="s">
        <v>14</v>
      </c>
      <c r="B135" s="0" t="s">
        <v>4593</v>
      </c>
      <c r="C135" s="0" t="s">
        <v>4594</v>
      </c>
      <c r="D135" s="0" t="s">
        <v>4626</v>
      </c>
      <c r="E135" s="0" t="s">
        <v>4627</v>
      </c>
      <c r="F135" s="0" t="s">
        <v>4288</v>
      </c>
      <c r="G135" s="0" t="s">
        <v>4628</v>
      </c>
    </row>
    <row customHeight="1" ht="11.25">
      <c r="A136" s="0" t="s">
        <v>14</v>
      </c>
      <c r="B136" s="0" t="s">
        <v>4593</v>
      </c>
      <c r="C136" s="0" t="s">
        <v>4594</v>
      </c>
      <c r="D136" s="0" t="s">
        <v>4629</v>
      </c>
      <c r="E136" s="0" t="s">
        <v>4630</v>
      </c>
      <c r="F136" s="0" t="s">
        <v>4288</v>
      </c>
      <c r="G136" s="0" t="s">
        <v>4631</v>
      </c>
    </row>
    <row customHeight="1" ht="11.25">
      <c r="A137" s="0" t="s">
        <v>14</v>
      </c>
      <c r="B137" s="0" t="s">
        <v>4632</v>
      </c>
      <c r="C137" s="0" t="s">
        <v>4633</v>
      </c>
      <c r="D137" s="0" t="s">
        <v>4632</v>
      </c>
      <c r="E137" s="0" t="s">
        <v>4633</v>
      </c>
      <c r="F137" s="0" t="s">
        <v>4322</v>
      </c>
      <c r="G137" s="0" t="s">
        <v>4634</v>
      </c>
    </row>
    <row customHeight="1" ht="11.25">
      <c r="A138" s="0" t="s">
        <v>14</v>
      </c>
      <c r="B138" s="0" t="s">
        <v>4635</v>
      </c>
      <c r="C138" s="0" t="s">
        <v>4636</v>
      </c>
      <c r="D138" s="0" t="s">
        <v>4637</v>
      </c>
      <c r="E138" s="0" t="s">
        <v>4638</v>
      </c>
      <c r="F138" s="0" t="s">
        <v>4330</v>
      </c>
      <c r="G138" s="0" t="s">
        <v>4639</v>
      </c>
    </row>
    <row customHeight="1" ht="11.25">
      <c r="A139" s="0" t="s">
        <v>14</v>
      </c>
      <c r="B139" s="0" t="s">
        <v>4635</v>
      </c>
      <c r="C139" s="0" t="s">
        <v>4636</v>
      </c>
      <c r="D139" s="0" t="s">
        <v>4640</v>
      </c>
      <c r="E139" s="0" t="s">
        <v>4641</v>
      </c>
      <c r="F139" s="0" t="s">
        <v>4288</v>
      </c>
      <c r="G139" s="0" t="s">
        <v>4642</v>
      </c>
    </row>
    <row customHeight="1" ht="11.25">
      <c r="A140" s="0" t="s">
        <v>14</v>
      </c>
      <c r="B140" s="0" t="s">
        <v>4635</v>
      </c>
      <c r="C140" s="0" t="s">
        <v>4636</v>
      </c>
      <c r="D140" s="0" t="s">
        <v>4643</v>
      </c>
      <c r="E140" s="0" t="s">
        <v>4644</v>
      </c>
      <c r="F140" s="0" t="s">
        <v>4288</v>
      </c>
      <c r="G140" s="0" t="s">
        <v>4645</v>
      </c>
    </row>
    <row customHeight="1" ht="11.25">
      <c r="A141" s="0" t="s">
        <v>14</v>
      </c>
      <c r="B141" s="0" t="s">
        <v>4635</v>
      </c>
      <c r="C141" s="0" t="s">
        <v>4636</v>
      </c>
      <c r="D141" s="0" t="s">
        <v>4646</v>
      </c>
      <c r="E141" s="0" t="s">
        <v>4647</v>
      </c>
      <c r="F141" s="0" t="s">
        <v>4288</v>
      </c>
      <c r="G141" s="0" t="s">
        <v>4648</v>
      </c>
    </row>
    <row customHeight="1" ht="11.25">
      <c r="A142" s="0" t="s">
        <v>14</v>
      </c>
      <c r="B142" s="0" t="s">
        <v>4635</v>
      </c>
      <c r="C142" s="0" t="s">
        <v>4636</v>
      </c>
      <c r="D142" s="0" t="s">
        <v>4635</v>
      </c>
      <c r="E142" s="0" t="s">
        <v>4636</v>
      </c>
      <c r="F142" s="0" t="s">
        <v>4285</v>
      </c>
      <c r="G142" s="0" t="s">
        <v>4649</v>
      </c>
    </row>
    <row customHeight="1" ht="11.25">
      <c r="A143" s="0" t="s">
        <v>14</v>
      </c>
      <c r="B143" s="0" t="s">
        <v>4635</v>
      </c>
      <c r="C143" s="0" t="s">
        <v>4636</v>
      </c>
      <c r="D143" s="0" t="s">
        <v>4650</v>
      </c>
      <c r="E143" s="0" t="s">
        <v>4651</v>
      </c>
      <c r="F143" s="0" t="s">
        <v>4288</v>
      </c>
      <c r="G143" s="0" t="s">
        <v>4652</v>
      </c>
    </row>
    <row customHeight="1" ht="11.25">
      <c r="A144" s="0" t="s">
        <v>14</v>
      </c>
      <c r="B144" s="0" t="s">
        <v>4635</v>
      </c>
      <c r="C144" s="0" t="s">
        <v>4636</v>
      </c>
      <c r="D144" s="0" t="s">
        <v>4653</v>
      </c>
      <c r="E144" s="0" t="s">
        <v>4654</v>
      </c>
      <c r="F144" s="0" t="s">
        <v>4330</v>
      </c>
      <c r="G144" s="0" t="s">
        <v>4655</v>
      </c>
    </row>
    <row customHeight="1" ht="11.25">
      <c r="A145" s="0" t="s">
        <v>14</v>
      </c>
      <c r="B145" s="0" t="s">
        <v>4635</v>
      </c>
      <c r="C145" s="0" t="s">
        <v>4636</v>
      </c>
      <c r="D145" s="0" t="s">
        <v>4656</v>
      </c>
      <c r="E145" s="0" t="s">
        <v>4657</v>
      </c>
      <c r="F145" s="0" t="s">
        <v>4288</v>
      </c>
      <c r="G145" s="0" t="s">
        <v>4658</v>
      </c>
    </row>
    <row customHeight="1" ht="11.25">
      <c r="A146" s="0" t="s">
        <v>14</v>
      </c>
      <c r="B146" s="0" t="s">
        <v>4635</v>
      </c>
      <c r="C146" s="0" t="s">
        <v>4636</v>
      </c>
      <c r="D146" s="0" t="s">
        <v>4659</v>
      </c>
      <c r="E146" s="0" t="s">
        <v>4660</v>
      </c>
      <c r="F146" s="0" t="s">
        <v>4288</v>
      </c>
      <c r="G146" s="0" t="s">
        <v>4661</v>
      </c>
    </row>
    <row customHeight="1" ht="11.25">
      <c r="A147" s="0" t="s">
        <v>14</v>
      </c>
      <c r="B147" s="0" t="s">
        <v>4635</v>
      </c>
      <c r="C147" s="0" t="s">
        <v>4636</v>
      </c>
      <c r="D147" s="0" t="s">
        <v>4662</v>
      </c>
      <c r="E147" s="0" t="s">
        <v>4663</v>
      </c>
      <c r="F147" s="0" t="s">
        <v>4330</v>
      </c>
      <c r="G147" s="0" t="s">
        <v>4664</v>
      </c>
    </row>
    <row customHeight="1" ht="11.25">
      <c r="A148" s="0" t="s">
        <v>14</v>
      </c>
      <c r="B148" s="0" t="s">
        <v>4635</v>
      </c>
      <c r="C148" s="0" t="s">
        <v>4636</v>
      </c>
      <c r="D148" s="0" t="s">
        <v>4665</v>
      </c>
      <c r="E148" s="0" t="s">
        <v>4666</v>
      </c>
      <c r="F148" s="0" t="s">
        <v>4288</v>
      </c>
      <c r="G148" s="0" t="s">
        <v>4667</v>
      </c>
    </row>
    <row customHeight="1" ht="11.25">
      <c r="A149" s="0" t="s">
        <v>14</v>
      </c>
      <c r="B149" s="0" t="s">
        <v>4635</v>
      </c>
      <c r="C149" s="0" t="s">
        <v>4636</v>
      </c>
      <c r="D149" s="0" t="s">
        <v>4668</v>
      </c>
      <c r="E149" s="0" t="s">
        <v>4669</v>
      </c>
      <c r="F149" s="0" t="s">
        <v>4288</v>
      </c>
      <c r="G149" s="0" t="s">
        <v>4670</v>
      </c>
    </row>
    <row customHeight="1" ht="11.25">
      <c r="A150" s="0" t="s">
        <v>14</v>
      </c>
      <c r="B150" s="0" t="s">
        <v>4635</v>
      </c>
      <c r="C150" s="0" t="s">
        <v>4636</v>
      </c>
      <c r="D150" s="0" t="s">
        <v>4671</v>
      </c>
      <c r="E150" s="0" t="s">
        <v>4672</v>
      </c>
      <c r="F150" s="0" t="s">
        <v>4288</v>
      </c>
      <c r="G150" s="0" t="s">
        <v>4673</v>
      </c>
    </row>
    <row customHeight="1" ht="11.25">
      <c r="A151" s="0" t="s">
        <v>14</v>
      </c>
      <c r="B151" s="0" t="s">
        <v>4635</v>
      </c>
      <c r="C151" s="0" t="s">
        <v>4636</v>
      </c>
      <c r="D151" s="0" t="s">
        <v>4674</v>
      </c>
      <c r="E151" s="0" t="s">
        <v>4675</v>
      </c>
      <c r="F151" s="0" t="s">
        <v>4288</v>
      </c>
      <c r="G151" s="0" t="s">
        <v>4676</v>
      </c>
    </row>
    <row customHeight="1" ht="11.25">
      <c r="A152" s="0" t="s">
        <v>14</v>
      </c>
      <c r="B152" s="0" t="s">
        <v>4635</v>
      </c>
      <c r="C152" s="0" t="s">
        <v>4636</v>
      </c>
      <c r="D152" s="0" t="s">
        <v>4677</v>
      </c>
      <c r="E152" s="0" t="s">
        <v>4678</v>
      </c>
      <c r="F152" s="0" t="s">
        <v>4288</v>
      </c>
      <c r="G152" s="0" t="s">
        <v>4679</v>
      </c>
    </row>
    <row customHeight="1" ht="11.25">
      <c r="A153" s="0" t="s">
        <v>14</v>
      </c>
      <c r="B153" s="0" t="s">
        <v>4635</v>
      </c>
      <c r="C153" s="0" t="s">
        <v>4636</v>
      </c>
      <c r="D153" s="0" t="s">
        <v>4680</v>
      </c>
      <c r="E153" s="0" t="s">
        <v>4681</v>
      </c>
      <c r="F153" s="0" t="s">
        <v>4288</v>
      </c>
      <c r="G153" s="0" t="s">
        <v>4682</v>
      </c>
    </row>
    <row customHeight="1" ht="11.25">
      <c r="A154" s="0" t="s">
        <v>14</v>
      </c>
      <c r="B154" s="0" t="s">
        <v>4635</v>
      </c>
      <c r="C154" s="0" t="s">
        <v>4636</v>
      </c>
      <c r="D154" s="0" t="s">
        <v>4683</v>
      </c>
      <c r="E154" s="0" t="s">
        <v>4684</v>
      </c>
      <c r="F154" s="0" t="s">
        <v>4288</v>
      </c>
      <c r="G154" s="0" t="s">
        <v>4685</v>
      </c>
    </row>
    <row customHeight="1" ht="11.25">
      <c r="A155" s="0" t="s">
        <v>14</v>
      </c>
      <c r="B155" s="0" t="s">
        <v>4635</v>
      </c>
      <c r="C155" s="0" t="s">
        <v>4636</v>
      </c>
      <c r="D155" s="0" t="s">
        <v>4686</v>
      </c>
      <c r="E155" s="0" t="s">
        <v>4687</v>
      </c>
      <c r="F155" s="0" t="s">
        <v>4288</v>
      </c>
      <c r="G155" s="0" t="s">
        <v>4688</v>
      </c>
    </row>
    <row customHeight="1" ht="11.25">
      <c r="A156" s="0" t="s">
        <v>14</v>
      </c>
      <c r="B156" s="0" t="s">
        <v>4635</v>
      </c>
      <c r="C156" s="0" t="s">
        <v>4636</v>
      </c>
      <c r="D156" s="0" t="s">
        <v>4689</v>
      </c>
      <c r="E156" s="0" t="s">
        <v>4690</v>
      </c>
      <c r="F156" s="0" t="s">
        <v>4288</v>
      </c>
      <c r="G156" s="0" t="s">
        <v>4691</v>
      </c>
    </row>
    <row customHeight="1" ht="11.25">
      <c r="A157" s="0" t="s">
        <v>14</v>
      </c>
      <c r="B157" s="0" t="s">
        <v>4635</v>
      </c>
      <c r="C157" s="0" t="s">
        <v>4636</v>
      </c>
      <c r="D157" s="0" t="s">
        <v>4692</v>
      </c>
      <c r="E157" s="0" t="s">
        <v>4693</v>
      </c>
      <c r="F157" s="0" t="s">
        <v>4288</v>
      </c>
      <c r="G157" s="0" t="s">
        <v>4694</v>
      </c>
    </row>
    <row customHeight="1" ht="11.25">
      <c r="A158" s="0" t="s">
        <v>14</v>
      </c>
      <c r="B158" s="0" t="s">
        <v>4635</v>
      </c>
      <c r="C158" s="0" t="s">
        <v>4636</v>
      </c>
      <c r="D158" s="0" t="s">
        <v>4695</v>
      </c>
      <c r="E158" s="0" t="s">
        <v>4696</v>
      </c>
      <c r="F158" s="0" t="s">
        <v>4288</v>
      </c>
      <c r="G158" s="0" t="s">
        <v>4697</v>
      </c>
    </row>
    <row customHeight="1" ht="11.25">
      <c r="A159" s="0" t="s">
        <v>14</v>
      </c>
      <c r="B159" s="0" t="s">
        <v>4635</v>
      </c>
      <c r="C159" s="0" t="s">
        <v>4636</v>
      </c>
      <c r="D159" s="0" t="s">
        <v>4698</v>
      </c>
      <c r="E159" s="0" t="s">
        <v>4699</v>
      </c>
      <c r="F159" s="0" t="s">
        <v>4288</v>
      </c>
      <c r="G159" s="0" t="s">
        <v>4700</v>
      </c>
    </row>
    <row customHeight="1" ht="11.25">
      <c r="A160" s="0" t="s">
        <v>14</v>
      </c>
      <c r="B160" s="0" t="s">
        <v>4701</v>
      </c>
      <c r="C160" s="0" t="s">
        <v>4702</v>
      </c>
      <c r="D160" s="0" t="s">
        <v>4701</v>
      </c>
      <c r="E160" s="0" t="s">
        <v>4702</v>
      </c>
      <c r="F160" s="0" t="s">
        <v>4285</v>
      </c>
      <c r="G160" s="0" t="s">
        <v>4703</v>
      </c>
    </row>
    <row customHeight="1" ht="11.25">
      <c r="A161" s="0" t="s">
        <v>14</v>
      </c>
      <c r="B161" s="0" t="s">
        <v>4701</v>
      </c>
      <c r="C161" s="0" t="s">
        <v>4702</v>
      </c>
      <c r="D161" s="0" t="s">
        <v>4704</v>
      </c>
      <c r="E161" s="0" t="s">
        <v>4705</v>
      </c>
      <c r="F161" s="0" t="s">
        <v>4288</v>
      </c>
      <c r="G161" s="0" t="s">
        <v>4706</v>
      </c>
    </row>
    <row customHeight="1" ht="11.25">
      <c r="A162" s="0" t="s">
        <v>14</v>
      </c>
      <c r="B162" s="0" t="s">
        <v>4701</v>
      </c>
      <c r="C162" s="0" t="s">
        <v>4702</v>
      </c>
      <c r="D162" s="0" t="s">
        <v>4707</v>
      </c>
      <c r="E162" s="0" t="s">
        <v>4708</v>
      </c>
      <c r="F162" s="0" t="s">
        <v>4288</v>
      </c>
      <c r="G162" s="0" t="s">
        <v>4709</v>
      </c>
    </row>
    <row customHeight="1" ht="11.25">
      <c r="A163" s="0" t="s">
        <v>14</v>
      </c>
      <c r="B163" s="0" t="s">
        <v>4701</v>
      </c>
      <c r="C163" s="0" t="s">
        <v>4702</v>
      </c>
      <c r="D163" s="0" t="s">
        <v>4710</v>
      </c>
      <c r="E163" s="0" t="s">
        <v>4711</v>
      </c>
      <c r="F163" s="0" t="s">
        <v>4288</v>
      </c>
      <c r="G163" s="0" t="s">
        <v>4712</v>
      </c>
    </row>
    <row customHeight="1" ht="11.25">
      <c r="A164" s="0" t="s">
        <v>14</v>
      </c>
      <c r="B164" s="0" t="s">
        <v>4701</v>
      </c>
      <c r="C164" s="0" t="s">
        <v>4702</v>
      </c>
      <c r="D164" s="0" t="s">
        <v>4713</v>
      </c>
      <c r="E164" s="0" t="s">
        <v>4714</v>
      </c>
      <c r="F164" s="0" t="s">
        <v>4288</v>
      </c>
      <c r="G164" s="0" t="s">
        <v>4715</v>
      </c>
    </row>
    <row customHeight="1" ht="11.25">
      <c r="A165" s="0" t="s">
        <v>14</v>
      </c>
      <c r="B165" s="0" t="s">
        <v>4701</v>
      </c>
      <c r="C165" s="0" t="s">
        <v>4702</v>
      </c>
      <c r="D165" s="0" t="s">
        <v>4716</v>
      </c>
      <c r="E165" s="0" t="s">
        <v>4717</v>
      </c>
      <c r="F165" s="0" t="s">
        <v>4330</v>
      </c>
      <c r="G165" s="0" t="s">
        <v>4718</v>
      </c>
    </row>
    <row customHeight="1" ht="11.25">
      <c r="A166" s="0" t="s">
        <v>14</v>
      </c>
      <c r="B166" s="0" t="s">
        <v>4701</v>
      </c>
      <c r="C166" s="0" t="s">
        <v>4702</v>
      </c>
      <c r="D166" s="0" t="s">
        <v>4719</v>
      </c>
      <c r="E166" s="0" t="s">
        <v>4720</v>
      </c>
      <c r="F166" s="0" t="s">
        <v>4288</v>
      </c>
      <c r="G166" s="0" t="s">
        <v>4721</v>
      </c>
    </row>
    <row customHeight="1" ht="11.25">
      <c r="A167" s="0" t="s">
        <v>14</v>
      </c>
      <c r="B167" s="0" t="s">
        <v>4701</v>
      </c>
      <c r="C167" s="0" t="s">
        <v>4702</v>
      </c>
      <c r="D167" s="0" t="s">
        <v>4722</v>
      </c>
      <c r="E167" s="0" t="s">
        <v>4723</v>
      </c>
      <c r="F167" s="0" t="s">
        <v>4471</v>
      </c>
      <c r="G167" s="0" t="s">
        <v>4724</v>
      </c>
    </row>
    <row customHeight="1" ht="11.25">
      <c r="A168" s="0" t="s">
        <v>14</v>
      </c>
      <c r="B168" s="0" t="s">
        <v>4701</v>
      </c>
      <c r="C168" s="0" t="s">
        <v>4702</v>
      </c>
      <c r="D168" s="0" t="s">
        <v>4725</v>
      </c>
      <c r="E168" s="0" t="s">
        <v>4726</v>
      </c>
      <c r="F168" s="0" t="s">
        <v>4288</v>
      </c>
      <c r="G168" s="0" t="s">
        <v>4727</v>
      </c>
    </row>
    <row customHeight="1" ht="11.25">
      <c r="A169" s="0" t="s">
        <v>14</v>
      </c>
      <c r="B169" s="0" t="s">
        <v>4701</v>
      </c>
      <c r="C169" s="0" t="s">
        <v>4702</v>
      </c>
      <c r="D169" s="0" t="s">
        <v>4728</v>
      </c>
      <c r="E169" s="0" t="s">
        <v>4729</v>
      </c>
      <c r="F169" s="0" t="s">
        <v>4288</v>
      </c>
      <c r="G169" s="0" t="s">
        <v>4730</v>
      </c>
    </row>
    <row customHeight="1" ht="11.25">
      <c r="A170" s="0" t="s">
        <v>14</v>
      </c>
      <c r="B170" s="0" t="s">
        <v>4701</v>
      </c>
      <c r="C170" s="0" t="s">
        <v>4702</v>
      </c>
      <c r="D170" s="0" t="s">
        <v>4731</v>
      </c>
      <c r="E170" s="0" t="s">
        <v>4732</v>
      </c>
      <c r="F170" s="0" t="s">
        <v>4288</v>
      </c>
      <c r="G170" s="0" t="s">
        <v>4733</v>
      </c>
    </row>
    <row customHeight="1" ht="11.25">
      <c r="A171" s="0" t="s">
        <v>14</v>
      </c>
      <c r="B171" s="0" t="s">
        <v>4701</v>
      </c>
      <c r="C171" s="0" t="s">
        <v>4702</v>
      </c>
      <c r="D171" s="0" t="s">
        <v>4734</v>
      </c>
      <c r="E171" s="0" t="s">
        <v>4735</v>
      </c>
      <c r="F171" s="0" t="s">
        <v>4330</v>
      </c>
      <c r="G171" s="0" t="s">
        <v>4736</v>
      </c>
    </row>
    <row customHeight="1" ht="11.25">
      <c r="A172" s="0" t="s">
        <v>14</v>
      </c>
      <c r="B172" s="0" t="s">
        <v>4701</v>
      </c>
      <c r="C172" s="0" t="s">
        <v>4702</v>
      </c>
      <c r="D172" s="0" t="s">
        <v>4737</v>
      </c>
      <c r="E172" s="0" t="s">
        <v>4738</v>
      </c>
      <c r="F172" s="0" t="s">
        <v>4330</v>
      </c>
      <c r="G172" s="0" t="s">
        <v>4739</v>
      </c>
    </row>
    <row customHeight="1" ht="11.25">
      <c r="A173" s="0" t="s">
        <v>14</v>
      </c>
      <c r="B173" s="0" t="s">
        <v>4740</v>
      </c>
      <c r="C173" s="0" t="s">
        <v>4741</v>
      </c>
      <c r="D173" s="0" t="s">
        <v>4742</v>
      </c>
      <c r="E173" s="0" t="s">
        <v>4743</v>
      </c>
      <c r="F173" s="0" t="s">
        <v>4288</v>
      </c>
      <c r="G173" s="0" t="s">
        <v>4744</v>
      </c>
    </row>
    <row customHeight="1" ht="11.25">
      <c r="A174" s="0" t="s">
        <v>14</v>
      </c>
      <c r="B174" s="0" t="s">
        <v>4740</v>
      </c>
      <c r="C174" s="0" t="s">
        <v>4741</v>
      </c>
      <c r="D174" s="0" t="s">
        <v>4740</v>
      </c>
      <c r="E174" s="0" t="s">
        <v>4741</v>
      </c>
      <c r="F174" s="0" t="s">
        <v>4285</v>
      </c>
      <c r="G174" s="0" t="s">
        <v>4745</v>
      </c>
    </row>
    <row customHeight="1" ht="11.25">
      <c r="A175" s="0" t="s">
        <v>14</v>
      </c>
      <c r="B175" s="0" t="s">
        <v>4740</v>
      </c>
      <c r="C175" s="0" t="s">
        <v>4741</v>
      </c>
      <c r="D175" s="0" t="s">
        <v>4746</v>
      </c>
      <c r="E175" s="0" t="s">
        <v>4747</v>
      </c>
      <c r="F175" s="0" t="s">
        <v>4288</v>
      </c>
      <c r="G175" s="0" t="s">
        <v>4748</v>
      </c>
    </row>
    <row customHeight="1" ht="11.25">
      <c r="A176" s="0" t="s">
        <v>14</v>
      </c>
      <c r="B176" s="0" t="s">
        <v>4740</v>
      </c>
      <c r="C176" s="0" t="s">
        <v>4741</v>
      </c>
      <c r="D176" s="0" t="s">
        <v>4749</v>
      </c>
      <c r="E176" s="0" t="s">
        <v>4750</v>
      </c>
      <c r="F176" s="0" t="s">
        <v>4288</v>
      </c>
      <c r="G176" s="0" t="s">
        <v>4751</v>
      </c>
    </row>
    <row customHeight="1" ht="11.25">
      <c r="A177" s="0" t="s">
        <v>14</v>
      </c>
      <c r="B177" s="0" t="s">
        <v>4740</v>
      </c>
      <c r="C177" s="0" t="s">
        <v>4741</v>
      </c>
      <c r="D177" s="0" t="s">
        <v>4752</v>
      </c>
      <c r="E177" s="0" t="s">
        <v>4753</v>
      </c>
      <c r="F177" s="0" t="s">
        <v>4288</v>
      </c>
      <c r="G177" s="0" t="s">
        <v>4754</v>
      </c>
    </row>
    <row customHeight="1" ht="11.25">
      <c r="A178" s="0" t="s">
        <v>14</v>
      </c>
      <c r="B178" s="0" t="s">
        <v>4755</v>
      </c>
      <c r="C178" s="0" t="s">
        <v>4756</v>
      </c>
      <c r="D178" s="0" t="s">
        <v>4757</v>
      </c>
      <c r="E178" s="0" t="s">
        <v>4758</v>
      </c>
      <c r="F178" s="0" t="s">
        <v>4288</v>
      </c>
      <c r="G178" s="0" t="s">
        <v>4759</v>
      </c>
    </row>
    <row customHeight="1" ht="11.25">
      <c r="A179" s="0" t="s">
        <v>14</v>
      </c>
      <c r="B179" s="0" t="s">
        <v>4755</v>
      </c>
      <c r="C179" s="0" t="s">
        <v>4756</v>
      </c>
      <c r="D179" s="0" t="s">
        <v>4760</v>
      </c>
      <c r="E179" s="0" t="s">
        <v>4761</v>
      </c>
      <c r="F179" s="0" t="s">
        <v>4288</v>
      </c>
      <c r="G179" s="0" t="s">
        <v>4762</v>
      </c>
    </row>
    <row customHeight="1" ht="11.25">
      <c r="A180" s="0" t="s">
        <v>14</v>
      </c>
      <c r="B180" s="0" t="s">
        <v>4755</v>
      </c>
      <c r="C180" s="0" t="s">
        <v>4756</v>
      </c>
      <c r="D180" s="0" t="s">
        <v>4763</v>
      </c>
      <c r="E180" s="0" t="s">
        <v>4764</v>
      </c>
      <c r="F180" s="0" t="s">
        <v>4288</v>
      </c>
      <c r="G180" s="0" t="s">
        <v>4765</v>
      </c>
    </row>
    <row customHeight="1" ht="11.25">
      <c r="A181" s="0" t="s">
        <v>14</v>
      </c>
      <c r="B181" s="0" t="s">
        <v>4755</v>
      </c>
      <c r="C181" s="0" t="s">
        <v>4756</v>
      </c>
      <c r="D181" s="0" t="s">
        <v>4766</v>
      </c>
      <c r="E181" s="0" t="s">
        <v>4767</v>
      </c>
      <c r="F181" s="0" t="s">
        <v>4288</v>
      </c>
      <c r="G181" s="0" t="s">
        <v>4768</v>
      </c>
    </row>
    <row customHeight="1" ht="11.25">
      <c r="A182" s="0" t="s">
        <v>14</v>
      </c>
      <c r="B182" s="0" t="s">
        <v>4755</v>
      </c>
      <c r="C182" s="0" t="s">
        <v>4756</v>
      </c>
      <c r="D182" s="0" t="s">
        <v>4769</v>
      </c>
      <c r="E182" s="0" t="s">
        <v>4770</v>
      </c>
      <c r="F182" s="0" t="s">
        <v>4288</v>
      </c>
      <c r="G182" s="0" t="s">
        <v>4771</v>
      </c>
    </row>
    <row customHeight="1" ht="11.25">
      <c r="A183" s="0" t="s">
        <v>14</v>
      </c>
      <c r="B183" s="0" t="s">
        <v>4755</v>
      </c>
      <c r="C183" s="0" t="s">
        <v>4756</v>
      </c>
      <c r="D183" s="0" t="s">
        <v>4772</v>
      </c>
      <c r="E183" s="0" t="s">
        <v>4773</v>
      </c>
      <c r="F183" s="0" t="s">
        <v>4288</v>
      </c>
      <c r="G183" s="0" t="s">
        <v>4774</v>
      </c>
    </row>
    <row customHeight="1" ht="11.25">
      <c r="A184" s="0" t="s">
        <v>14</v>
      </c>
      <c r="B184" s="0" t="s">
        <v>4755</v>
      </c>
      <c r="C184" s="0" t="s">
        <v>4756</v>
      </c>
      <c r="D184" s="0" t="s">
        <v>4775</v>
      </c>
      <c r="E184" s="0" t="s">
        <v>4776</v>
      </c>
      <c r="F184" s="0" t="s">
        <v>4288</v>
      </c>
      <c r="G184" s="0" t="s">
        <v>4777</v>
      </c>
    </row>
    <row customHeight="1" ht="11.25">
      <c r="A185" s="0" t="s">
        <v>14</v>
      </c>
      <c r="B185" s="0" t="s">
        <v>4755</v>
      </c>
      <c r="C185" s="0" t="s">
        <v>4756</v>
      </c>
      <c r="D185" s="0" t="s">
        <v>4778</v>
      </c>
      <c r="E185" s="0" t="s">
        <v>4779</v>
      </c>
      <c r="F185" s="0" t="s">
        <v>4288</v>
      </c>
      <c r="G185" s="0" t="s">
        <v>4780</v>
      </c>
    </row>
    <row customHeight="1" ht="11.25">
      <c r="A186" s="0" t="s">
        <v>14</v>
      </c>
      <c r="B186" s="0" t="s">
        <v>4755</v>
      </c>
      <c r="C186" s="0" t="s">
        <v>4756</v>
      </c>
      <c r="D186" s="0" t="s">
        <v>4781</v>
      </c>
      <c r="E186" s="0" t="s">
        <v>4782</v>
      </c>
      <c r="F186" s="0" t="s">
        <v>4288</v>
      </c>
      <c r="G186" s="0" t="s">
        <v>4783</v>
      </c>
    </row>
    <row customHeight="1" ht="11.25">
      <c r="A187" s="0" t="s">
        <v>14</v>
      </c>
      <c r="B187" s="0" t="s">
        <v>4755</v>
      </c>
      <c r="C187" s="0" t="s">
        <v>4756</v>
      </c>
      <c r="D187" s="0" t="s">
        <v>4650</v>
      </c>
      <c r="E187" s="0" t="s">
        <v>4784</v>
      </c>
      <c r="F187" s="0" t="s">
        <v>4288</v>
      </c>
      <c r="G187" s="0" t="s">
        <v>4785</v>
      </c>
    </row>
    <row customHeight="1" ht="11.25">
      <c r="A188" s="0" t="s">
        <v>14</v>
      </c>
      <c r="B188" s="0" t="s">
        <v>4755</v>
      </c>
      <c r="C188" s="0" t="s">
        <v>4756</v>
      </c>
      <c r="D188" s="0" t="s">
        <v>4755</v>
      </c>
      <c r="E188" s="0" t="s">
        <v>4756</v>
      </c>
      <c r="F188" s="0" t="s">
        <v>4285</v>
      </c>
      <c r="G188" s="0" t="s">
        <v>4786</v>
      </c>
    </row>
    <row customHeight="1" ht="11.25">
      <c r="A189" s="0" t="s">
        <v>14</v>
      </c>
      <c r="B189" s="0" t="s">
        <v>4755</v>
      </c>
      <c r="C189" s="0" t="s">
        <v>4756</v>
      </c>
      <c r="D189" s="0" t="s">
        <v>4787</v>
      </c>
      <c r="E189" s="0" t="s">
        <v>4788</v>
      </c>
      <c r="F189" s="0" t="s">
        <v>4330</v>
      </c>
      <c r="G189" s="0" t="s">
        <v>4789</v>
      </c>
    </row>
    <row customHeight="1" ht="11.25">
      <c r="A190" s="0" t="s">
        <v>14</v>
      </c>
      <c r="B190" s="0" t="s">
        <v>4755</v>
      </c>
      <c r="C190" s="0" t="s">
        <v>4756</v>
      </c>
      <c r="D190" s="0" t="s">
        <v>4790</v>
      </c>
      <c r="E190" s="0" t="s">
        <v>4791</v>
      </c>
      <c r="F190" s="0" t="s">
        <v>4288</v>
      </c>
      <c r="G190" s="0" t="s">
        <v>4792</v>
      </c>
    </row>
    <row customHeight="1" ht="11.25">
      <c r="A191" s="0" t="s">
        <v>14</v>
      </c>
      <c r="B191" s="0" t="s">
        <v>4755</v>
      </c>
      <c r="C191" s="0" t="s">
        <v>4756</v>
      </c>
      <c r="D191" s="0" t="s">
        <v>4793</v>
      </c>
      <c r="E191" s="0" t="s">
        <v>4794</v>
      </c>
      <c r="F191" s="0" t="s">
        <v>4288</v>
      </c>
      <c r="G191" s="0" t="s">
        <v>4795</v>
      </c>
    </row>
    <row customHeight="1" ht="11.25">
      <c r="A192" s="0" t="s">
        <v>14</v>
      </c>
      <c r="B192" s="0" t="s">
        <v>4755</v>
      </c>
      <c r="C192" s="0" t="s">
        <v>4756</v>
      </c>
      <c r="D192" s="0" t="s">
        <v>4796</v>
      </c>
      <c r="E192" s="0" t="s">
        <v>4797</v>
      </c>
      <c r="F192" s="0" t="s">
        <v>4288</v>
      </c>
      <c r="G192" s="0" t="s">
        <v>4798</v>
      </c>
    </row>
    <row customHeight="1" ht="11.25">
      <c r="A193" s="0" t="s">
        <v>14</v>
      </c>
      <c r="B193" s="0" t="s">
        <v>4799</v>
      </c>
      <c r="C193" s="0" t="s">
        <v>4800</v>
      </c>
      <c r="D193" s="0" t="s">
        <v>4801</v>
      </c>
      <c r="E193" s="0" t="s">
        <v>4802</v>
      </c>
      <c r="F193" s="0" t="s">
        <v>4330</v>
      </c>
      <c r="G193" s="0" t="s">
        <v>4803</v>
      </c>
    </row>
    <row customHeight="1" ht="11.25">
      <c r="A194" s="0" t="s">
        <v>14</v>
      </c>
      <c r="B194" s="0" t="s">
        <v>4799</v>
      </c>
      <c r="C194" s="0" t="s">
        <v>4800</v>
      </c>
      <c r="D194" s="0" t="s">
        <v>4804</v>
      </c>
      <c r="E194" s="0" t="s">
        <v>4805</v>
      </c>
      <c r="F194" s="0" t="s">
        <v>4288</v>
      </c>
      <c r="G194" s="0" t="s">
        <v>4806</v>
      </c>
    </row>
    <row customHeight="1" ht="11.25">
      <c r="A195" s="0" t="s">
        <v>14</v>
      </c>
      <c r="B195" s="0" t="s">
        <v>4799</v>
      </c>
      <c r="C195" s="0" t="s">
        <v>4800</v>
      </c>
      <c r="D195" s="0" t="s">
        <v>4807</v>
      </c>
      <c r="E195" s="0" t="s">
        <v>4808</v>
      </c>
      <c r="F195" s="0" t="s">
        <v>4288</v>
      </c>
      <c r="G195" s="0" t="s">
        <v>4809</v>
      </c>
    </row>
    <row customHeight="1" ht="11.25">
      <c r="A196" s="0" t="s">
        <v>14</v>
      </c>
      <c r="B196" s="0" t="s">
        <v>4799</v>
      </c>
      <c r="C196" s="0" t="s">
        <v>4800</v>
      </c>
      <c r="D196" s="0" t="s">
        <v>4810</v>
      </c>
      <c r="E196" s="0" t="s">
        <v>4811</v>
      </c>
      <c r="F196" s="0" t="s">
        <v>4288</v>
      </c>
      <c r="G196" s="0" t="s">
        <v>4812</v>
      </c>
    </row>
    <row customHeight="1" ht="11.25">
      <c r="A197" s="0" t="s">
        <v>14</v>
      </c>
      <c r="B197" s="0" t="s">
        <v>4799</v>
      </c>
      <c r="C197" s="0" t="s">
        <v>4800</v>
      </c>
      <c r="D197" s="0" t="s">
        <v>4799</v>
      </c>
      <c r="E197" s="0" t="s">
        <v>4800</v>
      </c>
      <c r="F197" s="0" t="s">
        <v>4285</v>
      </c>
      <c r="G197" s="0" t="s">
        <v>4813</v>
      </c>
    </row>
    <row customHeight="1" ht="11.25">
      <c r="A198" s="0" t="s">
        <v>14</v>
      </c>
      <c r="B198" s="0" t="s">
        <v>4799</v>
      </c>
      <c r="C198" s="0" t="s">
        <v>4800</v>
      </c>
      <c r="D198" s="0" t="s">
        <v>4814</v>
      </c>
      <c r="E198" s="0" t="s">
        <v>4815</v>
      </c>
      <c r="F198" s="0" t="s">
        <v>4327</v>
      </c>
      <c r="G198" s="0" t="s">
        <v>4816</v>
      </c>
    </row>
    <row customHeight="1" ht="11.25">
      <c r="A199" s="0" t="s">
        <v>14</v>
      </c>
      <c r="B199" s="0" t="s">
        <v>4799</v>
      </c>
      <c r="C199" s="0" t="s">
        <v>4800</v>
      </c>
      <c r="D199" s="0" t="s">
        <v>4817</v>
      </c>
      <c r="E199" s="0" t="s">
        <v>4818</v>
      </c>
      <c r="F199" s="0" t="s">
        <v>4288</v>
      </c>
      <c r="G199" s="0" t="s">
        <v>4819</v>
      </c>
    </row>
    <row customHeight="1" ht="11.25">
      <c r="A200" s="0" t="s">
        <v>14</v>
      </c>
      <c r="B200" s="0" t="s">
        <v>4799</v>
      </c>
      <c r="C200" s="0" t="s">
        <v>4800</v>
      </c>
      <c r="D200" s="0" t="s">
        <v>4820</v>
      </c>
      <c r="E200" s="0" t="s">
        <v>4821</v>
      </c>
      <c r="F200" s="0" t="s">
        <v>4288</v>
      </c>
      <c r="G200" s="0" t="s">
        <v>4822</v>
      </c>
    </row>
    <row customHeight="1" ht="11.25">
      <c r="A201" s="0" t="s">
        <v>14</v>
      </c>
      <c r="B201" s="0" t="s">
        <v>4799</v>
      </c>
      <c r="C201" s="0" t="s">
        <v>4800</v>
      </c>
      <c r="D201" s="0" t="s">
        <v>4823</v>
      </c>
      <c r="E201" s="0" t="s">
        <v>4824</v>
      </c>
      <c r="F201" s="0" t="s">
        <v>4288</v>
      </c>
      <c r="G201" s="0" t="s">
        <v>4825</v>
      </c>
    </row>
    <row customHeight="1" ht="11.25">
      <c r="A202" s="0" t="s">
        <v>14</v>
      </c>
      <c r="B202" s="0" t="s">
        <v>4799</v>
      </c>
      <c r="C202" s="0" t="s">
        <v>4800</v>
      </c>
      <c r="D202" s="0" t="s">
        <v>4826</v>
      </c>
      <c r="E202" s="0" t="s">
        <v>4827</v>
      </c>
      <c r="F202" s="0" t="s">
        <v>4471</v>
      </c>
      <c r="G202" s="0" t="s">
        <v>4828</v>
      </c>
    </row>
    <row customHeight="1" ht="11.25">
      <c r="A203" s="0" t="s">
        <v>14</v>
      </c>
      <c r="B203" s="0" t="s">
        <v>4799</v>
      </c>
      <c r="C203" s="0" t="s">
        <v>4800</v>
      </c>
      <c r="D203" s="0" t="s">
        <v>4829</v>
      </c>
      <c r="E203" s="0" t="s">
        <v>4830</v>
      </c>
      <c r="F203" s="0" t="s">
        <v>4288</v>
      </c>
      <c r="G203" s="0" t="s">
        <v>4831</v>
      </c>
    </row>
    <row customHeight="1" ht="11.25">
      <c r="A204" s="0" t="s">
        <v>14</v>
      </c>
      <c r="B204" s="0" t="s">
        <v>4799</v>
      </c>
      <c r="C204" s="0" t="s">
        <v>4800</v>
      </c>
      <c r="D204" s="0" t="s">
        <v>4725</v>
      </c>
      <c r="E204" s="0" t="s">
        <v>4832</v>
      </c>
      <c r="F204" s="0" t="s">
        <v>4288</v>
      </c>
      <c r="G204" s="0" t="s">
        <v>4833</v>
      </c>
    </row>
    <row customHeight="1" ht="11.25">
      <c r="A205" s="0" t="s">
        <v>14</v>
      </c>
      <c r="B205" s="0" t="s">
        <v>4799</v>
      </c>
      <c r="C205" s="0" t="s">
        <v>4800</v>
      </c>
      <c r="D205" s="0" t="s">
        <v>4834</v>
      </c>
      <c r="E205" s="0" t="s">
        <v>4835</v>
      </c>
      <c r="F205" s="0" t="s">
        <v>4288</v>
      </c>
      <c r="G205" s="0" t="s">
        <v>4836</v>
      </c>
    </row>
    <row customHeight="1" ht="11.25">
      <c r="A206" s="0" t="s">
        <v>14</v>
      </c>
      <c r="B206" s="0" t="s">
        <v>4799</v>
      </c>
      <c r="C206" s="0" t="s">
        <v>4800</v>
      </c>
      <c r="D206" s="0" t="s">
        <v>4837</v>
      </c>
      <c r="E206" s="0" t="s">
        <v>4838</v>
      </c>
      <c r="F206" s="0" t="s">
        <v>4288</v>
      </c>
      <c r="G206" s="0" t="s">
        <v>4839</v>
      </c>
    </row>
    <row customHeight="1" ht="11.25">
      <c r="A207" s="0" t="s">
        <v>14</v>
      </c>
      <c r="B207" s="0" t="s">
        <v>4840</v>
      </c>
      <c r="C207" s="0" t="s">
        <v>4841</v>
      </c>
      <c r="D207" s="0" t="s">
        <v>4842</v>
      </c>
      <c r="E207" s="0" t="s">
        <v>4843</v>
      </c>
      <c r="F207" s="0" t="s">
        <v>4288</v>
      </c>
      <c r="G207" s="0" t="s">
        <v>4844</v>
      </c>
    </row>
    <row customHeight="1" ht="11.25">
      <c r="A208" s="0" t="s">
        <v>14</v>
      </c>
      <c r="B208" s="0" t="s">
        <v>4840</v>
      </c>
      <c r="C208" s="0" t="s">
        <v>4841</v>
      </c>
      <c r="D208" s="0" t="s">
        <v>4845</v>
      </c>
      <c r="E208" s="0" t="s">
        <v>4846</v>
      </c>
      <c r="F208" s="0" t="s">
        <v>4288</v>
      </c>
      <c r="G208" s="0" t="s">
        <v>4847</v>
      </c>
    </row>
    <row customHeight="1" ht="11.25">
      <c r="A209" s="0" t="s">
        <v>14</v>
      </c>
      <c r="B209" s="0" t="s">
        <v>4840</v>
      </c>
      <c r="C209" s="0" t="s">
        <v>4841</v>
      </c>
      <c r="D209" s="0" t="s">
        <v>4848</v>
      </c>
      <c r="E209" s="0" t="s">
        <v>4849</v>
      </c>
      <c r="F209" s="0" t="s">
        <v>4288</v>
      </c>
      <c r="G209" s="0" t="s">
        <v>4850</v>
      </c>
    </row>
    <row customHeight="1" ht="11.25">
      <c r="A210" s="0" t="s">
        <v>14</v>
      </c>
      <c r="B210" s="0" t="s">
        <v>4840</v>
      </c>
      <c r="C210" s="0" t="s">
        <v>4841</v>
      </c>
      <c r="D210" s="0" t="s">
        <v>4851</v>
      </c>
      <c r="E210" s="0" t="s">
        <v>4852</v>
      </c>
      <c r="F210" s="0" t="s">
        <v>4288</v>
      </c>
      <c r="G210" s="0" t="s">
        <v>4853</v>
      </c>
    </row>
    <row customHeight="1" ht="11.25">
      <c r="A211" s="0" t="s">
        <v>14</v>
      </c>
      <c r="B211" s="0" t="s">
        <v>4840</v>
      </c>
      <c r="C211" s="0" t="s">
        <v>4841</v>
      </c>
      <c r="D211" s="0" t="s">
        <v>4854</v>
      </c>
      <c r="E211" s="0" t="s">
        <v>4855</v>
      </c>
      <c r="F211" s="0" t="s">
        <v>4288</v>
      </c>
      <c r="G211" s="0" t="s">
        <v>4856</v>
      </c>
    </row>
    <row customHeight="1" ht="11.25">
      <c r="A212" s="0" t="s">
        <v>14</v>
      </c>
      <c r="B212" s="0" t="s">
        <v>4840</v>
      </c>
      <c r="C212" s="0" t="s">
        <v>4841</v>
      </c>
      <c r="D212" s="0" t="s">
        <v>4857</v>
      </c>
      <c r="E212" s="0" t="s">
        <v>4858</v>
      </c>
      <c r="F212" s="0" t="s">
        <v>4288</v>
      </c>
      <c r="G212" s="0" t="s">
        <v>4859</v>
      </c>
    </row>
    <row customHeight="1" ht="11.25">
      <c r="A213" s="0" t="s">
        <v>14</v>
      </c>
      <c r="B213" s="0" t="s">
        <v>4840</v>
      </c>
      <c r="C213" s="0" t="s">
        <v>4841</v>
      </c>
      <c r="D213" s="0" t="s">
        <v>4860</v>
      </c>
      <c r="E213" s="0" t="s">
        <v>4861</v>
      </c>
      <c r="F213" s="0" t="s">
        <v>4288</v>
      </c>
      <c r="G213" s="0" t="s">
        <v>4862</v>
      </c>
    </row>
    <row customHeight="1" ht="11.25">
      <c r="A214" s="0" t="s">
        <v>14</v>
      </c>
      <c r="B214" s="0" t="s">
        <v>4840</v>
      </c>
      <c r="C214" s="0" t="s">
        <v>4841</v>
      </c>
      <c r="D214" s="0" t="s">
        <v>4840</v>
      </c>
      <c r="E214" s="0" t="s">
        <v>4841</v>
      </c>
      <c r="F214" s="0" t="s">
        <v>4285</v>
      </c>
      <c r="G214" s="0" t="s">
        <v>4863</v>
      </c>
    </row>
    <row customHeight="1" ht="11.25">
      <c r="A215" s="0" t="s">
        <v>14</v>
      </c>
      <c r="B215" s="0" t="s">
        <v>4840</v>
      </c>
      <c r="C215" s="0" t="s">
        <v>4841</v>
      </c>
      <c r="D215" s="0" t="s">
        <v>4864</v>
      </c>
      <c r="E215" s="0" t="s">
        <v>4865</v>
      </c>
      <c r="F215" s="0" t="s">
        <v>4330</v>
      </c>
      <c r="G215" s="0" t="s">
        <v>4866</v>
      </c>
    </row>
    <row customHeight="1" ht="11.25">
      <c r="A216" s="0" t="s">
        <v>14</v>
      </c>
      <c r="B216" s="0" t="s">
        <v>4840</v>
      </c>
      <c r="C216" s="0" t="s">
        <v>4841</v>
      </c>
      <c r="D216" s="0" t="s">
        <v>4867</v>
      </c>
      <c r="E216" s="0" t="s">
        <v>4868</v>
      </c>
      <c r="F216" s="0" t="s">
        <v>4288</v>
      </c>
      <c r="G216" s="0" t="s">
        <v>4869</v>
      </c>
    </row>
    <row customHeight="1" ht="11.25">
      <c r="A217" s="0" t="s">
        <v>14</v>
      </c>
      <c r="B217" s="0" t="s">
        <v>4840</v>
      </c>
      <c r="C217" s="0" t="s">
        <v>4841</v>
      </c>
      <c r="D217" s="0" t="s">
        <v>4870</v>
      </c>
      <c r="E217" s="0" t="s">
        <v>4871</v>
      </c>
      <c r="F217" s="0" t="s">
        <v>4288</v>
      </c>
      <c r="G217" s="0" t="s">
        <v>4872</v>
      </c>
    </row>
    <row customHeight="1" ht="11.25">
      <c r="A218" s="0" t="s">
        <v>14</v>
      </c>
      <c r="B218" s="0" t="s">
        <v>4840</v>
      </c>
      <c r="C218" s="0" t="s">
        <v>4841</v>
      </c>
      <c r="D218" s="0" t="s">
        <v>4873</v>
      </c>
      <c r="E218" s="0" t="s">
        <v>4874</v>
      </c>
      <c r="F218" s="0" t="s">
        <v>4288</v>
      </c>
      <c r="G218" s="0" t="s">
        <v>4875</v>
      </c>
    </row>
    <row customHeight="1" ht="11.25">
      <c r="A219" s="0" t="s">
        <v>14</v>
      </c>
      <c r="B219" s="0" t="s">
        <v>4840</v>
      </c>
      <c r="C219" s="0" t="s">
        <v>4841</v>
      </c>
      <c r="D219" s="0" t="s">
        <v>4876</v>
      </c>
      <c r="E219" s="0" t="s">
        <v>4877</v>
      </c>
      <c r="F219" s="0" t="s">
        <v>4288</v>
      </c>
      <c r="G219" s="0" t="s">
        <v>4878</v>
      </c>
    </row>
    <row customHeight="1" ht="11.25">
      <c r="A220" s="0" t="s">
        <v>14</v>
      </c>
      <c r="B220" s="0" t="s">
        <v>4840</v>
      </c>
      <c r="C220" s="0" t="s">
        <v>4841</v>
      </c>
      <c r="D220" s="0" t="s">
        <v>4473</v>
      </c>
      <c r="E220" s="0" t="s">
        <v>4879</v>
      </c>
      <c r="F220" s="0" t="s">
        <v>4288</v>
      </c>
      <c r="G220" s="0" t="s">
        <v>4880</v>
      </c>
    </row>
    <row customHeight="1" ht="11.25">
      <c r="A221" s="0" t="s">
        <v>14</v>
      </c>
      <c r="B221" s="0" t="s">
        <v>4840</v>
      </c>
      <c r="C221" s="0" t="s">
        <v>4841</v>
      </c>
      <c r="D221" s="0" t="s">
        <v>4881</v>
      </c>
      <c r="E221" s="0" t="s">
        <v>4882</v>
      </c>
      <c r="F221" s="0" t="s">
        <v>4288</v>
      </c>
      <c r="G221" s="0" t="s">
        <v>4883</v>
      </c>
    </row>
    <row customHeight="1" ht="11.25">
      <c r="A222" s="0" t="s">
        <v>14</v>
      </c>
      <c r="B222" s="0" t="s">
        <v>4840</v>
      </c>
      <c r="C222" s="0" t="s">
        <v>4841</v>
      </c>
      <c r="D222" s="0" t="s">
        <v>4884</v>
      </c>
      <c r="E222" s="0" t="s">
        <v>4885</v>
      </c>
      <c r="F222" s="0" t="s">
        <v>4288</v>
      </c>
      <c r="G222" s="0" t="s">
        <v>4886</v>
      </c>
    </row>
    <row customHeight="1" ht="11.25">
      <c r="A223" s="0" t="s">
        <v>14</v>
      </c>
      <c r="B223" s="0" t="s">
        <v>4840</v>
      </c>
      <c r="C223" s="0" t="s">
        <v>4841</v>
      </c>
      <c r="D223" s="0" t="s">
        <v>4887</v>
      </c>
      <c r="E223" s="0" t="s">
        <v>4888</v>
      </c>
      <c r="F223" s="0" t="s">
        <v>4288</v>
      </c>
      <c r="G223" s="0" t="s">
        <v>4889</v>
      </c>
    </row>
    <row customHeight="1" ht="11.25">
      <c r="A224" s="0" t="s">
        <v>14</v>
      </c>
      <c r="B224" s="0" t="s">
        <v>4840</v>
      </c>
      <c r="C224" s="0" t="s">
        <v>4841</v>
      </c>
      <c r="D224" s="0" t="s">
        <v>4890</v>
      </c>
      <c r="E224" s="0" t="s">
        <v>4891</v>
      </c>
      <c r="F224" s="0" t="s">
        <v>4288</v>
      </c>
      <c r="G224" s="0" t="s">
        <v>4892</v>
      </c>
    </row>
    <row customHeight="1" ht="11.25">
      <c r="A225" s="0" t="s">
        <v>14</v>
      </c>
      <c r="B225" s="0" t="s">
        <v>4840</v>
      </c>
      <c r="C225" s="0" t="s">
        <v>4841</v>
      </c>
      <c r="D225" s="0" t="s">
        <v>4893</v>
      </c>
      <c r="E225" s="0" t="s">
        <v>4894</v>
      </c>
      <c r="F225" s="0" t="s">
        <v>4288</v>
      </c>
      <c r="G225" s="0" t="s">
        <v>4895</v>
      </c>
    </row>
    <row customHeight="1" ht="11.25">
      <c r="A226" s="0" t="s">
        <v>14</v>
      </c>
      <c r="B226" s="0" t="s">
        <v>4840</v>
      </c>
      <c r="C226" s="0" t="s">
        <v>4841</v>
      </c>
      <c r="D226" s="0" t="s">
        <v>4896</v>
      </c>
      <c r="E226" s="0" t="s">
        <v>4897</v>
      </c>
      <c r="F226" s="0" t="s">
        <v>4288</v>
      </c>
      <c r="G226" s="0" t="s">
        <v>4898</v>
      </c>
    </row>
    <row customHeight="1" ht="11.25">
      <c r="A227" s="0" t="s">
        <v>14</v>
      </c>
      <c r="B227" s="0" t="s">
        <v>4840</v>
      </c>
      <c r="C227" s="0" t="s">
        <v>4841</v>
      </c>
      <c r="D227" s="0" t="s">
        <v>4899</v>
      </c>
      <c r="E227" s="0" t="s">
        <v>4900</v>
      </c>
      <c r="F227" s="0" t="s">
        <v>4288</v>
      </c>
      <c r="G227" s="0" t="s">
        <v>4901</v>
      </c>
    </row>
    <row customHeight="1" ht="11.25">
      <c r="A228" s="0" t="s">
        <v>14</v>
      </c>
      <c r="B228" s="0" t="s">
        <v>4840</v>
      </c>
      <c r="C228" s="0" t="s">
        <v>4841</v>
      </c>
      <c r="D228" s="0" t="s">
        <v>4902</v>
      </c>
      <c r="E228" s="0" t="s">
        <v>4903</v>
      </c>
      <c r="F228" s="0" t="s">
        <v>4288</v>
      </c>
      <c r="G228" s="0" t="s">
        <v>4904</v>
      </c>
    </row>
    <row customHeight="1" ht="11.25">
      <c r="A229" s="0" t="s">
        <v>14</v>
      </c>
      <c r="B229" s="0" t="s">
        <v>4905</v>
      </c>
      <c r="C229" s="0" t="s">
        <v>4906</v>
      </c>
      <c r="D229" s="0" t="s">
        <v>4907</v>
      </c>
      <c r="E229" s="0" t="s">
        <v>4908</v>
      </c>
      <c r="F229" s="0" t="s">
        <v>4330</v>
      </c>
      <c r="G229" s="0" t="s">
        <v>4909</v>
      </c>
    </row>
    <row customHeight="1" ht="11.25">
      <c r="A230" s="0" t="s">
        <v>14</v>
      </c>
      <c r="B230" s="0" t="s">
        <v>4905</v>
      </c>
      <c r="C230" s="0" t="s">
        <v>4906</v>
      </c>
      <c r="D230" s="0" t="s">
        <v>4910</v>
      </c>
      <c r="E230" s="0" t="s">
        <v>4911</v>
      </c>
      <c r="F230" s="0" t="s">
        <v>4330</v>
      </c>
      <c r="G230" s="0" t="s">
        <v>4912</v>
      </c>
    </row>
    <row customHeight="1" ht="11.25">
      <c r="A231" s="0" t="s">
        <v>14</v>
      </c>
      <c r="B231" s="0" t="s">
        <v>4905</v>
      </c>
      <c r="C231" s="0" t="s">
        <v>4906</v>
      </c>
      <c r="D231" s="0" t="s">
        <v>4913</v>
      </c>
      <c r="E231" s="0" t="s">
        <v>4914</v>
      </c>
      <c r="F231" s="0" t="s">
        <v>4330</v>
      </c>
      <c r="G231" s="0" t="s">
        <v>4915</v>
      </c>
    </row>
    <row customHeight="1" ht="11.25">
      <c r="A232" s="0" t="s">
        <v>14</v>
      </c>
      <c r="B232" s="0" t="s">
        <v>4905</v>
      </c>
      <c r="C232" s="0" t="s">
        <v>4906</v>
      </c>
      <c r="D232" s="0" t="s">
        <v>4905</v>
      </c>
      <c r="E232" s="0" t="s">
        <v>4906</v>
      </c>
      <c r="F232" s="0" t="s">
        <v>4285</v>
      </c>
      <c r="G232" s="0" t="s">
        <v>4916</v>
      </c>
    </row>
    <row customHeight="1" ht="11.25">
      <c r="A233" s="0" t="s">
        <v>14</v>
      </c>
      <c r="B233" s="0" t="s">
        <v>4905</v>
      </c>
      <c r="C233" s="0" t="s">
        <v>4906</v>
      </c>
      <c r="D233" s="0" t="s">
        <v>4917</v>
      </c>
      <c r="E233" s="0" t="s">
        <v>4918</v>
      </c>
      <c r="F233" s="0" t="s">
        <v>4330</v>
      </c>
      <c r="G233" s="0" t="s">
        <v>4919</v>
      </c>
    </row>
    <row customHeight="1" ht="11.25">
      <c r="A234" s="0" t="s">
        <v>14</v>
      </c>
      <c r="B234" s="0" t="s">
        <v>4905</v>
      </c>
      <c r="C234" s="0" t="s">
        <v>4906</v>
      </c>
      <c r="D234" s="0" t="s">
        <v>4920</v>
      </c>
      <c r="E234" s="0" t="s">
        <v>4921</v>
      </c>
      <c r="F234" s="0" t="s">
        <v>4471</v>
      </c>
      <c r="G234" s="0" t="s">
        <v>4922</v>
      </c>
    </row>
    <row customHeight="1" ht="11.25">
      <c r="A235" s="0" t="s">
        <v>14</v>
      </c>
      <c r="B235" s="0" t="s">
        <v>4905</v>
      </c>
      <c r="C235" s="0" t="s">
        <v>4906</v>
      </c>
      <c r="D235" s="0" t="s">
        <v>4923</v>
      </c>
      <c r="E235" s="0" t="s">
        <v>4924</v>
      </c>
      <c r="F235" s="0" t="s">
        <v>4330</v>
      </c>
      <c r="G235" s="0" t="s">
        <v>4925</v>
      </c>
    </row>
    <row customHeight="1" ht="11.25">
      <c r="A236" s="0" t="s">
        <v>14</v>
      </c>
      <c r="B236" s="0" t="s">
        <v>4926</v>
      </c>
      <c r="C236" s="0" t="s">
        <v>4927</v>
      </c>
      <c r="D236" s="0" t="s">
        <v>4928</v>
      </c>
      <c r="E236" s="0" t="s">
        <v>4929</v>
      </c>
      <c r="F236" s="0" t="s">
        <v>4288</v>
      </c>
      <c r="G236" s="0" t="s">
        <v>4930</v>
      </c>
    </row>
    <row customHeight="1" ht="11.25">
      <c r="A237" s="0" t="s">
        <v>14</v>
      </c>
      <c r="B237" s="0" t="s">
        <v>4926</v>
      </c>
      <c r="C237" s="0" t="s">
        <v>4927</v>
      </c>
      <c r="D237" s="0" t="s">
        <v>4931</v>
      </c>
      <c r="E237" s="0" t="s">
        <v>4932</v>
      </c>
      <c r="F237" s="0" t="s">
        <v>4288</v>
      </c>
      <c r="G237" s="0" t="s">
        <v>4933</v>
      </c>
    </row>
    <row customHeight="1" ht="11.25">
      <c r="A238" s="0" t="s">
        <v>14</v>
      </c>
      <c r="B238" s="0" t="s">
        <v>4926</v>
      </c>
      <c r="C238" s="0" t="s">
        <v>4927</v>
      </c>
      <c r="D238" s="0" t="s">
        <v>4934</v>
      </c>
      <c r="E238" s="0" t="s">
        <v>4935</v>
      </c>
      <c r="F238" s="0" t="s">
        <v>4330</v>
      </c>
      <c r="G238" s="0" t="s">
        <v>4936</v>
      </c>
    </row>
    <row customHeight="1" ht="11.25">
      <c r="A239" s="0" t="s">
        <v>14</v>
      </c>
      <c r="B239" s="0" t="s">
        <v>4926</v>
      </c>
      <c r="C239" s="0" t="s">
        <v>4927</v>
      </c>
      <c r="D239" s="0" t="s">
        <v>4937</v>
      </c>
      <c r="E239" s="0" t="s">
        <v>4938</v>
      </c>
      <c r="F239" s="0" t="s">
        <v>4288</v>
      </c>
      <c r="G239" s="0" t="s">
        <v>4939</v>
      </c>
    </row>
    <row customHeight="1" ht="11.25">
      <c r="A240" s="0" t="s">
        <v>14</v>
      </c>
      <c r="B240" s="0" t="s">
        <v>4926</v>
      </c>
      <c r="C240" s="0" t="s">
        <v>4927</v>
      </c>
      <c r="D240" s="0" t="s">
        <v>4940</v>
      </c>
      <c r="E240" s="0" t="s">
        <v>4941</v>
      </c>
      <c r="F240" s="0" t="s">
        <v>4327</v>
      </c>
      <c r="G240" s="0" t="s">
        <v>4942</v>
      </c>
    </row>
    <row customHeight="1" ht="11.25">
      <c r="A241" s="0" t="s">
        <v>14</v>
      </c>
      <c r="B241" s="0" t="s">
        <v>4926</v>
      </c>
      <c r="C241" s="0" t="s">
        <v>4927</v>
      </c>
      <c r="D241" s="0" t="s">
        <v>4943</v>
      </c>
      <c r="E241" s="0" t="s">
        <v>4944</v>
      </c>
      <c r="F241" s="0" t="s">
        <v>4288</v>
      </c>
      <c r="G241" s="0" t="s">
        <v>4945</v>
      </c>
    </row>
    <row customHeight="1" ht="11.25">
      <c r="A242" s="0" t="s">
        <v>14</v>
      </c>
      <c r="B242" s="0" t="s">
        <v>4926</v>
      </c>
      <c r="C242" s="0" t="s">
        <v>4927</v>
      </c>
      <c r="D242" s="0" t="s">
        <v>4817</v>
      </c>
      <c r="E242" s="0" t="s">
        <v>4946</v>
      </c>
      <c r="F242" s="0" t="s">
        <v>4288</v>
      </c>
      <c r="G242" s="0" t="s">
        <v>4947</v>
      </c>
    </row>
    <row customHeight="1" ht="11.25">
      <c r="A243" s="0" t="s">
        <v>14</v>
      </c>
      <c r="B243" s="0" t="s">
        <v>4926</v>
      </c>
      <c r="C243" s="0" t="s">
        <v>4927</v>
      </c>
      <c r="D243" s="0" t="s">
        <v>4948</v>
      </c>
      <c r="E243" s="0" t="s">
        <v>4949</v>
      </c>
      <c r="F243" s="0" t="s">
        <v>4471</v>
      </c>
      <c r="G243" s="0" t="s">
        <v>4950</v>
      </c>
    </row>
    <row customHeight="1" ht="11.25">
      <c r="A244" s="0" t="s">
        <v>14</v>
      </c>
      <c r="B244" s="0" t="s">
        <v>4926</v>
      </c>
      <c r="C244" s="0" t="s">
        <v>4927</v>
      </c>
      <c r="D244" s="0" t="s">
        <v>4926</v>
      </c>
      <c r="E244" s="0" t="s">
        <v>4927</v>
      </c>
      <c r="F244" s="0" t="s">
        <v>4285</v>
      </c>
      <c r="G244" s="0" t="s">
        <v>4951</v>
      </c>
    </row>
    <row customHeight="1" ht="11.25">
      <c r="A245" s="0" t="s">
        <v>14</v>
      </c>
      <c r="B245" s="0" t="s">
        <v>4926</v>
      </c>
      <c r="C245" s="0" t="s">
        <v>4927</v>
      </c>
      <c r="D245" s="0" t="s">
        <v>4952</v>
      </c>
      <c r="E245" s="0" t="s">
        <v>4953</v>
      </c>
      <c r="F245" s="0" t="s">
        <v>4330</v>
      </c>
      <c r="G245" s="0" t="s">
        <v>4954</v>
      </c>
    </row>
    <row customHeight="1" ht="11.25">
      <c r="A246" s="0" t="s">
        <v>14</v>
      </c>
      <c r="B246" s="0" t="s">
        <v>4926</v>
      </c>
      <c r="C246" s="0" t="s">
        <v>4927</v>
      </c>
      <c r="D246" s="0" t="s">
        <v>4955</v>
      </c>
      <c r="E246" s="0" t="s">
        <v>4956</v>
      </c>
      <c r="F246" s="0" t="s">
        <v>4288</v>
      </c>
      <c r="G246" s="0" t="s">
        <v>4957</v>
      </c>
    </row>
    <row customHeight="1" ht="11.25">
      <c r="A247" s="0" t="s">
        <v>14</v>
      </c>
      <c r="B247" s="0" t="s">
        <v>4926</v>
      </c>
      <c r="C247" s="0" t="s">
        <v>4927</v>
      </c>
      <c r="D247" s="0" t="s">
        <v>4958</v>
      </c>
      <c r="E247" s="0" t="s">
        <v>4959</v>
      </c>
      <c r="F247" s="0" t="s">
        <v>4330</v>
      </c>
      <c r="G247" s="0" t="s">
        <v>4960</v>
      </c>
    </row>
    <row customHeight="1" ht="11.25">
      <c r="A248" s="0" t="s">
        <v>14</v>
      </c>
      <c r="B248" s="0" t="s">
        <v>4926</v>
      </c>
      <c r="C248" s="0" t="s">
        <v>4927</v>
      </c>
      <c r="D248" s="0" t="s">
        <v>4961</v>
      </c>
      <c r="E248" s="0" t="s">
        <v>4962</v>
      </c>
      <c r="F248" s="0" t="s">
        <v>4288</v>
      </c>
      <c r="G248" s="0" t="s">
        <v>4963</v>
      </c>
    </row>
    <row customHeight="1" ht="11.25">
      <c r="A249" s="0" t="s">
        <v>14</v>
      </c>
      <c r="B249" s="0" t="s">
        <v>4926</v>
      </c>
      <c r="C249" s="0" t="s">
        <v>4927</v>
      </c>
      <c r="D249" s="0" t="s">
        <v>4964</v>
      </c>
      <c r="E249" s="0" t="s">
        <v>4965</v>
      </c>
      <c r="F249" s="0" t="s">
        <v>4330</v>
      </c>
      <c r="G249" s="0" t="s">
        <v>4966</v>
      </c>
    </row>
    <row customHeight="1" ht="11.25">
      <c r="A250" s="0" t="s">
        <v>14</v>
      </c>
      <c r="B250" s="0" t="s">
        <v>4926</v>
      </c>
      <c r="C250" s="0" t="s">
        <v>4927</v>
      </c>
      <c r="D250" s="0" t="s">
        <v>4967</v>
      </c>
      <c r="E250" s="0" t="s">
        <v>4968</v>
      </c>
      <c r="F250" s="0" t="s">
        <v>4288</v>
      </c>
      <c r="G250" s="0" t="s">
        <v>4969</v>
      </c>
    </row>
    <row customHeight="1" ht="11.25">
      <c r="A251" s="0" t="s">
        <v>14</v>
      </c>
      <c r="B251" s="0" t="s">
        <v>4926</v>
      </c>
      <c r="C251" s="0" t="s">
        <v>4927</v>
      </c>
      <c r="D251" s="0" t="s">
        <v>4970</v>
      </c>
      <c r="E251" s="0" t="s">
        <v>4971</v>
      </c>
      <c r="F251" s="0" t="s">
        <v>4288</v>
      </c>
      <c r="G251" s="0" t="s">
        <v>4972</v>
      </c>
    </row>
    <row customHeight="1" ht="11.25">
      <c r="A252" s="0" t="s">
        <v>14</v>
      </c>
      <c r="B252" s="0" t="s">
        <v>4926</v>
      </c>
      <c r="C252" s="0" t="s">
        <v>4927</v>
      </c>
      <c r="D252" s="0" t="s">
        <v>4973</v>
      </c>
      <c r="E252" s="0" t="s">
        <v>4974</v>
      </c>
      <c r="F252" s="0" t="s">
        <v>4330</v>
      </c>
      <c r="G252" s="0" t="s">
        <v>4975</v>
      </c>
    </row>
    <row customHeight="1" ht="11.25">
      <c r="A253" s="0" t="s">
        <v>14</v>
      </c>
      <c r="B253" s="0" t="s">
        <v>4926</v>
      </c>
      <c r="C253" s="0" t="s">
        <v>4927</v>
      </c>
      <c r="D253" s="0" t="s">
        <v>4976</v>
      </c>
      <c r="E253" s="0" t="s">
        <v>4977</v>
      </c>
      <c r="F253" s="0" t="s">
        <v>4288</v>
      </c>
      <c r="G253" s="0" t="s">
        <v>4978</v>
      </c>
    </row>
    <row customHeight="1" ht="11.25">
      <c r="A254" s="0" t="s">
        <v>14</v>
      </c>
      <c r="B254" s="0" t="s">
        <v>4926</v>
      </c>
      <c r="C254" s="0" t="s">
        <v>4927</v>
      </c>
      <c r="D254" s="0" t="s">
        <v>4979</v>
      </c>
      <c r="E254" s="0" t="s">
        <v>4980</v>
      </c>
      <c r="F254" s="0" t="s">
        <v>4330</v>
      </c>
      <c r="G254" s="0" t="s">
        <v>4981</v>
      </c>
    </row>
    <row customHeight="1" ht="11.25">
      <c r="A255" s="0" t="s">
        <v>14</v>
      </c>
      <c r="B255" s="0" t="s">
        <v>4926</v>
      </c>
      <c r="C255" s="0" t="s">
        <v>4927</v>
      </c>
      <c r="D255" s="0" t="s">
        <v>4982</v>
      </c>
      <c r="E255" s="0" t="s">
        <v>4983</v>
      </c>
      <c r="F255" s="0" t="s">
        <v>4330</v>
      </c>
      <c r="G255" s="0" t="s">
        <v>4984</v>
      </c>
    </row>
    <row customHeight="1" ht="11.25">
      <c r="A256" s="0" t="s">
        <v>14</v>
      </c>
      <c r="B256" s="0" t="s">
        <v>4985</v>
      </c>
      <c r="C256" s="0" t="s">
        <v>4986</v>
      </c>
      <c r="D256" s="0" t="s">
        <v>4987</v>
      </c>
      <c r="E256" s="0" t="s">
        <v>4988</v>
      </c>
      <c r="F256" s="0" t="s">
        <v>4327</v>
      </c>
      <c r="G256" s="0" t="s">
        <v>4989</v>
      </c>
    </row>
    <row customHeight="1" ht="11.25">
      <c r="A257" s="0" t="s">
        <v>14</v>
      </c>
      <c r="B257" s="0" t="s">
        <v>4985</v>
      </c>
      <c r="C257" s="0" t="s">
        <v>4986</v>
      </c>
      <c r="D257" s="0" t="s">
        <v>4990</v>
      </c>
      <c r="E257" s="0" t="s">
        <v>4991</v>
      </c>
      <c r="F257" s="0" t="s">
        <v>4330</v>
      </c>
      <c r="G257" s="0" t="s">
        <v>4992</v>
      </c>
    </row>
    <row customHeight="1" ht="11.25">
      <c r="A258" s="0" t="s">
        <v>14</v>
      </c>
      <c r="B258" s="0" t="s">
        <v>4985</v>
      </c>
      <c r="C258" s="0" t="s">
        <v>4986</v>
      </c>
      <c r="D258" s="0" t="s">
        <v>4993</v>
      </c>
      <c r="E258" s="0" t="s">
        <v>4994</v>
      </c>
      <c r="F258" s="0" t="s">
        <v>4288</v>
      </c>
      <c r="G258" s="0" t="s">
        <v>4995</v>
      </c>
    </row>
    <row customHeight="1" ht="11.25">
      <c r="A259" s="0" t="s">
        <v>14</v>
      </c>
      <c r="B259" s="0" t="s">
        <v>4985</v>
      </c>
      <c r="C259" s="0" t="s">
        <v>4986</v>
      </c>
      <c r="D259" s="0" t="s">
        <v>4996</v>
      </c>
      <c r="E259" s="0" t="s">
        <v>4997</v>
      </c>
      <c r="F259" s="0" t="s">
        <v>4288</v>
      </c>
      <c r="G259" s="0" t="s">
        <v>4998</v>
      </c>
    </row>
    <row customHeight="1" ht="11.25">
      <c r="A260" s="0" t="s">
        <v>14</v>
      </c>
      <c r="B260" s="0" t="s">
        <v>4985</v>
      </c>
      <c r="C260" s="0" t="s">
        <v>4986</v>
      </c>
      <c r="D260" s="0" t="s">
        <v>4999</v>
      </c>
      <c r="E260" s="0" t="s">
        <v>5000</v>
      </c>
      <c r="F260" s="0" t="s">
        <v>4288</v>
      </c>
      <c r="G260" s="0" t="s">
        <v>5001</v>
      </c>
    </row>
    <row customHeight="1" ht="11.25">
      <c r="A261" s="0" t="s">
        <v>14</v>
      </c>
      <c r="B261" s="0" t="s">
        <v>4985</v>
      </c>
      <c r="C261" s="0" t="s">
        <v>4986</v>
      </c>
      <c r="D261" s="0" t="s">
        <v>5002</v>
      </c>
      <c r="E261" s="0" t="s">
        <v>5003</v>
      </c>
      <c r="F261" s="0" t="s">
        <v>4288</v>
      </c>
      <c r="G261" s="0" t="s">
        <v>5004</v>
      </c>
    </row>
    <row customHeight="1" ht="11.25">
      <c r="A262" s="0" t="s">
        <v>14</v>
      </c>
      <c r="B262" s="0" t="s">
        <v>4985</v>
      </c>
      <c r="C262" s="0" t="s">
        <v>4986</v>
      </c>
      <c r="D262" s="0" t="s">
        <v>5005</v>
      </c>
      <c r="E262" s="0" t="s">
        <v>5006</v>
      </c>
      <c r="F262" s="0" t="s">
        <v>4288</v>
      </c>
      <c r="G262" s="0" t="s">
        <v>5007</v>
      </c>
    </row>
    <row customHeight="1" ht="11.25">
      <c r="A263" s="0" t="s">
        <v>14</v>
      </c>
      <c r="B263" s="0" t="s">
        <v>4985</v>
      </c>
      <c r="C263" s="0" t="s">
        <v>4986</v>
      </c>
      <c r="D263" s="0" t="s">
        <v>5008</v>
      </c>
      <c r="E263" s="0" t="s">
        <v>5009</v>
      </c>
      <c r="F263" s="0" t="s">
        <v>4288</v>
      </c>
      <c r="G263" s="0" t="s">
        <v>5010</v>
      </c>
    </row>
    <row customHeight="1" ht="11.25">
      <c r="A264" s="0" t="s">
        <v>14</v>
      </c>
      <c r="B264" s="0" t="s">
        <v>4985</v>
      </c>
      <c r="C264" s="0" t="s">
        <v>4986</v>
      </c>
      <c r="D264" s="0" t="s">
        <v>5011</v>
      </c>
      <c r="E264" s="0" t="s">
        <v>5012</v>
      </c>
      <c r="F264" s="0" t="s">
        <v>4288</v>
      </c>
      <c r="G264" s="0" t="s">
        <v>5013</v>
      </c>
    </row>
    <row customHeight="1" ht="11.25">
      <c r="A265" s="0" t="s">
        <v>14</v>
      </c>
      <c r="B265" s="0" t="s">
        <v>4985</v>
      </c>
      <c r="C265" s="0" t="s">
        <v>4986</v>
      </c>
      <c r="D265" s="0" t="s">
        <v>5014</v>
      </c>
      <c r="E265" s="0" t="s">
        <v>5015</v>
      </c>
      <c r="F265" s="0" t="s">
        <v>4288</v>
      </c>
      <c r="G265" s="0" t="s">
        <v>5016</v>
      </c>
    </row>
    <row customHeight="1" ht="11.25">
      <c r="A266" s="0" t="s">
        <v>14</v>
      </c>
      <c r="B266" s="0" t="s">
        <v>4985</v>
      </c>
      <c r="C266" s="0" t="s">
        <v>4986</v>
      </c>
      <c r="D266" s="0" t="s">
        <v>5017</v>
      </c>
      <c r="E266" s="0" t="s">
        <v>5018</v>
      </c>
      <c r="F266" s="0" t="s">
        <v>4288</v>
      </c>
      <c r="G266" s="0" t="s">
        <v>5019</v>
      </c>
    </row>
    <row customHeight="1" ht="11.25">
      <c r="A267" s="0" t="s">
        <v>14</v>
      </c>
      <c r="B267" s="0" t="s">
        <v>4985</v>
      </c>
      <c r="C267" s="0" t="s">
        <v>4986</v>
      </c>
      <c r="D267" s="0" t="s">
        <v>4985</v>
      </c>
      <c r="E267" s="0" t="s">
        <v>4986</v>
      </c>
      <c r="F267" s="0" t="s">
        <v>4285</v>
      </c>
      <c r="G267" s="0" t="s">
        <v>5020</v>
      </c>
    </row>
    <row customHeight="1" ht="11.25">
      <c r="A268" s="0" t="s">
        <v>14</v>
      </c>
      <c r="B268" s="0" t="s">
        <v>4985</v>
      </c>
      <c r="C268" s="0" t="s">
        <v>4986</v>
      </c>
      <c r="D268" s="0" t="s">
        <v>5021</v>
      </c>
      <c r="E268" s="0" t="s">
        <v>5022</v>
      </c>
      <c r="F268" s="0" t="s">
        <v>4327</v>
      </c>
      <c r="G268" s="0" t="s">
        <v>5023</v>
      </c>
    </row>
    <row customHeight="1" ht="11.25">
      <c r="A269" s="0" t="s">
        <v>14</v>
      </c>
      <c r="B269" s="0" t="s">
        <v>4985</v>
      </c>
      <c r="C269" s="0" t="s">
        <v>4986</v>
      </c>
      <c r="D269" s="0" t="s">
        <v>5024</v>
      </c>
      <c r="E269" s="0" t="s">
        <v>5025</v>
      </c>
      <c r="F269" s="0" t="s">
        <v>4288</v>
      </c>
      <c r="G269" s="0" t="s">
        <v>5026</v>
      </c>
    </row>
    <row customHeight="1" ht="11.25">
      <c r="A270" s="0" t="s">
        <v>14</v>
      </c>
      <c r="B270" s="0" t="s">
        <v>4985</v>
      </c>
      <c r="C270" s="0" t="s">
        <v>4986</v>
      </c>
      <c r="D270" s="0" t="s">
        <v>5027</v>
      </c>
      <c r="E270" s="0" t="s">
        <v>5028</v>
      </c>
      <c r="F270" s="0" t="s">
        <v>4288</v>
      </c>
      <c r="G270" s="0" t="s">
        <v>5029</v>
      </c>
    </row>
    <row customHeight="1" ht="11.25">
      <c r="A271" s="0" t="s">
        <v>14</v>
      </c>
      <c r="B271" s="0" t="s">
        <v>4985</v>
      </c>
      <c r="C271" s="0" t="s">
        <v>4986</v>
      </c>
      <c r="D271" s="0" t="s">
        <v>5030</v>
      </c>
      <c r="E271" s="0" t="s">
        <v>5031</v>
      </c>
      <c r="F271" s="0" t="s">
        <v>4288</v>
      </c>
      <c r="G271" s="0" t="s">
        <v>5032</v>
      </c>
    </row>
    <row customHeight="1" ht="11.25">
      <c r="A272" s="0" t="s">
        <v>14</v>
      </c>
      <c r="B272" s="0" t="s">
        <v>4985</v>
      </c>
      <c r="C272" s="0" t="s">
        <v>4986</v>
      </c>
      <c r="D272" s="0" t="s">
        <v>5033</v>
      </c>
      <c r="E272" s="0" t="s">
        <v>5034</v>
      </c>
      <c r="F272" s="0" t="s">
        <v>4288</v>
      </c>
      <c r="G272" s="0" t="s">
        <v>5035</v>
      </c>
    </row>
    <row customHeight="1" ht="11.25">
      <c r="A273" s="0" t="s">
        <v>14</v>
      </c>
      <c r="B273" s="0" t="s">
        <v>4985</v>
      </c>
      <c r="C273" s="0" t="s">
        <v>4986</v>
      </c>
      <c r="D273" s="0" t="s">
        <v>5036</v>
      </c>
      <c r="E273" s="0" t="s">
        <v>5037</v>
      </c>
      <c r="F273" s="0" t="s">
        <v>4330</v>
      </c>
      <c r="G273" s="0" t="s">
        <v>5038</v>
      </c>
    </row>
    <row customHeight="1" ht="11.25">
      <c r="A274" s="0" t="s">
        <v>14</v>
      </c>
      <c r="B274" s="0" t="s">
        <v>4985</v>
      </c>
      <c r="C274" s="0" t="s">
        <v>4986</v>
      </c>
      <c r="D274" s="0" t="s">
        <v>5039</v>
      </c>
      <c r="E274" s="0" t="s">
        <v>5040</v>
      </c>
      <c r="F274" s="0" t="s">
        <v>4288</v>
      </c>
      <c r="G274" s="0" t="s">
        <v>5041</v>
      </c>
    </row>
    <row customHeight="1" ht="11.25">
      <c r="A275" s="0" t="s">
        <v>14</v>
      </c>
      <c r="B275" s="0" t="s">
        <v>4985</v>
      </c>
      <c r="C275" s="0" t="s">
        <v>4986</v>
      </c>
      <c r="D275" s="0" t="s">
        <v>5042</v>
      </c>
      <c r="E275" s="0" t="s">
        <v>5043</v>
      </c>
      <c r="F275" s="0" t="s">
        <v>4288</v>
      </c>
      <c r="G275" s="0" t="s">
        <v>5044</v>
      </c>
    </row>
    <row customHeight="1" ht="11.25">
      <c r="A276" s="0" t="s">
        <v>14</v>
      </c>
      <c r="B276" s="0" t="s">
        <v>4985</v>
      </c>
      <c r="C276" s="0" t="s">
        <v>4986</v>
      </c>
      <c r="D276" s="0" t="s">
        <v>5045</v>
      </c>
      <c r="E276" s="0" t="s">
        <v>5046</v>
      </c>
      <c r="F276" s="0" t="s">
        <v>4288</v>
      </c>
      <c r="G276" s="0" t="s">
        <v>5047</v>
      </c>
    </row>
    <row customHeight="1" ht="11.25">
      <c r="A277" s="0" t="s">
        <v>14</v>
      </c>
      <c r="B277" s="0" t="s">
        <v>4985</v>
      </c>
      <c r="C277" s="0" t="s">
        <v>4986</v>
      </c>
      <c r="D277" s="0" t="s">
        <v>5048</v>
      </c>
      <c r="E277" s="0" t="s">
        <v>5049</v>
      </c>
      <c r="F277" s="0" t="s">
        <v>4288</v>
      </c>
      <c r="G277" s="0" t="s">
        <v>5050</v>
      </c>
    </row>
    <row customHeight="1" ht="11.25">
      <c r="A278" s="0" t="s">
        <v>14</v>
      </c>
      <c r="B278" s="0" t="s">
        <v>4985</v>
      </c>
      <c r="C278" s="0" t="s">
        <v>4986</v>
      </c>
      <c r="D278" s="0" t="s">
        <v>5051</v>
      </c>
      <c r="E278" s="0" t="s">
        <v>5052</v>
      </c>
      <c r="F278" s="0" t="s">
        <v>4288</v>
      </c>
      <c r="G278" s="0" t="s">
        <v>5053</v>
      </c>
    </row>
    <row customHeight="1" ht="11.25">
      <c r="A279" s="0" t="s">
        <v>14</v>
      </c>
      <c r="B279" s="0" t="s">
        <v>4985</v>
      </c>
      <c r="C279" s="0" t="s">
        <v>4986</v>
      </c>
      <c r="D279" s="0" t="s">
        <v>5054</v>
      </c>
      <c r="E279" s="0" t="s">
        <v>5055</v>
      </c>
      <c r="F279" s="0" t="s">
        <v>4330</v>
      </c>
      <c r="G279" s="0" t="s">
        <v>5056</v>
      </c>
    </row>
    <row customHeight="1" ht="11.25">
      <c r="A280" s="0" t="s">
        <v>14</v>
      </c>
      <c r="B280" s="0" t="s">
        <v>5057</v>
      </c>
      <c r="C280" s="0" t="s">
        <v>5058</v>
      </c>
      <c r="D280" s="0" t="s">
        <v>5059</v>
      </c>
      <c r="E280" s="0" t="s">
        <v>5060</v>
      </c>
      <c r="F280" s="0" t="s">
        <v>4288</v>
      </c>
      <c r="G280" s="0" t="s">
        <v>5061</v>
      </c>
    </row>
    <row customHeight="1" ht="11.25">
      <c r="A281" s="0" t="s">
        <v>14</v>
      </c>
      <c r="B281" s="0" t="s">
        <v>5057</v>
      </c>
      <c r="C281" s="0" t="s">
        <v>5058</v>
      </c>
      <c r="D281" s="0" t="s">
        <v>5062</v>
      </c>
      <c r="E281" s="0" t="s">
        <v>5063</v>
      </c>
      <c r="F281" s="0" t="s">
        <v>4288</v>
      </c>
      <c r="G281" s="0" t="s">
        <v>5064</v>
      </c>
    </row>
    <row customHeight="1" ht="11.25">
      <c r="A282" s="0" t="s">
        <v>14</v>
      </c>
      <c r="B282" s="0" t="s">
        <v>5057</v>
      </c>
      <c r="C282" s="0" t="s">
        <v>5058</v>
      </c>
      <c r="D282" s="0" t="s">
        <v>5065</v>
      </c>
      <c r="E282" s="0" t="s">
        <v>5066</v>
      </c>
      <c r="F282" s="0" t="s">
        <v>4288</v>
      </c>
      <c r="G282" s="0" t="s">
        <v>5067</v>
      </c>
    </row>
    <row customHeight="1" ht="11.25">
      <c r="A283" s="0" t="s">
        <v>14</v>
      </c>
      <c r="B283" s="0" t="s">
        <v>5057</v>
      </c>
      <c r="C283" s="0" t="s">
        <v>5058</v>
      </c>
      <c r="D283" s="0" t="s">
        <v>5068</v>
      </c>
      <c r="E283" s="0" t="s">
        <v>5069</v>
      </c>
      <c r="F283" s="0" t="s">
        <v>4288</v>
      </c>
      <c r="G283" s="0" t="s">
        <v>5070</v>
      </c>
    </row>
    <row customHeight="1" ht="11.25">
      <c r="A284" s="0" t="s">
        <v>14</v>
      </c>
      <c r="B284" s="0" t="s">
        <v>5057</v>
      </c>
      <c r="C284" s="0" t="s">
        <v>5058</v>
      </c>
      <c r="D284" s="0" t="s">
        <v>5057</v>
      </c>
      <c r="E284" s="0" t="s">
        <v>5058</v>
      </c>
      <c r="F284" s="0" t="s">
        <v>4285</v>
      </c>
      <c r="G284" s="0" t="s">
        <v>5071</v>
      </c>
    </row>
    <row customHeight="1" ht="11.25">
      <c r="A285" s="0" t="s">
        <v>14</v>
      </c>
      <c r="B285" s="0" t="s">
        <v>5057</v>
      </c>
      <c r="C285" s="0" t="s">
        <v>5058</v>
      </c>
      <c r="D285" s="0" t="s">
        <v>5072</v>
      </c>
      <c r="E285" s="0" t="s">
        <v>5073</v>
      </c>
      <c r="F285" s="0" t="s">
        <v>4288</v>
      </c>
      <c r="G285" s="0" t="s">
        <v>5074</v>
      </c>
    </row>
    <row customHeight="1" ht="11.25">
      <c r="A286" s="0" t="s">
        <v>14</v>
      </c>
      <c r="B286" s="0" t="s">
        <v>5057</v>
      </c>
      <c r="C286" s="0" t="s">
        <v>5058</v>
      </c>
      <c r="D286" s="0" t="s">
        <v>5075</v>
      </c>
      <c r="E286" s="0" t="s">
        <v>5076</v>
      </c>
      <c r="F286" s="0" t="s">
        <v>4288</v>
      </c>
      <c r="G286" s="0" t="s">
        <v>5077</v>
      </c>
    </row>
    <row customHeight="1" ht="11.25">
      <c r="A287" s="0" t="s">
        <v>14</v>
      </c>
      <c r="B287" s="0" t="s">
        <v>5057</v>
      </c>
      <c r="C287" s="0" t="s">
        <v>5058</v>
      </c>
      <c r="D287" s="0" t="s">
        <v>5078</v>
      </c>
      <c r="E287" s="0" t="s">
        <v>5079</v>
      </c>
      <c r="F287" s="0" t="s">
        <v>4288</v>
      </c>
      <c r="G287" s="0" t="s">
        <v>5080</v>
      </c>
    </row>
    <row customHeight="1" ht="11.25">
      <c r="A288" s="0" t="s">
        <v>14</v>
      </c>
      <c r="B288" s="0" t="s">
        <v>5057</v>
      </c>
      <c r="C288" s="0" t="s">
        <v>5058</v>
      </c>
      <c r="D288" s="0" t="s">
        <v>5081</v>
      </c>
      <c r="E288" s="0" t="s">
        <v>5082</v>
      </c>
      <c r="F288" s="0" t="s">
        <v>4288</v>
      </c>
      <c r="G288" s="0" t="s">
        <v>5083</v>
      </c>
    </row>
    <row customHeight="1" ht="11.25">
      <c r="A289" s="0" t="s">
        <v>14</v>
      </c>
      <c r="B289" s="0" t="s">
        <v>5057</v>
      </c>
      <c r="C289" s="0" t="s">
        <v>5058</v>
      </c>
      <c r="D289" s="0" t="s">
        <v>5084</v>
      </c>
      <c r="E289" s="0" t="s">
        <v>5085</v>
      </c>
      <c r="F289" s="0" t="s">
        <v>4288</v>
      </c>
      <c r="G289" s="0" t="s">
        <v>5086</v>
      </c>
    </row>
    <row customHeight="1" ht="11.25">
      <c r="A290" s="0" t="s">
        <v>14</v>
      </c>
      <c r="B290" s="0" t="s">
        <v>5057</v>
      </c>
      <c r="C290" s="0" t="s">
        <v>5058</v>
      </c>
      <c r="D290" s="0" t="s">
        <v>5087</v>
      </c>
      <c r="E290" s="0" t="s">
        <v>5088</v>
      </c>
      <c r="F290" s="0" t="s">
        <v>4288</v>
      </c>
      <c r="G290" s="0" t="s">
        <v>5089</v>
      </c>
    </row>
    <row customHeight="1" ht="11.25">
      <c r="A291" s="0" t="s">
        <v>14</v>
      </c>
      <c r="B291" s="0" t="s">
        <v>5090</v>
      </c>
      <c r="C291" s="0" t="s">
        <v>5091</v>
      </c>
      <c r="D291" s="0" t="s">
        <v>5092</v>
      </c>
      <c r="E291" s="0" t="s">
        <v>5093</v>
      </c>
      <c r="F291" s="0" t="s">
        <v>4288</v>
      </c>
      <c r="G291" s="0" t="s">
        <v>5094</v>
      </c>
    </row>
    <row customHeight="1" ht="11.25">
      <c r="A292" s="0" t="s">
        <v>14</v>
      </c>
      <c r="B292" s="0" t="s">
        <v>5090</v>
      </c>
      <c r="C292" s="0" t="s">
        <v>5091</v>
      </c>
      <c r="D292" s="0" t="s">
        <v>5095</v>
      </c>
      <c r="E292" s="0" t="s">
        <v>5096</v>
      </c>
      <c r="F292" s="0" t="s">
        <v>4288</v>
      </c>
      <c r="G292" s="0" t="s">
        <v>5097</v>
      </c>
    </row>
    <row customHeight="1" ht="11.25">
      <c r="A293" s="0" t="s">
        <v>14</v>
      </c>
      <c r="B293" s="0" t="s">
        <v>5090</v>
      </c>
      <c r="C293" s="0" t="s">
        <v>5091</v>
      </c>
      <c r="D293" s="0" t="s">
        <v>5098</v>
      </c>
      <c r="E293" s="0" t="s">
        <v>5099</v>
      </c>
      <c r="F293" s="0" t="s">
        <v>4288</v>
      </c>
      <c r="G293" s="0" t="s">
        <v>5100</v>
      </c>
    </row>
    <row customHeight="1" ht="11.25">
      <c r="A294" s="0" t="s">
        <v>14</v>
      </c>
      <c r="B294" s="0" t="s">
        <v>5090</v>
      </c>
      <c r="C294" s="0" t="s">
        <v>5091</v>
      </c>
      <c r="D294" s="0" t="s">
        <v>5090</v>
      </c>
      <c r="E294" s="0" t="s">
        <v>5091</v>
      </c>
      <c r="F294" s="0" t="s">
        <v>4285</v>
      </c>
      <c r="G294" s="0" t="s">
        <v>5101</v>
      </c>
    </row>
    <row customHeight="1" ht="11.25">
      <c r="A295" s="0" t="s">
        <v>14</v>
      </c>
      <c r="B295" s="0" t="s">
        <v>5090</v>
      </c>
      <c r="C295" s="0" t="s">
        <v>5091</v>
      </c>
      <c r="D295" s="0" t="s">
        <v>5102</v>
      </c>
      <c r="E295" s="0" t="s">
        <v>5103</v>
      </c>
      <c r="F295" s="0" t="s">
        <v>4288</v>
      </c>
      <c r="G295" s="0" t="s">
        <v>5104</v>
      </c>
    </row>
    <row customHeight="1" ht="11.25">
      <c r="A296" s="0" t="s">
        <v>14</v>
      </c>
      <c r="B296" s="0" t="s">
        <v>5090</v>
      </c>
      <c r="C296" s="0" t="s">
        <v>5091</v>
      </c>
      <c r="D296" s="0" t="s">
        <v>5105</v>
      </c>
      <c r="E296" s="0" t="s">
        <v>5106</v>
      </c>
      <c r="F296" s="0" t="s">
        <v>4330</v>
      </c>
      <c r="G296" s="0" t="s">
        <v>5107</v>
      </c>
    </row>
    <row customHeight="1" ht="11.25">
      <c r="A297" s="0" t="s">
        <v>14</v>
      </c>
      <c r="B297" s="0" t="s">
        <v>5090</v>
      </c>
      <c r="C297" s="0" t="s">
        <v>5091</v>
      </c>
      <c r="D297" s="0" t="s">
        <v>5108</v>
      </c>
      <c r="E297" s="0" t="s">
        <v>5109</v>
      </c>
      <c r="F297" s="0" t="s">
        <v>4288</v>
      </c>
      <c r="G297" s="0" t="s">
        <v>5110</v>
      </c>
    </row>
    <row customHeight="1" ht="11.25">
      <c r="A298" s="0" t="s">
        <v>14</v>
      </c>
      <c r="B298" s="0" t="s">
        <v>5090</v>
      </c>
      <c r="C298" s="0" t="s">
        <v>5091</v>
      </c>
      <c r="D298" s="0" t="s">
        <v>5111</v>
      </c>
      <c r="E298" s="0" t="s">
        <v>5112</v>
      </c>
      <c r="F298" s="0" t="s">
        <v>4288</v>
      </c>
      <c r="G298" s="0" t="s">
        <v>5113</v>
      </c>
    </row>
    <row customHeight="1" ht="11.25">
      <c r="A299" s="0" t="s">
        <v>14</v>
      </c>
      <c r="B299" s="0" t="s">
        <v>5114</v>
      </c>
      <c r="C299" s="0" t="s">
        <v>5115</v>
      </c>
      <c r="D299" s="0" t="s">
        <v>5116</v>
      </c>
      <c r="E299" s="0" t="s">
        <v>5117</v>
      </c>
      <c r="F299" s="0" t="s">
        <v>4288</v>
      </c>
      <c r="G299" s="0" t="s">
        <v>5118</v>
      </c>
    </row>
    <row customHeight="1" ht="11.25">
      <c r="A300" s="0" t="s">
        <v>14</v>
      </c>
      <c r="B300" s="0" t="s">
        <v>5114</v>
      </c>
      <c r="C300" s="0" t="s">
        <v>5115</v>
      </c>
      <c r="D300" s="0" t="s">
        <v>5119</v>
      </c>
      <c r="E300" s="0" t="s">
        <v>5120</v>
      </c>
      <c r="F300" s="0" t="s">
        <v>4288</v>
      </c>
      <c r="G300" s="0" t="s">
        <v>5121</v>
      </c>
    </row>
    <row customHeight="1" ht="11.25">
      <c r="A301" s="0" t="s">
        <v>14</v>
      </c>
      <c r="B301" s="0" t="s">
        <v>5114</v>
      </c>
      <c r="C301" s="0" t="s">
        <v>5115</v>
      </c>
      <c r="D301" s="0" t="s">
        <v>5122</v>
      </c>
      <c r="E301" s="0" t="s">
        <v>5123</v>
      </c>
      <c r="F301" s="0" t="s">
        <v>4288</v>
      </c>
      <c r="G301" s="0" t="s">
        <v>5124</v>
      </c>
    </row>
    <row customHeight="1" ht="11.25">
      <c r="A302" s="0" t="s">
        <v>14</v>
      </c>
      <c r="B302" s="0" t="s">
        <v>5114</v>
      </c>
      <c r="C302" s="0" t="s">
        <v>5115</v>
      </c>
      <c r="D302" s="0" t="s">
        <v>5125</v>
      </c>
      <c r="E302" s="0" t="s">
        <v>5126</v>
      </c>
      <c r="F302" s="0" t="s">
        <v>4288</v>
      </c>
      <c r="G302" s="0" t="s">
        <v>5127</v>
      </c>
    </row>
    <row customHeight="1" ht="11.25">
      <c r="A303" s="0" t="s">
        <v>14</v>
      </c>
      <c r="B303" s="0" t="s">
        <v>5114</v>
      </c>
      <c r="C303" s="0" t="s">
        <v>5115</v>
      </c>
      <c r="D303" s="0" t="s">
        <v>5128</v>
      </c>
      <c r="E303" s="0" t="s">
        <v>5129</v>
      </c>
      <c r="F303" s="0" t="s">
        <v>4288</v>
      </c>
      <c r="G303" s="0" t="s">
        <v>5130</v>
      </c>
    </row>
    <row customHeight="1" ht="11.25">
      <c r="A304" s="0" t="s">
        <v>14</v>
      </c>
      <c r="B304" s="0" t="s">
        <v>5114</v>
      </c>
      <c r="C304" s="0" t="s">
        <v>5115</v>
      </c>
      <c r="D304" s="0" t="s">
        <v>5131</v>
      </c>
      <c r="E304" s="0" t="s">
        <v>5132</v>
      </c>
      <c r="F304" s="0" t="s">
        <v>4288</v>
      </c>
      <c r="G304" s="0" t="s">
        <v>5133</v>
      </c>
    </row>
    <row customHeight="1" ht="11.25">
      <c r="A305" s="0" t="s">
        <v>14</v>
      </c>
      <c r="B305" s="0" t="s">
        <v>5114</v>
      </c>
      <c r="C305" s="0" t="s">
        <v>5115</v>
      </c>
      <c r="D305" s="0" t="s">
        <v>5134</v>
      </c>
      <c r="E305" s="0" t="s">
        <v>5135</v>
      </c>
      <c r="F305" s="0" t="s">
        <v>4288</v>
      </c>
      <c r="G305" s="0" t="s">
        <v>5136</v>
      </c>
    </row>
    <row customHeight="1" ht="11.25">
      <c r="A306" s="0" t="s">
        <v>14</v>
      </c>
      <c r="B306" s="0" t="s">
        <v>5114</v>
      </c>
      <c r="C306" s="0" t="s">
        <v>5115</v>
      </c>
      <c r="D306" s="0" t="s">
        <v>5137</v>
      </c>
      <c r="E306" s="0" t="s">
        <v>5138</v>
      </c>
      <c r="F306" s="0" t="s">
        <v>4288</v>
      </c>
      <c r="G306" s="0" t="s">
        <v>5139</v>
      </c>
    </row>
    <row customHeight="1" ht="11.25">
      <c r="A307" s="0" t="s">
        <v>14</v>
      </c>
      <c r="B307" s="0" t="s">
        <v>5114</v>
      </c>
      <c r="C307" s="0" t="s">
        <v>5115</v>
      </c>
      <c r="D307" s="0" t="s">
        <v>5114</v>
      </c>
      <c r="E307" s="0" t="s">
        <v>5115</v>
      </c>
      <c r="F307" s="0" t="s">
        <v>4285</v>
      </c>
      <c r="G307" s="0" t="s">
        <v>5140</v>
      </c>
    </row>
    <row customHeight="1" ht="11.25">
      <c r="A308" s="0" t="s">
        <v>14</v>
      </c>
      <c r="B308" s="0" t="s">
        <v>5114</v>
      </c>
      <c r="C308" s="0" t="s">
        <v>5115</v>
      </c>
      <c r="D308" s="0" t="s">
        <v>5141</v>
      </c>
      <c r="E308" s="0" t="s">
        <v>5142</v>
      </c>
      <c r="F308" s="0" t="s">
        <v>4288</v>
      </c>
      <c r="G308" s="0" t="s">
        <v>5143</v>
      </c>
    </row>
    <row customHeight="1" ht="11.25">
      <c r="A309" s="0" t="s">
        <v>14</v>
      </c>
      <c r="B309" s="0" t="s">
        <v>5114</v>
      </c>
      <c r="C309" s="0" t="s">
        <v>5115</v>
      </c>
      <c r="D309" s="0" t="s">
        <v>5144</v>
      </c>
      <c r="E309" s="0" t="s">
        <v>5145</v>
      </c>
      <c r="F309" s="0" t="s">
        <v>4288</v>
      </c>
      <c r="G309" s="0" t="s">
        <v>5146</v>
      </c>
    </row>
    <row customHeight="1" ht="11.25">
      <c r="A310" s="0" t="s">
        <v>14</v>
      </c>
      <c r="B310" s="0" t="s">
        <v>5114</v>
      </c>
      <c r="C310" s="0" t="s">
        <v>5115</v>
      </c>
      <c r="D310" s="0" t="s">
        <v>5147</v>
      </c>
      <c r="E310" s="0" t="s">
        <v>5148</v>
      </c>
      <c r="F310" s="0" t="s">
        <v>4288</v>
      </c>
      <c r="G310" s="0" t="s">
        <v>5149</v>
      </c>
    </row>
    <row customHeight="1" ht="11.25">
      <c r="A311" s="0" t="s">
        <v>14</v>
      </c>
      <c r="B311" s="0" t="s">
        <v>5114</v>
      </c>
      <c r="C311" s="0" t="s">
        <v>5115</v>
      </c>
      <c r="D311" s="0" t="s">
        <v>5150</v>
      </c>
      <c r="E311" s="0" t="s">
        <v>5151</v>
      </c>
      <c r="F311" s="0" t="s">
        <v>4288</v>
      </c>
      <c r="G311" s="0" t="s">
        <v>5152</v>
      </c>
    </row>
    <row customHeight="1" ht="11.25">
      <c r="A312" s="0" t="s">
        <v>14</v>
      </c>
      <c r="B312" s="0" t="s">
        <v>5153</v>
      </c>
      <c r="C312" s="0" t="s">
        <v>5154</v>
      </c>
      <c r="D312" s="0" t="s">
        <v>5155</v>
      </c>
      <c r="E312" s="0" t="s">
        <v>5156</v>
      </c>
      <c r="F312" s="0" t="s">
        <v>4327</v>
      </c>
      <c r="G312" s="0" t="s">
        <v>5157</v>
      </c>
    </row>
    <row customHeight="1" ht="11.25">
      <c r="A313" s="0" t="s">
        <v>14</v>
      </c>
      <c r="B313" s="0" t="s">
        <v>5153</v>
      </c>
      <c r="C313" s="0" t="s">
        <v>5154</v>
      </c>
      <c r="D313" s="0" t="s">
        <v>5158</v>
      </c>
      <c r="E313" s="0" t="s">
        <v>5159</v>
      </c>
      <c r="F313" s="0" t="s">
        <v>4288</v>
      </c>
      <c r="G313" s="0" t="s">
        <v>5160</v>
      </c>
    </row>
    <row customHeight="1" ht="11.25">
      <c r="A314" s="0" t="s">
        <v>14</v>
      </c>
      <c r="B314" s="0" t="s">
        <v>5153</v>
      </c>
      <c r="C314" s="0" t="s">
        <v>5154</v>
      </c>
      <c r="D314" s="0" t="s">
        <v>5161</v>
      </c>
      <c r="E314" s="0" t="s">
        <v>5162</v>
      </c>
      <c r="F314" s="0" t="s">
        <v>4330</v>
      </c>
      <c r="G314" s="0" t="s">
        <v>5163</v>
      </c>
    </row>
    <row customHeight="1" ht="11.25">
      <c r="A315" s="0" t="s">
        <v>14</v>
      </c>
      <c r="B315" s="0" t="s">
        <v>5153</v>
      </c>
      <c r="C315" s="0" t="s">
        <v>5154</v>
      </c>
      <c r="D315" s="0" t="s">
        <v>5164</v>
      </c>
      <c r="E315" s="0" t="s">
        <v>5165</v>
      </c>
      <c r="F315" s="0" t="s">
        <v>4288</v>
      </c>
      <c r="G315" s="0" t="s">
        <v>5166</v>
      </c>
    </row>
    <row customHeight="1" ht="11.25">
      <c r="A316" s="0" t="s">
        <v>14</v>
      </c>
      <c r="B316" s="0" t="s">
        <v>5153</v>
      </c>
      <c r="C316" s="0" t="s">
        <v>5154</v>
      </c>
      <c r="D316" s="0" t="s">
        <v>5167</v>
      </c>
      <c r="E316" s="0" t="s">
        <v>5168</v>
      </c>
      <c r="F316" s="0" t="s">
        <v>4288</v>
      </c>
      <c r="G316" s="0" t="s">
        <v>5169</v>
      </c>
    </row>
    <row customHeight="1" ht="11.25">
      <c r="A317" s="0" t="s">
        <v>14</v>
      </c>
      <c r="B317" s="0" t="s">
        <v>5153</v>
      </c>
      <c r="C317" s="0" t="s">
        <v>5154</v>
      </c>
      <c r="D317" s="0" t="s">
        <v>5170</v>
      </c>
      <c r="E317" s="0" t="s">
        <v>5171</v>
      </c>
      <c r="F317" s="0" t="s">
        <v>4288</v>
      </c>
      <c r="G317" s="0" t="s">
        <v>5172</v>
      </c>
    </row>
    <row customHeight="1" ht="11.25">
      <c r="A318" s="0" t="s">
        <v>14</v>
      </c>
      <c r="B318" s="0" t="s">
        <v>5153</v>
      </c>
      <c r="C318" s="0" t="s">
        <v>5154</v>
      </c>
      <c r="D318" s="0" t="s">
        <v>5153</v>
      </c>
      <c r="E318" s="0" t="s">
        <v>5154</v>
      </c>
      <c r="F318" s="0" t="s">
        <v>4285</v>
      </c>
      <c r="G318" s="0" t="s">
        <v>5173</v>
      </c>
    </row>
    <row customHeight="1" ht="11.25">
      <c r="A319" s="0" t="s">
        <v>14</v>
      </c>
      <c r="B319" s="0" t="s">
        <v>5153</v>
      </c>
      <c r="C319" s="0" t="s">
        <v>5154</v>
      </c>
      <c r="D319" s="0" t="s">
        <v>5174</v>
      </c>
      <c r="E319" s="0" t="s">
        <v>5175</v>
      </c>
      <c r="F319" s="0" t="s">
        <v>4327</v>
      </c>
      <c r="G319" s="0" t="s">
        <v>5176</v>
      </c>
    </row>
    <row customHeight="1" ht="11.25">
      <c r="A320" s="0" t="s">
        <v>14</v>
      </c>
      <c r="B320" s="0" t="s">
        <v>5153</v>
      </c>
      <c r="C320" s="0" t="s">
        <v>5154</v>
      </c>
      <c r="D320" s="0" t="s">
        <v>5177</v>
      </c>
      <c r="E320" s="0" t="s">
        <v>5178</v>
      </c>
      <c r="F320" s="0" t="s">
        <v>4288</v>
      </c>
      <c r="G320" s="0" t="s">
        <v>5179</v>
      </c>
    </row>
    <row customHeight="1" ht="11.25">
      <c r="A321" s="0" t="s">
        <v>14</v>
      </c>
      <c r="B321" s="0" t="s">
        <v>100</v>
      </c>
      <c r="C321" s="0" t="s">
        <v>5180</v>
      </c>
      <c r="D321" s="0" t="s">
        <v>5181</v>
      </c>
      <c r="E321" s="0" t="s">
        <v>5182</v>
      </c>
      <c r="F321" s="0" t="s">
        <v>4288</v>
      </c>
      <c r="G321" s="0" t="s">
        <v>5183</v>
      </c>
    </row>
    <row customHeight="1" ht="11.25">
      <c r="A322" s="0" t="s">
        <v>14</v>
      </c>
      <c r="B322" s="0" t="s">
        <v>100</v>
      </c>
      <c r="C322" s="0" t="s">
        <v>5180</v>
      </c>
      <c r="D322" s="0" t="s">
        <v>5184</v>
      </c>
      <c r="E322" s="0" t="s">
        <v>5185</v>
      </c>
      <c r="F322" s="0" t="s">
        <v>4288</v>
      </c>
      <c r="G322" s="0" t="s">
        <v>5186</v>
      </c>
    </row>
    <row customHeight="1" ht="11.25">
      <c r="A323" s="0" t="s">
        <v>14</v>
      </c>
      <c r="B323" s="0" t="s">
        <v>100</v>
      </c>
      <c r="C323" s="0" t="s">
        <v>5180</v>
      </c>
      <c r="D323" s="0" t="s">
        <v>5187</v>
      </c>
      <c r="E323" s="0" t="s">
        <v>5188</v>
      </c>
      <c r="F323" s="0" t="s">
        <v>4327</v>
      </c>
      <c r="G323" s="0" t="s">
        <v>5189</v>
      </c>
    </row>
    <row customHeight="1" ht="11.25">
      <c r="A324" s="0" t="s">
        <v>14</v>
      </c>
      <c r="B324" s="0" t="s">
        <v>100</v>
      </c>
      <c r="C324" s="0" t="s">
        <v>5180</v>
      </c>
      <c r="D324" s="0" t="s">
        <v>5190</v>
      </c>
      <c r="E324" s="0" t="s">
        <v>5191</v>
      </c>
      <c r="F324" s="0" t="s">
        <v>4288</v>
      </c>
      <c r="G324" s="0" t="s">
        <v>5192</v>
      </c>
    </row>
    <row customHeight="1" ht="11.25">
      <c r="A325" s="0" t="s">
        <v>14</v>
      </c>
      <c r="B325" s="0" t="s">
        <v>100</v>
      </c>
      <c r="C325" s="0" t="s">
        <v>5180</v>
      </c>
      <c r="D325" s="0" t="s">
        <v>5193</v>
      </c>
      <c r="E325" s="0" t="s">
        <v>5194</v>
      </c>
      <c r="F325" s="0" t="s">
        <v>4288</v>
      </c>
      <c r="G325" s="0" t="s">
        <v>5195</v>
      </c>
    </row>
    <row customHeight="1" ht="11.25">
      <c r="A326" s="0" t="s">
        <v>14</v>
      </c>
      <c r="B326" s="0" t="s">
        <v>100</v>
      </c>
      <c r="C326" s="0" t="s">
        <v>5180</v>
      </c>
      <c r="D326" s="0" t="s">
        <v>5196</v>
      </c>
      <c r="E326" s="0" t="s">
        <v>5197</v>
      </c>
      <c r="F326" s="0" t="s">
        <v>4288</v>
      </c>
      <c r="G326" s="0" t="s">
        <v>5198</v>
      </c>
    </row>
    <row customHeight="1" ht="11.25">
      <c r="A327" s="0" t="s">
        <v>14</v>
      </c>
      <c r="B327" s="0" t="s">
        <v>100</v>
      </c>
      <c r="C327" s="0" t="s">
        <v>5180</v>
      </c>
      <c r="D327" s="0" t="s">
        <v>5199</v>
      </c>
      <c r="E327" s="0" t="s">
        <v>5200</v>
      </c>
      <c r="F327" s="0" t="s">
        <v>4288</v>
      </c>
      <c r="G327" s="0" t="s">
        <v>5201</v>
      </c>
    </row>
    <row customHeight="1" ht="11.25">
      <c r="A328" s="0" t="s">
        <v>14</v>
      </c>
      <c r="B328" s="0" t="s">
        <v>100</v>
      </c>
      <c r="C328" s="0" t="s">
        <v>5180</v>
      </c>
      <c r="D328" s="0" t="s">
        <v>5202</v>
      </c>
      <c r="E328" s="0" t="s">
        <v>5203</v>
      </c>
      <c r="F328" s="0" t="s">
        <v>4288</v>
      </c>
      <c r="G328" s="0" t="s">
        <v>5204</v>
      </c>
    </row>
    <row customHeight="1" ht="11.25">
      <c r="A329" s="0" t="s">
        <v>14</v>
      </c>
      <c r="B329" s="0" t="s">
        <v>100</v>
      </c>
      <c r="C329" s="0" t="s">
        <v>5180</v>
      </c>
      <c r="D329" s="0" t="s">
        <v>5205</v>
      </c>
      <c r="E329" s="0" t="s">
        <v>5206</v>
      </c>
      <c r="F329" s="0" t="s">
        <v>4288</v>
      </c>
      <c r="G329" s="0" t="s">
        <v>5207</v>
      </c>
    </row>
    <row customHeight="1" ht="11.25">
      <c r="A330" s="0" t="s">
        <v>14</v>
      </c>
      <c r="B330" s="0" t="s">
        <v>100</v>
      </c>
      <c r="C330" s="0" t="s">
        <v>5180</v>
      </c>
      <c r="D330" s="0" t="s">
        <v>5208</v>
      </c>
      <c r="E330" s="0" t="s">
        <v>5209</v>
      </c>
      <c r="F330" s="0" t="s">
        <v>4288</v>
      </c>
      <c r="G330" s="0" t="s">
        <v>5210</v>
      </c>
    </row>
    <row customHeight="1" ht="11.25">
      <c r="A331" s="0" t="s">
        <v>14</v>
      </c>
      <c r="B331" s="0" t="s">
        <v>100</v>
      </c>
      <c r="C331" s="0" t="s">
        <v>5180</v>
      </c>
      <c r="D331" s="0" t="s">
        <v>4781</v>
      </c>
      <c r="E331" s="0" t="s">
        <v>5211</v>
      </c>
      <c r="F331" s="0" t="s">
        <v>4288</v>
      </c>
      <c r="G331" s="0" t="s">
        <v>5212</v>
      </c>
    </row>
    <row customHeight="1" ht="11.25">
      <c r="A332" s="0" t="s">
        <v>14</v>
      </c>
      <c r="B332" s="0" t="s">
        <v>100</v>
      </c>
      <c r="C332" s="0" t="s">
        <v>5180</v>
      </c>
      <c r="D332" s="0" t="s">
        <v>5213</v>
      </c>
      <c r="E332" s="0" t="s">
        <v>5214</v>
      </c>
      <c r="F332" s="0" t="s">
        <v>4330</v>
      </c>
      <c r="G332" s="0" t="s">
        <v>5215</v>
      </c>
    </row>
    <row customHeight="1" ht="11.25">
      <c r="A333" s="0" t="s">
        <v>14</v>
      </c>
      <c r="B333" s="0" t="s">
        <v>100</v>
      </c>
      <c r="C333" s="0" t="s">
        <v>5180</v>
      </c>
      <c r="D333" s="0" t="s">
        <v>5216</v>
      </c>
      <c r="E333" s="0" t="s">
        <v>5217</v>
      </c>
      <c r="F333" s="0" t="s">
        <v>4471</v>
      </c>
      <c r="G333" s="0" t="s">
        <v>5218</v>
      </c>
    </row>
    <row customHeight="1" ht="11.25">
      <c r="A334" s="0" t="s">
        <v>14</v>
      </c>
      <c r="B334" s="0" t="s">
        <v>100</v>
      </c>
      <c r="C334" s="0" t="s">
        <v>5180</v>
      </c>
      <c r="D334" s="0" t="s">
        <v>5219</v>
      </c>
      <c r="E334" s="0" t="s">
        <v>5220</v>
      </c>
      <c r="F334" s="0" t="s">
        <v>4288</v>
      </c>
      <c r="G334" s="0" t="s">
        <v>5221</v>
      </c>
    </row>
    <row customHeight="1" ht="11.25">
      <c r="A335" s="0" t="s">
        <v>14</v>
      </c>
      <c r="B335" s="0" t="s">
        <v>100</v>
      </c>
      <c r="C335" s="0" t="s">
        <v>5180</v>
      </c>
      <c r="D335" s="0" t="s">
        <v>5222</v>
      </c>
      <c r="E335" s="0" t="s">
        <v>5223</v>
      </c>
      <c r="F335" s="0" t="s">
        <v>4288</v>
      </c>
      <c r="G335" s="0" t="s">
        <v>5224</v>
      </c>
    </row>
    <row customHeight="1" ht="11.25">
      <c r="A336" s="0" t="s">
        <v>14</v>
      </c>
      <c r="B336" s="0" t="s">
        <v>100</v>
      </c>
      <c r="C336" s="0" t="s">
        <v>5180</v>
      </c>
      <c r="D336" s="0" t="s">
        <v>5225</v>
      </c>
      <c r="E336" s="0" t="s">
        <v>5226</v>
      </c>
      <c r="F336" s="0" t="s">
        <v>4288</v>
      </c>
      <c r="G336" s="0" t="s">
        <v>5227</v>
      </c>
    </row>
    <row customHeight="1" ht="11.25">
      <c r="A337" s="0" t="s">
        <v>14</v>
      </c>
      <c r="B337" s="0" t="s">
        <v>100</v>
      </c>
      <c r="C337" s="0" t="s">
        <v>5180</v>
      </c>
      <c r="D337" s="0" t="s">
        <v>5228</v>
      </c>
      <c r="E337" s="0" t="s">
        <v>5229</v>
      </c>
      <c r="F337" s="0" t="s">
        <v>4330</v>
      </c>
      <c r="G337" s="0" t="s">
        <v>5230</v>
      </c>
    </row>
    <row customHeight="1" ht="11.25">
      <c r="A338" s="0" t="s">
        <v>14</v>
      </c>
      <c r="B338" s="0" t="s">
        <v>100</v>
      </c>
      <c r="C338" s="0" t="s">
        <v>5180</v>
      </c>
      <c r="D338" s="0" t="s">
        <v>5231</v>
      </c>
      <c r="E338" s="0" t="s">
        <v>5232</v>
      </c>
      <c r="F338" s="0" t="s">
        <v>4288</v>
      </c>
      <c r="G338" s="0" t="s">
        <v>5233</v>
      </c>
    </row>
    <row customHeight="1" ht="11.25">
      <c r="A339" s="0" t="s">
        <v>14</v>
      </c>
      <c r="B339" s="0" t="s">
        <v>100</v>
      </c>
      <c r="C339" s="0" t="s">
        <v>5180</v>
      </c>
      <c r="D339" s="0" t="s">
        <v>5234</v>
      </c>
      <c r="E339" s="0" t="s">
        <v>5235</v>
      </c>
      <c r="F339" s="0" t="s">
        <v>4288</v>
      </c>
      <c r="G339" s="0" t="s">
        <v>5236</v>
      </c>
    </row>
    <row customHeight="1" ht="11.25">
      <c r="A340" s="0" t="s">
        <v>14</v>
      </c>
      <c r="B340" s="0" t="s">
        <v>100</v>
      </c>
      <c r="C340" s="0" t="s">
        <v>5180</v>
      </c>
      <c r="D340" s="0" t="s">
        <v>5237</v>
      </c>
      <c r="E340" s="0" t="s">
        <v>5238</v>
      </c>
      <c r="F340" s="0" t="s">
        <v>4288</v>
      </c>
      <c r="G340" s="0" t="s">
        <v>5239</v>
      </c>
    </row>
    <row customHeight="1" ht="11.25">
      <c r="A341" s="0" t="s">
        <v>14</v>
      </c>
      <c r="B341" s="0" t="s">
        <v>100</v>
      </c>
      <c r="C341" s="0" t="s">
        <v>5180</v>
      </c>
      <c r="D341" s="0" t="s">
        <v>5240</v>
      </c>
      <c r="E341" s="0" t="s">
        <v>5241</v>
      </c>
      <c r="F341" s="0" t="s">
        <v>4288</v>
      </c>
      <c r="G341" s="0" t="s">
        <v>5242</v>
      </c>
    </row>
    <row customHeight="1" ht="11.25">
      <c r="A342" s="0" t="s">
        <v>14</v>
      </c>
      <c r="B342" s="0" t="s">
        <v>100</v>
      </c>
      <c r="C342" s="0" t="s">
        <v>5180</v>
      </c>
      <c r="D342" s="0" t="s">
        <v>5243</v>
      </c>
      <c r="E342" s="0" t="s">
        <v>5244</v>
      </c>
      <c r="F342" s="0" t="s">
        <v>4288</v>
      </c>
      <c r="G342" s="0" t="s">
        <v>5245</v>
      </c>
    </row>
    <row customHeight="1" ht="11.25">
      <c r="A343" s="0" t="s">
        <v>14</v>
      </c>
      <c r="B343" s="0" t="s">
        <v>100</v>
      </c>
      <c r="C343" s="0" t="s">
        <v>5180</v>
      </c>
      <c r="D343" s="0" t="s">
        <v>5246</v>
      </c>
      <c r="E343" s="0" t="s">
        <v>5247</v>
      </c>
      <c r="F343" s="0" t="s">
        <v>4288</v>
      </c>
      <c r="G343" s="0" t="s">
        <v>5248</v>
      </c>
    </row>
    <row customHeight="1" ht="11.25">
      <c r="A344" s="0" t="s">
        <v>14</v>
      </c>
      <c r="B344" s="0" t="s">
        <v>100</v>
      </c>
      <c r="C344" s="0" t="s">
        <v>5180</v>
      </c>
      <c r="D344" s="0" t="s">
        <v>100</v>
      </c>
      <c r="E344" s="0" t="s">
        <v>5180</v>
      </c>
      <c r="F344" s="0" t="s">
        <v>4285</v>
      </c>
      <c r="G344" s="0" t="s">
        <v>5249</v>
      </c>
    </row>
    <row customHeight="1" ht="11.25">
      <c r="A345" s="0" t="s">
        <v>14</v>
      </c>
      <c r="B345" s="0" t="s">
        <v>100</v>
      </c>
      <c r="C345" s="0" t="s">
        <v>5180</v>
      </c>
      <c r="D345" s="0" t="s">
        <v>101</v>
      </c>
      <c r="E345" s="0" t="s">
        <v>102</v>
      </c>
      <c r="F345" s="0" t="s">
        <v>4327</v>
      </c>
      <c r="G345" s="0" t="s">
        <v>99</v>
      </c>
    </row>
    <row customHeight="1" ht="11.25">
      <c r="A346" s="0" t="s">
        <v>14</v>
      </c>
      <c r="B346" s="0" t="s">
        <v>100</v>
      </c>
      <c r="C346" s="0" t="s">
        <v>5180</v>
      </c>
      <c r="D346" s="0" t="s">
        <v>5250</v>
      </c>
      <c r="E346" s="0" t="s">
        <v>5251</v>
      </c>
      <c r="F346" s="0" t="s">
        <v>4288</v>
      </c>
      <c r="G346" s="0" t="s">
        <v>5252</v>
      </c>
    </row>
    <row customHeight="1" ht="11.25">
      <c r="A347" s="0" t="s">
        <v>14</v>
      </c>
      <c r="B347" s="0" t="s">
        <v>100</v>
      </c>
      <c r="C347" s="0" t="s">
        <v>5180</v>
      </c>
      <c r="D347" s="0" t="s">
        <v>5253</v>
      </c>
      <c r="E347" s="0" t="s">
        <v>5254</v>
      </c>
      <c r="F347" s="0" t="s">
        <v>4288</v>
      </c>
      <c r="G347" s="0" t="s">
        <v>5255</v>
      </c>
    </row>
    <row customHeight="1" ht="11.25">
      <c r="A348" s="0" t="s">
        <v>14</v>
      </c>
      <c r="B348" s="0" t="s">
        <v>100</v>
      </c>
      <c r="C348" s="0" t="s">
        <v>5180</v>
      </c>
      <c r="D348" s="0" t="s">
        <v>5256</v>
      </c>
      <c r="E348" s="0" t="s">
        <v>5257</v>
      </c>
      <c r="F348" s="0" t="s">
        <v>4288</v>
      </c>
      <c r="G348" s="0" t="s">
        <v>5258</v>
      </c>
    </row>
    <row customHeight="1" ht="11.25">
      <c r="A349" s="0" t="s">
        <v>14</v>
      </c>
      <c r="B349" s="0" t="s">
        <v>100</v>
      </c>
      <c r="C349" s="0" t="s">
        <v>5180</v>
      </c>
      <c r="D349" s="0" t="s">
        <v>5259</v>
      </c>
      <c r="E349" s="0" t="s">
        <v>5260</v>
      </c>
      <c r="F349" s="0" t="s">
        <v>4288</v>
      </c>
      <c r="G349" s="0" t="s">
        <v>5261</v>
      </c>
    </row>
    <row customHeight="1" ht="11.25">
      <c r="A350" s="0" t="s">
        <v>14</v>
      </c>
      <c r="B350" s="0" t="s">
        <v>100</v>
      </c>
      <c r="C350" s="0" t="s">
        <v>5180</v>
      </c>
      <c r="D350" s="0" t="s">
        <v>5262</v>
      </c>
      <c r="E350" s="0" t="s">
        <v>5263</v>
      </c>
      <c r="F350" s="0" t="s">
        <v>4288</v>
      </c>
      <c r="G350" s="0" t="s">
        <v>5264</v>
      </c>
    </row>
    <row customHeight="1" ht="11.25">
      <c r="A351" s="0" t="s">
        <v>14</v>
      </c>
      <c r="B351" s="0" t="s">
        <v>100</v>
      </c>
      <c r="C351" s="0" t="s">
        <v>5180</v>
      </c>
      <c r="D351" s="0" t="s">
        <v>5265</v>
      </c>
      <c r="E351" s="0" t="s">
        <v>5266</v>
      </c>
      <c r="F351" s="0" t="s">
        <v>4288</v>
      </c>
      <c r="G351" s="0" t="s">
        <v>5267</v>
      </c>
    </row>
    <row customHeight="1" ht="11.25">
      <c r="A352" s="0" t="s">
        <v>14</v>
      </c>
      <c r="B352" s="0" t="s">
        <v>100</v>
      </c>
      <c r="C352" s="0" t="s">
        <v>5180</v>
      </c>
      <c r="D352" s="0" t="s">
        <v>5268</v>
      </c>
      <c r="E352" s="0" t="s">
        <v>5269</v>
      </c>
      <c r="F352" s="0" t="s">
        <v>4330</v>
      </c>
      <c r="G352" s="0" t="s">
        <v>5270</v>
      </c>
    </row>
    <row customHeight="1" ht="11.25">
      <c r="A353" s="0" t="s">
        <v>14</v>
      </c>
      <c r="B353" s="0" t="s">
        <v>100</v>
      </c>
      <c r="C353" s="0" t="s">
        <v>5180</v>
      </c>
      <c r="D353" s="0" t="s">
        <v>5271</v>
      </c>
      <c r="E353" s="0" t="s">
        <v>5272</v>
      </c>
      <c r="F353" s="0" t="s">
        <v>4330</v>
      </c>
      <c r="G353" s="0" t="s">
        <v>5273</v>
      </c>
    </row>
    <row customHeight="1" ht="11.25">
      <c r="A354" s="0" t="s">
        <v>14</v>
      </c>
      <c r="B354" s="0" t="s">
        <v>5274</v>
      </c>
      <c r="C354" s="0" t="s">
        <v>5275</v>
      </c>
      <c r="D354" s="0" t="s">
        <v>5276</v>
      </c>
      <c r="E354" s="0" t="s">
        <v>5277</v>
      </c>
      <c r="F354" s="0" t="s">
        <v>4288</v>
      </c>
      <c r="G354" s="0" t="s">
        <v>5278</v>
      </c>
    </row>
    <row customHeight="1" ht="11.25">
      <c r="A355" s="0" t="s">
        <v>14</v>
      </c>
      <c r="B355" s="0" t="s">
        <v>5274</v>
      </c>
      <c r="C355" s="0" t="s">
        <v>5275</v>
      </c>
      <c r="D355" s="0" t="s">
        <v>5279</v>
      </c>
      <c r="E355" s="0" t="s">
        <v>5280</v>
      </c>
      <c r="F355" s="0" t="s">
        <v>4288</v>
      </c>
      <c r="G355" s="0" t="s">
        <v>5281</v>
      </c>
    </row>
    <row customHeight="1" ht="11.25">
      <c r="A356" s="0" t="s">
        <v>14</v>
      </c>
      <c r="B356" s="0" t="s">
        <v>5274</v>
      </c>
      <c r="C356" s="0" t="s">
        <v>5275</v>
      </c>
      <c r="D356" s="0" t="s">
        <v>5282</v>
      </c>
      <c r="E356" s="0" t="s">
        <v>5283</v>
      </c>
      <c r="F356" s="0" t="s">
        <v>4288</v>
      </c>
      <c r="G356" s="0" t="s">
        <v>5284</v>
      </c>
    </row>
    <row customHeight="1" ht="11.25">
      <c r="A357" s="0" t="s">
        <v>14</v>
      </c>
      <c r="B357" s="0" t="s">
        <v>5274</v>
      </c>
      <c r="C357" s="0" t="s">
        <v>5275</v>
      </c>
      <c r="D357" s="0" t="s">
        <v>5285</v>
      </c>
      <c r="E357" s="0" t="s">
        <v>5286</v>
      </c>
      <c r="F357" s="0" t="s">
        <v>4288</v>
      </c>
      <c r="G357" s="0" t="s">
        <v>5287</v>
      </c>
    </row>
    <row customHeight="1" ht="11.25">
      <c r="A358" s="0" t="s">
        <v>14</v>
      </c>
      <c r="B358" s="0" t="s">
        <v>5274</v>
      </c>
      <c r="C358" s="0" t="s">
        <v>5275</v>
      </c>
      <c r="D358" s="0" t="s">
        <v>5288</v>
      </c>
      <c r="E358" s="0" t="s">
        <v>5289</v>
      </c>
      <c r="F358" s="0" t="s">
        <v>4288</v>
      </c>
      <c r="G358" s="0" t="s">
        <v>5290</v>
      </c>
    </row>
    <row customHeight="1" ht="11.25">
      <c r="A359" s="0" t="s">
        <v>14</v>
      </c>
      <c r="B359" s="0" t="s">
        <v>5274</v>
      </c>
      <c r="C359" s="0" t="s">
        <v>5275</v>
      </c>
      <c r="D359" s="0" t="s">
        <v>5291</v>
      </c>
      <c r="E359" s="0" t="s">
        <v>5292</v>
      </c>
      <c r="F359" s="0" t="s">
        <v>4288</v>
      </c>
      <c r="G359" s="0" t="s">
        <v>5293</v>
      </c>
    </row>
    <row customHeight="1" ht="11.25">
      <c r="A360" s="0" t="s">
        <v>14</v>
      </c>
      <c r="B360" s="0" t="s">
        <v>5274</v>
      </c>
      <c r="C360" s="0" t="s">
        <v>5275</v>
      </c>
      <c r="D360" s="0" t="s">
        <v>4556</v>
      </c>
      <c r="E360" s="0" t="s">
        <v>5294</v>
      </c>
      <c r="F360" s="0" t="s">
        <v>4288</v>
      </c>
      <c r="G360" s="0" t="s">
        <v>5295</v>
      </c>
    </row>
    <row customHeight="1" ht="11.25">
      <c r="A361" s="0" t="s">
        <v>14</v>
      </c>
      <c r="B361" s="0" t="s">
        <v>5274</v>
      </c>
      <c r="C361" s="0" t="s">
        <v>5275</v>
      </c>
      <c r="D361" s="0" t="s">
        <v>5296</v>
      </c>
      <c r="E361" s="0" t="s">
        <v>5297</v>
      </c>
      <c r="F361" s="0" t="s">
        <v>4288</v>
      </c>
      <c r="G361" s="0" t="s">
        <v>5298</v>
      </c>
    </row>
    <row customHeight="1" ht="11.25">
      <c r="A362" s="0" t="s">
        <v>14</v>
      </c>
      <c r="B362" s="0" t="s">
        <v>5274</v>
      </c>
      <c r="C362" s="0" t="s">
        <v>5275</v>
      </c>
      <c r="D362" s="0" t="s">
        <v>5299</v>
      </c>
      <c r="E362" s="0" t="s">
        <v>5300</v>
      </c>
      <c r="F362" s="0" t="s">
        <v>4288</v>
      </c>
      <c r="G362" s="0" t="s">
        <v>5301</v>
      </c>
    </row>
    <row customHeight="1" ht="11.25">
      <c r="A363" s="0" t="s">
        <v>14</v>
      </c>
      <c r="B363" s="0" t="s">
        <v>5274</v>
      </c>
      <c r="C363" s="0" t="s">
        <v>5275</v>
      </c>
      <c r="D363" s="0" t="s">
        <v>5302</v>
      </c>
      <c r="E363" s="0" t="s">
        <v>5303</v>
      </c>
      <c r="F363" s="0" t="s">
        <v>4288</v>
      </c>
      <c r="G363" s="0" t="s">
        <v>5304</v>
      </c>
    </row>
    <row customHeight="1" ht="11.25">
      <c r="A364" s="0" t="s">
        <v>14</v>
      </c>
      <c r="B364" s="0" t="s">
        <v>5274</v>
      </c>
      <c r="C364" s="0" t="s">
        <v>5275</v>
      </c>
      <c r="D364" s="0" t="s">
        <v>5305</v>
      </c>
      <c r="E364" s="0" t="s">
        <v>5306</v>
      </c>
      <c r="F364" s="0" t="s">
        <v>4288</v>
      </c>
      <c r="G364" s="0" t="s">
        <v>5307</v>
      </c>
    </row>
    <row customHeight="1" ht="11.25">
      <c r="A365" s="0" t="s">
        <v>14</v>
      </c>
      <c r="B365" s="0" t="s">
        <v>5274</v>
      </c>
      <c r="C365" s="0" t="s">
        <v>5275</v>
      </c>
      <c r="D365" s="0" t="s">
        <v>5308</v>
      </c>
      <c r="E365" s="0" t="s">
        <v>5309</v>
      </c>
      <c r="F365" s="0" t="s">
        <v>4288</v>
      </c>
      <c r="G365" s="0" t="s">
        <v>5310</v>
      </c>
    </row>
    <row customHeight="1" ht="11.25">
      <c r="A366" s="0" t="s">
        <v>14</v>
      </c>
      <c r="B366" s="0" t="s">
        <v>5274</v>
      </c>
      <c r="C366" s="0" t="s">
        <v>5275</v>
      </c>
      <c r="D366" s="0" t="s">
        <v>5311</v>
      </c>
      <c r="E366" s="0" t="s">
        <v>5312</v>
      </c>
      <c r="F366" s="0" t="s">
        <v>4288</v>
      </c>
      <c r="G366" s="0" t="s">
        <v>5313</v>
      </c>
    </row>
    <row customHeight="1" ht="11.25">
      <c r="A367" s="0" t="s">
        <v>14</v>
      </c>
      <c r="B367" s="0" t="s">
        <v>5274</v>
      </c>
      <c r="C367" s="0" t="s">
        <v>5275</v>
      </c>
      <c r="D367" s="0" t="s">
        <v>5314</v>
      </c>
      <c r="E367" s="0" t="s">
        <v>5315</v>
      </c>
      <c r="F367" s="0" t="s">
        <v>4288</v>
      </c>
      <c r="G367" s="0" t="s">
        <v>5316</v>
      </c>
    </row>
    <row customHeight="1" ht="11.25">
      <c r="A368" s="0" t="s">
        <v>14</v>
      </c>
      <c r="B368" s="0" t="s">
        <v>5274</v>
      </c>
      <c r="C368" s="0" t="s">
        <v>5275</v>
      </c>
      <c r="D368" s="0" t="s">
        <v>5317</v>
      </c>
      <c r="E368" s="0" t="s">
        <v>5318</v>
      </c>
      <c r="F368" s="0" t="s">
        <v>4288</v>
      </c>
      <c r="G368" s="0" t="s">
        <v>5319</v>
      </c>
    </row>
    <row customHeight="1" ht="11.25">
      <c r="A369" s="0" t="s">
        <v>14</v>
      </c>
      <c r="B369" s="0" t="s">
        <v>5274</v>
      </c>
      <c r="C369" s="0" t="s">
        <v>5275</v>
      </c>
      <c r="D369" s="0" t="s">
        <v>5320</v>
      </c>
      <c r="E369" s="0" t="s">
        <v>5321</v>
      </c>
      <c r="F369" s="0" t="s">
        <v>4288</v>
      </c>
      <c r="G369" s="0" t="s">
        <v>5322</v>
      </c>
    </row>
    <row customHeight="1" ht="11.25">
      <c r="A370" s="0" t="s">
        <v>14</v>
      </c>
      <c r="B370" s="0" t="s">
        <v>5274</v>
      </c>
      <c r="C370" s="0" t="s">
        <v>5275</v>
      </c>
      <c r="D370" s="0" t="s">
        <v>5323</v>
      </c>
      <c r="E370" s="0" t="s">
        <v>5324</v>
      </c>
      <c r="F370" s="0" t="s">
        <v>4288</v>
      </c>
      <c r="G370" s="0" t="s">
        <v>5325</v>
      </c>
    </row>
    <row customHeight="1" ht="11.25">
      <c r="A371" s="0" t="s">
        <v>14</v>
      </c>
      <c r="B371" s="0" t="s">
        <v>5274</v>
      </c>
      <c r="C371" s="0" t="s">
        <v>5275</v>
      </c>
      <c r="D371" s="0" t="s">
        <v>5326</v>
      </c>
      <c r="E371" s="0" t="s">
        <v>5327</v>
      </c>
      <c r="F371" s="0" t="s">
        <v>4288</v>
      </c>
      <c r="G371" s="0" t="s">
        <v>5328</v>
      </c>
    </row>
    <row customHeight="1" ht="11.25">
      <c r="A372" s="0" t="s">
        <v>14</v>
      </c>
      <c r="B372" s="0" t="s">
        <v>5274</v>
      </c>
      <c r="C372" s="0" t="s">
        <v>5275</v>
      </c>
      <c r="D372" s="0" t="s">
        <v>5329</v>
      </c>
      <c r="E372" s="0" t="s">
        <v>5330</v>
      </c>
      <c r="F372" s="0" t="s">
        <v>4288</v>
      </c>
      <c r="G372" s="0" t="s">
        <v>5331</v>
      </c>
    </row>
    <row customHeight="1" ht="11.25">
      <c r="A373" s="0" t="s">
        <v>14</v>
      </c>
      <c r="B373" s="0" t="s">
        <v>5274</v>
      </c>
      <c r="C373" s="0" t="s">
        <v>5275</v>
      </c>
      <c r="D373" s="0" t="s">
        <v>5332</v>
      </c>
      <c r="E373" s="0" t="s">
        <v>5333</v>
      </c>
      <c r="F373" s="0" t="s">
        <v>4288</v>
      </c>
      <c r="G373" s="0" t="s">
        <v>5334</v>
      </c>
    </row>
    <row customHeight="1" ht="11.25">
      <c r="A374" s="0" t="s">
        <v>14</v>
      </c>
      <c r="B374" s="0" t="s">
        <v>5274</v>
      </c>
      <c r="C374" s="0" t="s">
        <v>5275</v>
      </c>
      <c r="D374" s="0" t="s">
        <v>5335</v>
      </c>
      <c r="E374" s="0" t="s">
        <v>5336</v>
      </c>
      <c r="F374" s="0" t="s">
        <v>4288</v>
      </c>
      <c r="G374" s="0" t="s">
        <v>5337</v>
      </c>
    </row>
    <row customHeight="1" ht="11.25">
      <c r="A375" s="0" t="s">
        <v>14</v>
      </c>
      <c r="B375" s="0" t="s">
        <v>5274</v>
      </c>
      <c r="C375" s="0" t="s">
        <v>5275</v>
      </c>
      <c r="D375" s="0" t="s">
        <v>5274</v>
      </c>
      <c r="E375" s="0" t="s">
        <v>5275</v>
      </c>
      <c r="F375" s="0" t="s">
        <v>4285</v>
      </c>
      <c r="G375" s="0" t="s">
        <v>5338</v>
      </c>
    </row>
    <row customHeight="1" ht="11.25">
      <c r="A376" s="0" t="s">
        <v>14</v>
      </c>
      <c r="B376" s="0" t="s">
        <v>5274</v>
      </c>
      <c r="C376" s="0" t="s">
        <v>5275</v>
      </c>
      <c r="D376" s="0" t="s">
        <v>5339</v>
      </c>
      <c r="E376" s="0" t="s">
        <v>5340</v>
      </c>
      <c r="F376" s="0" t="s">
        <v>4288</v>
      </c>
      <c r="G376" s="0" t="s">
        <v>5341</v>
      </c>
    </row>
    <row customHeight="1" ht="11.25">
      <c r="A377" s="0" t="s">
        <v>14</v>
      </c>
      <c r="B377" s="0" t="s">
        <v>5274</v>
      </c>
      <c r="C377" s="0" t="s">
        <v>5275</v>
      </c>
      <c r="D377" s="0" t="s">
        <v>5342</v>
      </c>
      <c r="E377" s="0" t="s">
        <v>5343</v>
      </c>
      <c r="F377" s="0" t="s">
        <v>4288</v>
      </c>
      <c r="G377" s="0" t="s">
        <v>5344</v>
      </c>
    </row>
    <row customHeight="1" ht="11.25">
      <c r="A378" s="0" t="s">
        <v>14</v>
      </c>
      <c r="B378" s="0" t="s">
        <v>5274</v>
      </c>
      <c r="C378" s="0" t="s">
        <v>5275</v>
      </c>
      <c r="D378" s="0" t="s">
        <v>5345</v>
      </c>
      <c r="E378" s="0" t="s">
        <v>5346</v>
      </c>
      <c r="F378" s="0" t="s">
        <v>4288</v>
      </c>
      <c r="G378" s="0" t="s">
        <v>5347</v>
      </c>
    </row>
    <row customHeight="1" ht="11.25">
      <c r="A379" s="0" t="s">
        <v>14</v>
      </c>
      <c r="B379" s="0" t="s">
        <v>5348</v>
      </c>
      <c r="C379" s="0" t="s">
        <v>5349</v>
      </c>
      <c r="D379" s="0" t="s">
        <v>5350</v>
      </c>
      <c r="E379" s="0" t="s">
        <v>5351</v>
      </c>
      <c r="F379" s="0" t="s">
        <v>4330</v>
      </c>
      <c r="G379" s="0" t="s">
        <v>5352</v>
      </c>
    </row>
    <row customHeight="1" ht="11.25">
      <c r="A380" s="0" t="s">
        <v>14</v>
      </c>
      <c r="B380" s="0" t="s">
        <v>5348</v>
      </c>
      <c r="C380" s="0" t="s">
        <v>5349</v>
      </c>
      <c r="D380" s="0" t="s">
        <v>5353</v>
      </c>
      <c r="E380" s="0" t="s">
        <v>5354</v>
      </c>
      <c r="F380" s="0" t="s">
        <v>4288</v>
      </c>
      <c r="G380" s="0" t="s">
        <v>5355</v>
      </c>
    </row>
    <row customHeight="1" ht="11.25">
      <c r="A381" s="0" t="s">
        <v>14</v>
      </c>
      <c r="B381" s="0" t="s">
        <v>5348</v>
      </c>
      <c r="C381" s="0" t="s">
        <v>5349</v>
      </c>
      <c r="D381" s="0" t="s">
        <v>5356</v>
      </c>
      <c r="E381" s="0" t="s">
        <v>5357</v>
      </c>
      <c r="F381" s="0" t="s">
        <v>4288</v>
      </c>
      <c r="G381" s="0" t="s">
        <v>5358</v>
      </c>
    </row>
    <row customHeight="1" ht="11.25">
      <c r="A382" s="0" t="s">
        <v>14</v>
      </c>
      <c r="B382" s="0" t="s">
        <v>5348</v>
      </c>
      <c r="C382" s="0" t="s">
        <v>5349</v>
      </c>
      <c r="D382" s="0" t="s">
        <v>5359</v>
      </c>
      <c r="E382" s="0" t="s">
        <v>5360</v>
      </c>
      <c r="F382" s="0" t="s">
        <v>4288</v>
      </c>
      <c r="G382" s="0" t="s">
        <v>5361</v>
      </c>
    </row>
    <row customHeight="1" ht="11.25">
      <c r="A383" s="0" t="s">
        <v>14</v>
      </c>
      <c r="B383" s="0" t="s">
        <v>5348</v>
      </c>
      <c r="C383" s="0" t="s">
        <v>5349</v>
      </c>
      <c r="D383" s="0" t="s">
        <v>5362</v>
      </c>
      <c r="E383" s="0" t="s">
        <v>5363</v>
      </c>
      <c r="F383" s="0" t="s">
        <v>4330</v>
      </c>
      <c r="G383" s="0" t="s">
        <v>5364</v>
      </c>
    </row>
    <row customHeight="1" ht="11.25">
      <c r="A384" s="0" t="s">
        <v>14</v>
      </c>
      <c r="B384" s="0" t="s">
        <v>5348</v>
      </c>
      <c r="C384" s="0" t="s">
        <v>5349</v>
      </c>
      <c r="D384" s="0" t="s">
        <v>5365</v>
      </c>
      <c r="E384" s="0" t="s">
        <v>5366</v>
      </c>
      <c r="F384" s="0" t="s">
        <v>4288</v>
      </c>
      <c r="G384" s="0" t="s">
        <v>5367</v>
      </c>
    </row>
    <row customHeight="1" ht="11.25">
      <c r="A385" s="0" t="s">
        <v>14</v>
      </c>
      <c r="B385" s="0" t="s">
        <v>5348</v>
      </c>
      <c r="C385" s="0" t="s">
        <v>5349</v>
      </c>
      <c r="D385" s="0" t="s">
        <v>5368</v>
      </c>
      <c r="E385" s="0" t="s">
        <v>5369</v>
      </c>
      <c r="F385" s="0" t="s">
        <v>4288</v>
      </c>
      <c r="G385" s="0" t="s">
        <v>5370</v>
      </c>
    </row>
    <row customHeight="1" ht="11.25">
      <c r="A386" s="0" t="s">
        <v>14</v>
      </c>
      <c r="B386" s="0" t="s">
        <v>5348</v>
      </c>
      <c r="C386" s="0" t="s">
        <v>5349</v>
      </c>
      <c r="D386" s="0" t="s">
        <v>5371</v>
      </c>
      <c r="E386" s="0" t="s">
        <v>5372</v>
      </c>
      <c r="F386" s="0" t="s">
        <v>4288</v>
      </c>
      <c r="G386" s="0" t="s">
        <v>5373</v>
      </c>
    </row>
    <row customHeight="1" ht="11.25">
      <c r="A387" s="0" t="s">
        <v>14</v>
      </c>
      <c r="B387" s="0" t="s">
        <v>5348</v>
      </c>
      <c r="C387" s="0" t="s">
        <v>5349</v>
      </c>
      <c r="D387" s="0" t="s">
        <v>5374</v>
      </c>
      <c r="E387" s="0" t="s">
        <v>5375</v>
      </c>
      <c r="F387" s="0" t="s">
        <v>4288</v>
      </c>
      <c r="G387" s="0" t="s">
        <v>5376</v>
      </c>
    </row>
    <row customHeight="1" ht="11.25">
      <c r="A388" s="0" t="s">
        <v>14</v>
      </c>
      <c r="B388" s="0" t="s">
        <v>5348</v>
      </c>
      <c r="C388" s="0" t="s">
        <v>5349</v>
      </c>
      <c r="D388" s="0" t="s">
        <v>5377</v>
      </c>
      <c r="E388" s="0" t="s">
        <v>5378</v>
      </c>
      <c r="F388" s="0" t="s">
        <v>4330</v>
      </c>
      <c r="G388" s="0" t="s">
        <v>5379</v>
      </c>
    </row>
    <row customHeight="1" ht="11.25">
      <c r="A389" s="0" t="s">
        <v>14</v>
      </c>
      <c r="B389" s="0" t="s">
        <v>5348</v>
      </c>
      <c r="C389" s="0" t="s">
        <v>5349</v>
      </c>
      <c r="D389" s="0" t="s">
        <v>5380</v>
      </c>
      <c r="E389" s="0" t="s">
        <v>5381</v>
      </c>
      <c r="F389" s="0" t="s">
        <v>4330</v>
      </c>
      <c r="G389" s="0" t="s">
        <v>5382</v>
      </c>
    </row>
    <row customHeight="1" ht="11.25">
      <c r="A390" s="0" t="s">
        <v>14</v>
      </c>
      <c r="B390" s="0" t="s">
        <v>5348</v>
      </c>
      <c r="C390" s="0" t="s">
        <v>5349</v>
      </c>
      <c r="D390" s="0" t="s">
        <v>5383</v>
      </c>
      <c r="E390" s="0" t="s">
        <v>5384</v>
      </c>
      <c r="F390" s="0" t="s">
        <v>4288</v>
      </c>
      <c r="G390" s="0" t="s">
        <v>5385</v>
      </c>
    </row>
    <row customHeight="1" ht="11.25">
      <c r="A391" s="0" t="s">
        <v>14</v>
      </c>
      <c r="B391" s="0" t="s">
        <v>5348</v>
      </c>
      <c r="C391" s="0" t="s">
        <v>5349</v>
      </c>
      <c r="D391" s="0" t="s">
        <v>5386</v>
      </c>
      <c r="E391" s="0" t="s">
        <v>5387</v>
      </c>
      <c r="F391" s="0" t="s">
        <v>4330</v>
      </c>
      <c r="G391" s="0" t="s">
        <v>5388</v>
      </c>
    </row>
    <row customHeight="1" ht="11.25">
      <c r="A392" s="0" t="s">
        <v>14</v>
      </c>
      <c r="B392" s="0" t="s">
        <v>5348</v>
      </c>
      <c r="C392" s="0" t="s">
        <v>5349</v>
      </c>
      <c r="D392" s="0" t="s">
        <v>5348</v>
      </c>
      <c r="E392" s="0" t="s">
        <v>5349</v>
      </c>
      <c r="F392" s="0" t="s">
        <v>4285</v>
      </c>
      <c r="G392" s="0" t="s">
        <v>5389</v>
      </c>
    </row>
    <row customHeight="1" ht="11.25">
      <c r="A393" s="0" t="s">
        <v>14</v>
      </c>
      <c r="B393" s="0" t="s">
        <v>5390</v>
      </c>
      <c r="C393" s="0" t="s">
        <v>5391</v>
      </c>
      <c r="D393" s="0" t="s">
        <v>5392</v>
      </c>
      <c r="E393" s="0" t="s">
        <v>5393</v>
      </c>
      <c r="F393" s="0" t="s">
        <v>4288</v>
      </c>
      <c r="G393" s="0" t="s">
        <v>5394</v>
      </c>
    </row>
    <row customHeight="1" ht="11.25">
      <c r="A394" s="0" t="s">
        <v>14</v>
      </c>
      <c r="B394" s="0" t="s">
        <v>5390</v>
      </c>
      <c r="C394" s="0" t="s">
        <v>5391</v>
      </c>
      <c r="D394" s="0" t="s">
        <v>5395</v>
      </c>
      <c r="E394" s="0" t="s">
        <v>5396</v>
      </c>
      <c r="F394" s="0" t="s">
        <v>4288</v>
      </c>
      <c r="G394" s="0" t="s">
        <v>5397</v>
      </c>
    </row>
    <row customHeight="1" ht="11.25">
      <c r="A395" s="0" t="s">
        <v>14</v>
      </c>
      <c r="B395" s="0" t="s">
        <v>5390</v>
      </c>
      <c r="C395" s="0" t="s">
        <v>5391</v>
      </c>
      <c r="D395" s="0" t="s">
        <v>5356</v>
      </c>
      <c r="E395" s="0" t="s">
        <v>5398</v>
      </c>
      <c r="F395" s="0" t="s">
        <v>4330</v>
      </c>
      <c r="G395" s="0" t="s">
        <v>5399</v>
      </c>
    </row>
    <row customHeight="1" ht="11.25">
      <c r="A396" s="0" t="s">
        <v>14</v>
      </c>
      <c r="B396" s="0" t="s">
        <v>5390</v>
      </c>
      <c r="C396" s="0" t="s">
        <v>5391</v>
      </c>
      <c r="D396" s="0" t="s">
        <v>5400</v>
      </c>
      <c r="E396" s="0" t="s">
        <v>5401</v>
      </c>
      <c r="F396" s="0" t="s">
        <v>4288</v>
      </c>
      <c r="G396" s="0" t="s">
        <v>5402</v>
      </c>
    </row>
    <row customHeight="1" ht="11.25">
      <c r="A397" s="0" t="s">
        <v>14</v>
      </c>
      <c r="B397" s="0" t="s">
        <v>5390</v>
      </c>
      <c r="C397" s="0" t="s">
        <v>5391</v>
      </c>
      <c r="D397" s="0" t="s">
        <v>5403</v>
      </c>
      <c r="E397" s="0" t="s">
        <v>5404</v>
      </c>
      <c r="F397" s="0" t="s">
        <v>4471</v>
      </c>
      <c r="G397" s="0" t="s">
        <v>5405</v>
      </c>
    </row>
    <row customHeight="1" ht="11.25">
      <c r="A398" s="0" t="s">
        <v>14</v>
      </c>
      <c r="B398" s="0" t="s">
        <v>5390</v>
      </c>
      <c r="C398" s="0" t="s">
        <v>5391</v>
      </c>
      <c r="D398" s="0" t="s">
        <v>5406</v>
      </c>
      <c r="E398" s="0" t="s">
        <v>5407</v>
      </c>
      <c r="F398" s="0" t="s">
        <v>4288</v>
      </c>
      <c r="G398" s="0" t="s">
        <v>5408</v>
      </c>
    </row>
    <row customHeight="1" ht="11.25">
      <c r="A399" s="0" t="s">
        <v>14</v>
      </c>
      <c r="B399" s="0" t="s">
        <v>5390</v>
      </c>
      <c r="C399" s="0" t="s">
        <v>5391</v>
      </c>
      <c r="D399" s="0" t="s">
        <v>5409</v>
      </c>
      <c r="E399" s="0" t="s">
        <v>5410</v>
      </c>
      <c r="F399" s="0" t="s">
        <v>4288</v>
      </c>
      <c r="G399" s="0" t="s">
        <v>5411</v>
      </c>
    </row>
    <row customHeight="1" ht="11.25">
      <c r="A400" s="0" t="s">
        <v>14</v>
      </c>
      <c r="B400" s="0" t="s">
        <v>5390</v>
      </c>
      <c r="C400" s="0" t="s">
        <v>5391</v>
      </c>
      <c r="D400" s="0" t="s">
        <v>5412</v>
      </c>
      <c r="E400" s="0" t="s">
        <v>5413</v>
      </c>
      <c r="F400" s="0" t="s">
        <v>4288</v>
      </c>
      <c r="G400" s="0" t="s">
        <v>5414</v>
      </c>
    </row>
    <row customHeight="1" ht="11.25">
      <c r="A401" s="0" t="s">
        <v>14</v>
      </c>
      <c r="B401" s="0" t="s">
        <v>5390</v>
      </c>
      <c r="C401" s="0" t="s">
        <v>5391</v>
      </c>
      <c r="D401" s="0" t="s">
        <v>5415</v>
      </c>
      <c r="E401" s="0" t="s">
        <v>5416</v>
      </c>
      <c r="F401" s="0" t="s">
        <v>4288</v>
      </c>
      <c r="G401" s="0" t="s">
        <v>5417</v>
      </c>
    </row>
    <row customHeight="1" ht="11.25">
      <c r="A402" s="0" t="s">
        <v>14</v>
      </c>
      <c r="B402" s="0" t="s">
        <v>5390</v>
      </c>
      <c r="C402" s="0" t="s">
        <v>5391</v>
      </c>
      <c r="D402" s="0" t="s">
        <v>5390</v>
      </c>
      <c r="E402" s="0" t="s">
        <v>5391</v>
      </c>
      <c r="F402" s="0" t="s">
        <v>4285</v>
      </c>
      <c r="G402" s="0" t="s">
        <v>5418</v>
      </c>
    </row>
    <row customHeight="1" ht="11.25">
      <c r="A403" s="0" t="s">
        <v>14</v>
      </c>
      <c r="B403" s="0" t="s">
        <v>5390</v>
      </c>
      <c r="C403" s="0" t="s">
        <v>5391</v>
      </c>
      <c r="D403" s="0" t="s">
        <v>5419</v>
      </c>
      <c r="E403" s="0" t="s">
        <v>5420</v>
      </c>
      <c r="F403" s="0" t="s">
        <v>4288</v>
      </c>
      <c r="G403" s="0" t="s">
        <v>5421</v>
      </c>
    </row>
    <row customHeight="1" ht="11.25">
      <c r="A404" s="0" t="s">
        <v>14</v>
      </c>
      <c r="B404" s="0" t="s">
        <v>5422</v>
      </c>
      <c r="C404" s="0" t="s">
        <v>5423</v>
      </c>
      <c r="D404" s="0" t="s">
        <v>5424</v>
      </c>
      <c r="E404" s="0" t="s">
        <v>5425</v>
      </c>
      <c r="F404" s="0" t="s">
        <v>4288</v>
      </c>
      <c r="G404" s="0" t="s">
        <v>5426</v>
      </c>
    </row>
    <row customHeight="1" ht="11.25">
      <c r="A405" s="0" t="s">
        <v>14</v>
      </c>
      <c r="B405" s="0" t="s">
        <v>5422</v>
      </c>
      <c r="C405" s="0" t="s">
        <v>5423</v>
      </c>
      <c r="D405" s="0" t="s">
        <v>5427</v>
      </c>
      <c r="E405" s="0" t="s">
        <v>5428</v>
      </c>
      <c r="F405" s="0" t="s">
        <v>4330</v>
      </c>
      <c r="G405" s="0" t="s">
        <v>5429</v>
      </c>
    </row>
    <row customHeight="1" ht="11.25">
      <c r="A406" s="0" t="s">
        <v>14</v>
      </c>
      <c r="B406" s="0" t="s">
        <v>5422</v>
      </c>
      <c r="C406" s="0" t="s">
        <v>5423</v>
      </c>
      <c r="D406" s="0" t="s">
        <v>5430</v>
      </c>
      <c r="E406" s="0" t="s">
        <v>5431</v>
      </c>
      <c r="F406" s="0" t="s">
        <v>4471</v>
      </c>
      <c r="G406" s="0" t="s">
        <v>5432</v>
      </c>
    </row>
    <row customHeight="1" ht="11.25">
      <c r="A407" s="0" t="s">
        <v>14</v>
      </c>
      <c r="B407" s="0" t="s">
        <v>5422</v>
      </c>
      <c r="C407" s="0" t="s">
        <v>5423</v>
      </c>
      <c r="D407" s="0" t="s">
        <v>5433</v>
      </c>
      <c r="E407" s="0" t="s">
        <v>5434</v>
      </c>
      <c r="F407" s="0" t="s">
        <v>4288</v>
      </c>
      <c r="G407" s="0" t="s">
        <v>5435</v>
      </c>
    </row>
    <row customHeight="1" ht="11.25">
      <c r="A408" s="0" t="s">
        <v>14</v>
      </c>
      <c r="B408" s="0" t="s">
        <v>5422</v>
      </c>
      <c r="C408" s="0" t="s">
        <v>5423</v>
      </c>
      <c r="D408" s="0" t="s">
        <v>5436</v>
      </c>
      <c r="E408" s="0" t="s">
        <v>5437</v>
      </c>
      <c r="F408" s="0" t="s">
        <v>4288</v>
      </c>
      <c r="G408" s="0" t="s">
        <v>5438</v>
      </c>
    </row>
    <row customHeight="1" ht="11.25">
      <c r="A409" s="0" t="s">
        <v>14</v>
      </c>
      <c r="B409" s="0" t="s">
        <v>5422</v>
      </c>
      <c r="C409" s="0" t="s">
        <v>5423</v>
      </c>
      <c r="D409" s="0" t="s">
        <v>5439</v>
      </c>
      <c r="E409" s="0" t="s">
        <v>5440</v>
      </c>
      <c r="F409" s="0" t="s">
        <v>4288</v>
      </c>
      <c r="G409" s="0" t="s">
        <v>5441</v>
      </c>
    </row>
    <row customHeight="1" ht="11.25">
      <c r="A410" s="0" t="s">
        <v>14</v>
      </c>
      <c r="B410" s="0" t="s">
        <v>5422</v>
      </c>
      <c r="C410" s="0" t="s">
        <v>5423</v>
      </c>
      <c r="D410" s="0" t="s">
        <v>5422</v>
      </c>
      <c r="E410" s="0" t="s">
        <v>5423</v>
      </c>
      <c r="F410" s="0" t="s">
        <v>4285</v>
      </c>
      <c r="G410" s="0" t="s">
        <v>5442</v>
      </c>
    </row>
    <row customHeight="1" ht="11.25">
      <c r="A411" s="0" t="s">
        <v>14</v>
      </c>
      <c r="B411" s="0" t="s">
        <v>5422</v>
      </c>
      <c r="C411" s="0" t="s">
        <v>5423</v>
      </c>
      <c r="D411" s="0" t="s">
        <v>5443</v>
      </c>
      <c r="E411" s="0" t="s">
        <v>5444</v>
      </c>
      <c r="F411" s="0" t="s">
        <v>4327</v>
      </c>
      <c r="G411" s="0" t="s">
        <v>5445</v>
      </c>
    </row>
    <row customHeight="1" ht="11.25">
      <c r="A412" s="0" t="s">
        <v>14</v>
      </c>
      <c r="B412" s="0" t="s">
        <v>5422</v>
      </c>
      <c r="C412" s="0" t="s">
        <v>5423</v>
      </c>
      <c r="D412" s="0" t="s">
        <v>5446</v>
      </c>
      <c r="E412" s="0" t="s">
        <v>5447</v>
      </c>
      <c r="F412" s="0" t="s">
        <v>4330</v>
      </c>
      <c r="G412" s="0" t="s">
        <v>5448</v>
      </c>
    </row>
    <row customHeight="1" ht="11.25">
      <c r="A413" s="0" t="s">
        <v>14</v>
      </c>
      <c r="B413" s="0" t="s">
        <v>5449</v>
      </c>
      <c r="C413" s="0" t="s">
        <v>5450</v>
      </c>
      <c r="D413" s="0" t="s">
        <v>5451</v>
      </c>
      <c r="E413" s="0" t="s">
        <v>5452</v>
      </c>
      <c r="F413" s="0" t="s">
        <v>4288</v>
      </c>
      <c r="G413" s="0" t="s">
        <v>5453</v>
      </c>
    </row>
    <row customHeight="1" ht="11.25">
      <c r="A414" s="0" t="s">
        <v>14</v>
      </c>
      <c r="B414" s="0" t="s">
        <v>5449</v>
      </c>
      <c r="C414" s="0" t="s">
        <v>5450</v>
      </c>
      <c r="D414" s="0" t="s">
        <v>5454</v>
      </c>
      <c r="E414" s="0" t="s">
        <v>5455</v>
      </c>
      <c r="F414" s="0" t="s">
        <v>4288</v>
      </c>
      <c r="G414" s="0" t="s">
        <v>5456</v>
      </c>
    </row>
    <row customHeight="1" ht="11.25">
      <c r="A415" s="0" t="s">
        <v>14</v>
      </c>
      <c r="B415" s="0" t="s">
        <v>5449</v>
      </c>
      <c r="C415" s="0" t="s">
        <v>5450</v>
      </c>
      <c r="D415" s="0" t="s">
        <v>5457</v>
      </c>
      <c r="E415" s="0" t="s">
        <v>5458</v>
      </c>
      <c r="F415" s="0" t="s">
        <v>4288</v>
      </c>
      <c r="G415" s="0" t="s">
        <v>5459</v>
      </c>
    </row>
    <row customHeight="1" ht="11.25">
      <c r="A416" s="0" t="s">
        <v>14</v>
      </c>
      <c r="B416" s="0" t="s">
        <v>5449</v>
      </c>
      <c r="C416" s="0" t="s">
        <v>5450</v>
      </c>
      <c r="D416" s="0" t="s">
        <v>5460</v>
      </c>
      <c r="E416" s="0" t="s">
        <v>5461</v>
      </c>
      <c r="F416" s="0" t="s">
        <v>4288</v>
      </c>
      <c r="G416" s="0" t="s">
        <v>5462</v>
      </c>
    </row>
    <row customHeight="1" ht="11.25">
      <c r="A417" s="0" t="s">
        <v>14</v>
      </c>
      <c r="B417" s="0" t="s">
        <v>5449</v>
      </c>
      <c r="C417" s="0" t="s">
        <v>5450</v>
      </c>
      <c r="D417" s="0" t="s">
        <v>5463</v>
      </c>
      <c r="E417" s="0" t="s">
        <v>5464</v>
      </c>
      <c r="F417" s="0" t="s">
        <v>4288</v>
      </c>
      <c r="G417" s="0" t="s">
        <v>5465</v>
      </c>
    </row>
    <row customHeight="1" ht="11.25">
      <c r="A418" s="0" t="s">
        <v>14</v>
      </c>
      <c r="B418" s="0" t="s">
        <v>5449</v>
      </c>
      <c r="C418" s="0" t="s">
        <v>5450</v>
      </c>
      <c r="D418" s="0" t="s">
        <v>5466</v>
      </c>
      <c r="E418" s="0" t="s">
        <v>5467</v>
      </c>
      <c r="F418" s="0" t="s">
        <v>4288</v>
      </c>
      <c r="G418" s="0" t="s">
        <v>5468</v>
      </c>
    </row>
    <row customHeight="1" ht="11.25">
      <c r="A419" s="0" t="s">
        <v>14</v>
      </c>
      <c r="B419" s="0" t="s">
        <v>5449</v>
      </c>
      <c r="C419" s="0" t="s">
        <v>5450</v>
      </c>
      <c r="D419" s="0" t="s">
        <v>5469</v>
      </c>
      <c r="E419" s="0" t="s">
        <v>5470</v>
      </c>
      <c r="F419" s="0" t="s">
        <v>4288</v>
      </c>
      <c r="G419" s="0" t="s">
        <v>5471</v>
      </c>
    </row>
    <row customHeight="1" ht="11.25">
      <c r="A420" s="0" t="s">
        <v>14</v>
      </c>
      <c r="B420" s="0" t="s">
        <v>5449</v>
      </c>
      <c r="C420" s="0" t="s">
        <v>5450</v>
      </c>
      <c r="D420" s="0" t="s">
        <v>5472</v>
      </c>
      <c r="E420" s="0" t="s">
        <v>5473</v>
      </c>
      <c r="F420" s="0" t="s">
        <v>4288</v>
      </c>
      <c r="G420" s="0" t="s">
        <v>5474</v>
      </c>
    </row>
    <row customHeight="1" ht="11.25">
      <c r="A421" s="0" t="s">
        <v>14</v>
      </c>
      <c r="B421" s="0" t="s">
        <v>5449</v>
      </c>
      <c r="C421" s="0" t="s">
        <v>5450</v>
      </c>
      <c r="D421" s="0" t="s">
        <v>5475</v>
      </c>
      <c r="E421" s="0" t="s">
        <v>5476</v>
      </c>
      <c r="F421" s="0" t="s">
        <v>4288</v>
      </c>
      <c r="G421" s="0" t="s">
        <v>5477</v>
      </c>
    </row>
    <row customHeight="1" ht="11.25">
      <c r="A422" s="0" t="s">
        <v>14</v>
      </c>
      <c r="B422" s="0" t="s">
        <v>5449</v>
      </c>
      <c r="C422" s="0" t="s">
        <v>5450</v>
      </c>
      <c r="D422" s="0" t="s">
        <v>5478</v>
      </c>
      <c r="E422" s="0" t="s">
        <v>5479</v>
      </c>
      <c r="F422" s="0" t="s">
        <v>4288</v>
      </c>
      <c r="G422" s="0" t="s">
        <v>5480</v>
      </c>
    </row>
    <row customHeight="1" ht="11.25">
      <c r="A423" s="0" t="s">
        <v>14</v>
      </c>
      <c r="B423" s="0" t="s">
        <v>5449</v>
      </c>
      <c r="C423" s="0" t="s">
        <v>5450</v>
      </c>
      <c r="D423" s="0" t="s">
        <v>5481</v>
      </c>
      <c r="E423" s="0" t="s">
        <v>5482</v>
      </c>
      <c r="F423" s="0" t="s">
        <v>4288</v>
      </c>
      <c r="G423" s="0" t="s">
        <v>5483</v>
      </c>
    </row>
    <row customHeight="1" ht="11.25">
      <c r="A424" s="0" t="s">
        <v>14</v>
      </c>
      <c r="B424" s="0" t="s">
        <v>5449</v>
      </c>
      <c r="C424" s="0" t="s">
        <v>5450</v>
      </c>
      <c r="D424" s="0" t="s">
        <v>5449</v>
      </c>
      <c r="E424" s="0" t="s">
        <v>5450</v>
      </c>
      <c r="F424" s="0" t="s">
        <v>4285</v>
      </c>
      <c r="G424" s="0" t="s">
        <v>5484</v>
      </c>
    </row>
    <row customHeight="1" ht="11.25">
      <c r="A425" s="0" t="s">
        <v>14</v>
      </c>
      <c r="B425" s="0" t="s">
        <v>5449</v>
      </c>
      <c r="C425" s="0" t="s">
        <v>5450</v>
      </c>
      <c r="D425" s="0" t="s">
        <v>5485</v>
      </c>
      <c r="E425" s="0" t="s">
        <v>5486</v>
      </c>
      <c r="F425" s="0" t="s">
        <v>4288</v>
      </c>
      <c r="G425" s="0" t="s">
        <v>5487</v>
      </c>
    </row>
    <row customHeight="1" ht="11.25">
      <c r="A426" s="0" t="s">
        <v>14</v>
      </c>
      <c r="B426" s="0" t="s">
        <v>5449</v>
      </c>
      <c r="C426" s="0" t="s">
        <v>5450</v>
      </c>
      <c r="D426" s="0" t="s">
        <v>5488</v>
      </c>
      <c r="E426" s="0" t="s">
        <v>5489</v>
      </c>
      <c r="F426" s="0" t="s">
        <v>4330</v>
      </c>
      <c r="G426" s="0" t="s">
        <v>5490</v>
      </c>
    </row>
    <row customHeight="1" ht="11.25">
      <c r="A427" s="0" t="s">
        <v>14</v>
      </c>
      <c r="B427" s="0" t="s">
        <v>5449</v>
      </c>
      <c r="C427" s="0" t="s">
        <v>5450</v>
      </c>
      <c r="D427" s="0" t="s">
        <v>5491</v>
      </c>
      <c r="E427" s="0" t="s">
        <v>5492</v>
      </c>
      <c r="F427" s="0" t="s">
        <v>4288</v>
      </c>
      <c r="G427" s="0" t="s">
        <v>5493</v>
      </c>
    </row>
    <row customHeight="1" ht="11.25">
      <c r="A428" s="0" t="s">
        <v>14</v>
      </c>
      <c r="B428" s="0" t="s">
        <v>5449</v>
      </c>
      <c r="C428" s="0" t="s">
        <v>5450</v>
      </c>
      <c r="D428" s="0" t="s">
        <v>5494</v>
      </c>
      <c r="E428" s="0" t="s">
        <v>5495</v>
      </c>
      <c r="F428" s="0" t="s">
        <v>4288</v>
      </c>
      <c r="G428" s="0" t="s">
        <v>5496</v>
      </c>
    </row>
    <row customHeight="1" ht="11.25">
      <c r="A429" s="0" t="s">
        <v>14</v>
      </c>
      <c r="B429" s="0" t="s">
        <v>5497</v>
      </c>
      <c r="C429" s="0" t="s">
        <v>5498</v>
      </c>
      <c r="D429" s="0" t="s">
        <v>5499</v>
      </c>
      <c r="E429" s="0" t="s">
        <v>5500</v>
      </c>
      <c r="F429" s="0" t="s">
        <v>4288</v>
      </c>
      <c r="G429" s="0" t="s">
        <v>5501</v>
      </c>
    </row>
    <row customHeight="1" ht="11.25">
      <c r="A430" s="0" t="s">
        <v>14</v>
      </c>
      <c r="B430" s="0" t="s">
        <v>5497</v>
      </c>
      <c r="C430" s="0" t="s">
        <v>5498</v>
      </c>
      <c r="D430" s="0" t="s">
        <v>5502</v>
      </c>
      <c r="E430" s="0" t="s">
        <v>5503</v>
      </c>
      <c r="F430" s="0" t="s">
        <v>4288</v>
      </c>
      <c r="G430" s="0" t="s">
        <v>5504</v>
      </c>
    </row>
    <row customHeight="1" ht="11.25">
      <c r="A431" s="0" t="s">
        <v>14</v>
      </c>
      <c r="B431" s="0" t="s">
        <v>5497</v>
      </c>
      <c r="C431" s="0" t="s">
        <v>5498</v>
      </c>
      <c r="D431" s="0" t="s">
        <v>5505</v>
      </c>
      <c r="E431" s="0" t="s">
        <v>5506</v>
      </c>
      <c r="F431" s="0" t="s">
        <v>4288</v>
      </c>
      <c r="G431" s="0" t="s">
        <v>5507</v>
      </c>
    </row>
    <row customHeight="1" ht="11.25">
      <c r="A432" s="0" t="s">
        <v>14</v>
      </c>
      <c r="B432" s="0" t="s">
        <v>5497</v>
      </c>
      <c r="C432" s="0" t="s">
        <v>5498</v>
      </c>
      <c r="D432" s="0" t="s">
        <v>5508</v>
      </c>
      <c r="E432" s="0" t="s">
        <v>5509</v>
      </c>
      <c r="F432" s="0" t="s">
        <v>4288</v>
      </c>
      <c r="G432" s="0" t="s">
        <v>5510</v>
      </c>
    </row>
    <row customHeight="1" ht="11.25">
      <c r="A433" s="0" t="s">
        <v>14</v>
      </c>
      <c r="B433" s="0" t="s">
        <v>5497</v>
      </c>
      <c r="C433" s="0" t="s">
        <v>5498</v>
      </c>
      <c r="D433" s="0" t="s">
        <v>5511</v>
      </c>
      <c r="E433" s="0" t="s">
        <v>5512</v>
      </c>
      <c r="F433" s="0" t="s">
        <v>4288</v>
      </c>
      <c r="G433" s="0" t="s">
        <v>5513</v>
      </c>
    </row>
    <row customHeight="1" ht="11.25">
      <c r="A434" s="0" t="s">
        <v>14</v>
      </c>
      <c r="B434" s="0" t="s">
        <v>5497</v>
      </c>
      <c r="C434" s="0" t="s">
        <v>5498</v>
      </c>
      <c r="D434" s="0" t="s">
        <v>5514</v>
      </c>
      <c r="E434" s="0" t="s">
        <v>5515</v>
      </c>
      <c r="F434" s="0" t="s">
        <v>4288</v>
      </c>
      <c r="G434" s="0" t="s">
        <v>5516</v>
      </c>
    </row>
    <row customHeight="1" ht="11.25">
      <c r="A435" s="0" t="s">
        <v>14</v>
      </c>
      <c r="B435" s="0" t="s">
        <v>5497</v>
      </c>
      <c r="C435" s="0" t="s">
        <v>5498</v>
      </c>
      <c r="D435" s="0" t="s">
        <v>5517</v>
      </c>
      <c r="E435" s="0" t="s">
        <v>5518</v>
      </c>
      <c r="F435" s="0" t="s">
        <v>4288</v>
      </c>
      <c r="G435" s="0" t="s">
        <v>5519</v>
      </c>
    </row>
    <row customHeight="1" ht="11.25">
      <c r="A436" s="0" t="s">
        <v>14</v>
      </c>
      <c r="B436" s="0" t="s">
        <v>5497</v>
      </c>
      <c r="C436" s="0" t="s">
        <v>5498</v>
      </c>
      <c r="D436" s="0" t="s">
        <v>5520</v>
      </c>
      <c r="E436" s="0" t="s">
        <v>5521</v>
      </c>
      <c r="F436" s="0" t="s">
        <v>4330</v>
      </c>
      <c r="G436" s="0" t="s">
        <v>5522</v>
      </c>
    </row>
    <row customHeight="1" ht="11.25">
      <c r="A437" s="0" t="s">
        <v>14</v>
      </c>
      <c r="B437" s="0" t="s">
        <v>5497</v>
      </c>
      <c r="C437" s="0" t="s">
        <v>5498</v>
      </c>
      <c r="D437" s="0" t="s">
        <v>5523</v>
      </c>
      <c r="E437" s="0" t="s">
        <v>5524</v>
      </c>
      <c r="F437" s="0" t="s">
        <v>4288</v>
      </c>
      <c r="G437" s="0" t="s">
        <v>5525</v>
      </c>
    </row>
    <row customHeight="1" ht="11.25">
      <c r="A438" s="0" t="s">
        <v>14</v>
      </c>
      <c r="B438" s="0" t="s">
        <v>5497</v>
      </c>
      <c r="C438" s="0" t="s">
        <v>5498</v>
      </c>
      <c r="D438" s="0" t="s">
        <v>5526</v>
      </c>
      <c r="E438" s="0" t="s">
        <v>5527</v>
      </c>
      <c r="F438" s="0" t="s">
        <v>4288</v>
      </c>
      <c r="G438" s="0" t="s">
        <v>5528</v>
      </c>
    </row>
    <row customHeight="1" ht="11.25">
      <c r="A439" s="0" t="s">
        <v>14</v>
      </c>
      <c r="B439" s="0" t="s">
        <v>5497</v>
      </c>
      <c r="C439" s="0" t="s">
        <v>5498</v>
      </c>
      <c r="D439" s="0" t="s">
        <v>5529</v>
      </c>
      <c r="E439" s="0" t="s">
        <v>5530</v>
      </c>
      <c r="F439" s="0" t="s">
        <v>4288</v>
      </c>
      <c r="G439" s="0" t="s">
        <v>5531</v>
      </c>
    </row>
    <row customHeight="1" ht="11.25">
      <c r="A440" s="0" t="s">
        <v>14</v>
      </c>
      <c r="B440" s="0" t="s">
        <v>5497</v>
      </c>
      <c r="C440" s="0" t="s">
        <v>5498</v>
      </c>
      <c r="D440" s="0" t="s">
        <v>5532</v>
      </c>
      <c r="E440" s="0" t="s">
        <v>5533</v>
      </c>
      <c r="F440" s="0" t="s">
        <v>4288</v>
      </c>
      <c r="G440" s="0" t="s">
        <v>5534</v>
      </c>
    </row>
    <row customHeight="1" ht="11.25">
      <c r="A441" s="0" t="s">
        <v>14</v>
      </c>
      <c r="B441" s="0" t="s">
        <v>5497</v>
      </c>
      <c r="C441" s="0" t="s">
        <v>5498</v>
      </c>
      <c r="D441" s="0" t="s">
        <v>5535</v>
      </c>
      <c r="E441" s="0" t="s">
        <v>5536</v>
      </c>
      <c r="F441" s="0" t="s">
        <v>4288</v>
      </c>
      <c r="G441" s="0" t="s">
        <v>5537</v>
      </c>
    </row>
    <row customHeight="1" ht="11.25">
      <c r="A442" s="0" t="s">
        <v>14</v>
      </c>
      <c r="B442" s="0" t="s">
        <v>5497</v>
      </c>
      <c r="C442" s="0" t="s">
        <v>5498</v>
      </c>
      <c r="D442" s="0" t="s">
        <v>5538</v>
      </c>
      <c r="E442" s="0" t="s">
        <v>5539</v>
      </c>
      <c r="F442" s="0" t="s">
        <v>4288</v>
      </c>
      <c r="G442" s="0" t="s">
        <v>5540</v>
      </c>
    </row>
    <row customHeight="1" ht="11.25">
      <c r="A443" s="0" t="s">
        <v>14</v>
      </c>
      <c r="B443" s="0" t="s">
        <v>5497</v>
      </c>
      <c r="C443" s="0" t="s">
        <v>5498</v>
      </c>
      <c r="D443" s="0" t="s">
        <v>5541</v>
      </c>
      <c r="E443" s="0" t="s">
        <v>5542</v>
      </c>
      <c r="F443" s="0" t="s">
        <v>4288</v>
      </c>
      <c r="G443" s="0" t="s">
        <v>5543</v>
      </c>
    </row>
    <row customHeight="1" ht="11.25">
      <c r="A444" s="0" t="s">
        <v>14</v>
      </c>
      <c r="B444" s="0" t="s">
        <v>5497</v>
      </c>
      <c r="C444" s="0" t="s">
        <v>5498</v>
      </c>
      <c r="D444" s="0" t="s">
        <v>5544</v>
      </c>
      <c r="E444" s="0" t="s">
        <v>5545</v>
      </c>
      <c r="F444" s="0" t="s">
        <v>4288</v>
      </c>
      <c r="G444" s="0" t="s">
        <v>5546</v>
      </c>
    </row>
    <row customHeight="1" ht="11.25">
      <c r="A445" s="0" t="s">
        <v>14</v>
      </c>
      <c r="B445" s="0" t="s">
        <v>5497</v>
      </c>
      <c r="C445" s="0" t="s">
        <v>5498</v>
      </c>
      <c r="D445" s="0" t="s">
        <v>5547</v>
      </c>
      <c r="E445" s="0" t="s">
        <v>5548</v>
      </c>
      <c r="F445" s="0" t="s">
        <v>4288</v>
      </c>
      <c r="G445" s="0" t="s">
        <v>5549</v>
      </c>
    </row>
    <row customHeight="1" ht="11.25">
      <c r="A446" s="0" t="s">
        <v>14</v>
      </c>
      <c r="B446" s="0" t="s">
        <v>5497</v>
      </c>
      <c r="C446" s="0" t="s">
        <v>5498</v>
      </c>
      <c r="D446" s="0" t="s">
        <v>5497</v>
      </c>
      <c r="E446" s="0" t="s">
        <v>5498</v>
      </c>
      <c r="F446" s="0" t="s">
        <v>4285</v>
      </c>
      <c r="G446" s="0" t="s">
        <v>5550</v>
      </c>
    </row>
    <row customHeight="1" ht="11.25">
      <c r="A447" s="0" t="s">
        <v>14</v>
      </c>
      <c r="B447" s="0" t="s">
        <v>5497</v>
      </c>
      <c r="C447" s="0" t="s">
        <v>5498</v>
      </c>
      <c r="D447" s="0" t="s">
        <v>5551</v>
      </c>
      <c r="E447" s="0" t="s">
        <v>5552</v>
      </c>
      <c r="F447" s="0" t="s">
        <v>4288</v>
      </c>
      <c r="G447" s="0" t="s">
        <v>5553</v>
      </c>
    </row>
    <row customHeight="1" ht="11.25">
      <c r="A448" s="0" t="s">
        <v>14</v>
      </c>
      <c r="B448" s="0" t="s">
        <v>5554</v>
      </c>
      <c r="C448" s="0" t="s">
        <v>5555</v>
      </c>
      <c r="D448" s="0" t="s">
        <v>5556</v>
      </c>
      <c r="E448" s="0" t="s">
        <v>5557</v>
      </c>
      <c r="F448" s="0" t="s">
        <v>4288</v>
      </c>
      <c r="G448" s="0" t="s">
        <v>5558</v>
      </c>
    </row>
    <row customHeight="1" ht="11.25">
      <c r="A449" s="0" t="s">
        <v>14</v>
      </c>
      <c r="B449" s="0" t="s">
        <v>5554</v>
      </c>
      <c r="C449" s="0" t="s">
        <v>5555</v>
      </c>
      <c r="D449" s="0" t="s">
        <v>5559</v>
      </c>
      <c r="E449" s="0" t="s">
        <v>5560</v>
      </c>
      <c r="F449" s="0" t="s">
        <v>4288</v>
      </c>
      <c r="G449" s="0" t="s">
        <v>5561</v>
      </c>
    </row>
    <row customHeight="1" ht="11.25">
      <c r="A450" s="0" t="s">
        <v>14</v>
      </c>
      <c r="B450" s="0" t="s">
        <v>5554</v>
      </c>
      <c r="C450" s="0" t="s">
        <v>5555</v>
      </c>
      <c r="D450" s="0" t="s">
        <v>5562</v>
      </c>
      <c r="E450" s="0" t="s">
        <v>5563</v>
      </c>
      <c r="F450" s="0" t="s">
        <v>4288</v>
      </c>
      <c r="G450" s="0" t="s">
        <v>5564</v>
      </c>
    </row>
    <row customHeight="1" ht="11.25">
      <c r="A451" s="0" t="s">
        <v>14</v>
      </c>
      <c r="B451" s="0" t="s">
        <v>5554</v>
      </c>
      <c r="C451" s="0" t="s">
        <v>5555</v>
      </c>
      <c r="D451" s="0" t="s">
        <v>5005</v>
      </c>
      <c r="E451" s="0" t="s">
        <v>5565</v>
      </c>
      <c r="F451" s="0" t="s">
        <v>4288</v>
      </c>
      <c r="G451" s="0" t="s">
        <v>5566</v>
      </c>
    </row>
    <row customHeight="1" ht="11.25">
      <c r="A452" s="0" t="s">
        <v>14</v>
      </c>
      <c r="B452" s="0" t="s">
        <v>5554</v>
      </c>
      <c r="C452" s="0" t="s">
        <v>5555</v>
      </c>
      <c r="D452" s="0" t="s">
        <v>5567</v>
      </c>
      <c r="E452" s="0" t="s">
        <v>5568</v>
      </c>
      <c r="F452" s="0" t="s">
        <v>4330</v>
      </c>
      <c r="G452" s="0" t="s">
        <v>5569</v>
      </c>
    </row>
    <row customHeight="1" ht="11.25">
      <c r="A453" s="0" t="s">
        <v>14</v>
      </c>
      <c r="B453" s="0" t="s">
        <v>5554</v>
      </c>
      <c r="C453" s="0" t="s">
        <v>5555</v>
      </c>
      <c r="D453" s="0" t="s">
        <v>5570</v>
      </c>
      <c r="E453" s="0" t="s">
        <v>5571</v>
      </c>
      <c r="F453" s="0" t="s">
        <v>4471</v>
      </c>
      <c r="G453" s="0" t="s">
        <v>5572</v>
      </c>
    </row>
    <row customHeight="1" ht="11.25">
      <c r="A454" s="0" t="s">
        <v>14</v>
      </c>
      <c r="B454" s="0" t="s">
        <v>5554</v>
      </c>
      <c r="C454" s="0" t="s">
        <v>5555</v>
      </c>
      <c r="D454" s="0" t="s">
        <v>5573</v>
      </c>
      <c r="E454" s="0" t="s">
        <v>5574</v>
      </c>
      <c r="F454" s="0" t="s">
        <v>4288</v>
      </c>
      <c r="G454" s="0" t="s">
        <v>5575</v>
      </c>
    </row>
    <row customHeight="1" ht="11.25">
      <c r="A455" s="0" t="s">
        <v>14</v>
      </c>
      <c r="B455" s="0" t="s">
        <v>5554</v>
      </c>
      <c r="C455" s="0" t="s">
        <v>5555</v>
      </c>
      <c r="D455" s="0" t="s">
        <v>5576</v>
      </c>
      <c r="E455" s="0" t="s">
        <v>5577</v>
      </c>
      <c r="F455" s="0" t="s">
        <v>4288</v>
      </c>
      <c r="G455" s="0" t="s">
        <v>5578</v>
      </c>
    </row>
    <row customHeight="1" ht="11.25">
      <c r="A456" s="0" t="s">
        <v>14</v>
      </c>
      <c r="B456" s="0" t="s">
        <v>5554</v>
      </c>
      <c r="C456" s="0" t="s">
        <v>5555</v>
      </c>
      <c r="D456" s="0" t="s">
        <v>5326</v>
      </c>
      <c r="E456" s="0" t="s">
        <v>5579</v>
      </c>
      <c r="F456" s="0" t="s">
        <v>4330</v>
      </c>
      <c r="G456" s="0" t="s">
        <v>5580</v>
      </c>
    </row>
    <row customHeight="1" ht="11.25">
      <c r="A457" s="0" t="s">
        <v>14</v>
      </c>
      <c r="B457" s="0" t="s">
        <v>5554</v>
      </c>
      <c r="C457" s="0" t="s">
        <v>5555</v>
      </c>
      <c r="D457" s="0" t="s">
        <v>5581</v>
      </c>
      <c r="E457" s="0" t="s">
        <v>5582</v>
      </c>
      <c r="F457" s="0" t="s">
        <v>4288</v>
      </c>
      <c r="G457" s="0" t="s">
        <v>5583</v>
      </c>
    </row>
    <row customHeight="1" ht="11.25">
      <c r="A458" s="0" t="s">
        <v>14</v>
      </c>
      <c r="B458" s="0" t="s">
        <v>5554</v>
      </c>
      <c r="C458" s="0" t="s">
        <v>5555</v>
      </c>
      <c r="D458" s="0" t="s">
        <v>5584</v>
      </c>
      <c r="E458" s="0" t="s">
        <v>5585</v>
      </c>
      <c r="F458" s="0" t="s">
        <v>4288</v>
      </c>
      <c r="G458" s="0" t="s">
        <v>5586</v>
      </c>
    </row>
    <row customHeight="1" ht="11.25">
      <c r="A459" s="0" t="s">
        <v>14</v>
      </c>
      <c r="B459" s="0" t="s">
        <v>5554</v>
      </c>
      <c r="C459" s="0" t="s">
        <v>5555</v>
      </c>
      <c r="D459" s="0" t="s">
        <v>5554</v>
      </c>
      <c r="E459" s="0" t="s">
        <v>5555</v>
      </c>
      <c r="F459" s="0" t="s">
        <v>4285</v>
      </c>
      <c r="G459" s="0" t="s">
        <v>5587</v>
      </c>
    </row>
    <row customHeight="1" ht="11.25">
      <c r="A460" s="0" t="s">
        <v>14</v>
      </c>
      <c r="B460" s="0" t="s">
        <v>5554</v>
      </c>
      <c r="C460" s="0" t="s">
        <v>5555</v>
      </c>
      <c r="D460" s="0" t="s">
        <v>5588</v>
      </c>
      <c r="E460" s="0" t="s">
        <v>5589</v>
      </c>
      <c r="F460" s="0" t="s">
        <v>4330</v>
      </c>
      <c r="G460" s="0" t="s">
        <v>5590</v>
      </c>
    </row>
    <row customHeight="1" ht="11.25">
      <c r="A461" s="0" t="s">
        <v>14</v>
      </c>
      <c r="B461" s="0" t="s">
        <v>5591</v>
      </c>
      <c r="C461" s="0" t="s">
        <v>5592</v>
      </c>
      <c r="D461" s="0" t="s">
        <v>5593</v>
      </c>
      <c r="E461" s="0" t="s">
        <v>5594</v>
      </c>
      <c r="F461" s="0" t="s">
        <v>4288</v>
      </c>
      <c r="G461" s="0" t="s">
        <v>5595</v>
      </c>
    </row>
    <row customHeight="1" ht="11.25">
      <c r="A462" s="0" t="s">
        <v>14</v>
      </c>
      <c r="B462" s="0" t="s">
        <v>5591</v>
      </c>
      <c r="C462" s="0" t="s">
        <v>5592</v>
      </c>
      <c r="D462" s="0" t="s">
        <v>5596</v>
      </c>
      <c r="E462" s="0" t="s">
        <v>5597</v>
      </c>
      <c r="F462" s="0" t="s">
        <v>4288</v>
      </c>
      <c r="G462" s="0" t="s">
        <v>5598</v>
      </c>
    </row>
    <row customHeight="1" ht="11.25">
      <c r="A463" s="0" t="s">
        <v>14</v>
      </c>
      <c r="B463" s="0" t="s">
        <v>5591</v>
      </c>
      <c r="C463" s="0" t="s">
        <v>5592</v>
      </c>
      <c r="D463" s="0" t="s">
        <v>5599</v>
      </c>
      <c r="E463" s="0" t="s">
        <v>5600</v>
      </c>
      <c r="F463" s="0" t="s">
        <v>4330</v>
      </c>
      <c r="G463" s="0" t="s">
        <v>5601</v>
      </c>
    </row>
    <row customHeight="1" ht="11.25">
      <c r="A464" s="0" t="s">
        <v>14</v>
      </c>
      <c r="B464" s="0" t="s">
        <v>5591</v>
      </c>
      <c r="C464" s="0" t="s">
        <v>5592</v>
      </c>
      <c r="D464" s="0" t="s">
        <v>5602</v>
      </c>
      <c r="E464" s="0" t="s">
        <v>5603</v>
      </c>
      <c r="F464" s="0" t="s">
        <v>4288</v>
      </c>
      <c r="G464" s="0" t="s">
        <v>5604</v>
      </c>
    </row>
    <row customHeight="1" ht="11.25">
      <c r="A465" s="0" t="s">
        <v>14</v>
      </c>
      <c r="B465" s="0" t="s">
        <v>5591</v>
      </c>
      <c r="C465" s="0" t="s">
        <v>5592</v>
      </c>
      <c r="D465" s="0" t="s">
        <v>5605</v>
      </c>
      <c r="E465" s="0" t="s">
        <v>5606</v>
      </c>
      <c r="F465" s="0" t="s">
        <v>4288</v>
      </c>
      <c r="G465" s="0" t="s">
        <v>5607</v>
      </c>
    </row>
    <row customHeight="1" ht="11.25">
      <c r="A466" s="0" t="s">
        <v>14</v>
      </c>
      <c r="B466" s="0" t="s">
        <v>5591</v>
      </c>
      <c r="C466" s="0" t="s">
        <v>5592</v>
      </c>
      <c r="D466" s="0" t="s">
        <v>5608</v>
      </c>
      <c r="E466" s="0" t="s">
        <v>5609</v>
      </c>
      <c r="F466" s="0" t="s">
        <v>4288</v>
      </c>
      <c r="G466" s="0" t="s">
        <v>5610</v>
      </c>
    </row>
    <row customHeight="1" ht="11.25">
      <c r="A467" s="0" t="s">
        <v>14</v>
      </c>
      <c r="B467" s="0" t="s">
        <v>5591</v>
      </c>
      <c r="C467" s="0" t="s">
        <v>5592</v>
      </c>
      <c r="D467" s="0" t="s">
        <v>5591</v>
      </c>
      <c r="E467" s="0" t="s">
        <v>5592</v>
      </c>
      <c r="F467" s="0" t="s">
        <v>4285</v>
      </c>
      <c r="G467" s="0" t="s">
        <v>5611</v>
      </c>
    </row>
    <row customHeight="1" ht="11.25">
      <c r="A468" s="0" t="s">
        <v>14</v>
      </c>
      <c r="B468" s="0" t="s">
        <v>5591</v>
      </c>
      <c r="C468" s="0" t="s">
        <v>5592</v>
      </c>
      <c r="D468" s="0" t="s">
        <v>5265</v>
      </c>
      <c r="E468" s="0" t="s">
        <v>5612</v>
      </c>
      <c r="F468" s="0" t="s">
        <v>4327</v>
      </c>
      <c r="G468" s="0" t="s">
        <v>5613</v>
      </c>
    </row>
    <row customHeight="1" ht="11.25">
      <c r="A469" s="0" t="s">
        <v>14</v>
      </c>
      <c r="B469" s="0" t="s">
        <v>5614</v>
      </c>
      <c r="C469" s="0" t="s">
        <v>5615</v>
      </c>
      <c r="D469" s="0" t="s">
        <v>5616</v>
      </c>
      <c r="E469" s="0" t="s">
        <v>5617</v>
      </c>
      <c r="F469" s="0" t="s">
        <v>4288</v>
      </c>
      <c r="G469" s="0" t="s">
        <v>5618</v>
      </c>
    </row>
    <row customHeight="1" ht="11.25">
      <c r="A470" s="0" t="s">
        <v>14</v>
      </c>
      <c r="B470" s="0" t="s">
        <v>5614</v>
      </c>
      <c r="C470" s="0" t="s">
        <v>5615</v>
      </c>
      <c r="D470" s="0" t="s">
        <v>5619</v>
      </c>
      <c r="E470" s="0" t="s">
        <v>5620</v>
      </c>
      <c r="F470" s="0" t="s">
        <v>4288</v>
      </c>
      <c r="G470" s="0" t="s">
        <v>5621</v>
      </c>
    </row>
    <row customHeight="1" ht="11.25">
      <c r="A471" s="0" t="s">
        <v>14</v>
      </c>
      <c r="B471" s="0" t="s">
        <v>5614</v>
      </c>
      <c r="C471" s="0" t="s">
        <v>5615</v>
      </c>
      <c r="D471" s="0" t="s">
        <v>5622</v>
      </c>
      <c r="E471" s="0" t="s">
        <v>5623</v>
      </c>
      <c r="F471" s="0" t="s">
        <v>4288</v>
      </c>
      <c r="G471" s="0" t="s">
        <v>5624</v>
      </c>
    </row>
    <row customHeight="1" ht="11.25">
      <c r="A472" s="0" t="s">
        <v>14</v>
      </c>
      <c r="B472" s="0" t="s">
        <v>5614</v>
      </c>
      <c r="C472" s="0" t="s">
        <v>5615</v>
      </c>
      <c r="D472" s="0" t="s">
        <v>5625</v>
      </c>
      <c r="E472" s="0" t="s">
        <v>5626</v>
      </c>
      <c r="F472" s="0" t="s">
        <v>4288</v>
      </c>
      <c r="G472" s="0" t="s">
        <v>5627</v>
      </c>
    </row>
    <row customHeight="1" ht="11.25">
      <c r="A473" s="0" t="s">
        <v>14</v>
      </c>
      <c r="B473" s="0" t="s">
        <v>5614</v>
      </c>
      <c r="C473" s="0" t="s">
        <v>5615</v>
      </c>
      <c r="D473" s="0" t="s">
        <v>5628</v>
      </c>
      <c r="E473" s="0" t="s">
        <v>5629</v>
      </c>
      <c r="F473" s="0" t="s">
        <v>4288</v>
      </c>
      <c r="G473" s="0" t="s">
        <v>5630</v>
      </c>
    </row>
    <row customHeight="1" ht="11.25">
      <c r="A474" s="0" t="s">
        <v>14</v>
      </c>
      <c r="B474" s="0" t="s">
        <v>5614</v>
      </c>
      <c r="C474" s="0" t="s">
        <v>5615</v>
      </c>
      <c r="D474" s="0" t="s">
        <v>5631</v>
      </c>
      <c r="E474" s="0" t="s">
        <v>5632</v>
      </c>
      <c r="F474" s="0" t="s">
        <v>4288</v>
      </c>
      <c r="G474" s="0" t="s">
        <v>5633</v>
      </c>
    </row>
    <row customHeight="1" ht="11.25">
      <c r="A475" s="0" t="s">
        <v>14</v>
      </c>
      <c r="B475" s="0" t="s">
        <v>5614</v>
      </c>
      <c r="C475" s="0" t="s">
        <v>5615</v>
      </c>
      <c r="D475" s="0" t="s">
        <v>5634</v>
      </c>
      <c r="E475" s="0" t="s">
        <v>5635</v>
      </c>
      <c r="F475" s="0" t="s">
        <v>4288</v>
      </c>
      <c r="G475" s="0" t="s">
        <v>5636</v>
      </c>
    </row>
    <row customHeight="1" ht="11.25">
      <c r="A476" s="0" t="s">
        <v>14</v>
      </c>
      <c r="B476" s="0" t="s">
        <v>5614</v>
      </c>
      <c r="C476" s="0" t="s">
        <v>5615</v>
      </c>
      <c r="D476" s="0" t="s">
        <v>5637</v>
      </c>
      <c r="E476" s="0" t="s">
        <v>5638</v>
      </c>
      <c r="F476" s="0" t="s">
        <v>4288</v>
      </c>
      <c r="G476" s="0" t="s">
        <v>5639</v>
      </c>
    </row>
    <row customHeight="1" ht="11.25">
      <c r="A477" s="0" t="s">
        <v>14</v>
      </c>
      <c r="B477" s="0" t="s">
        <v>5614</v>
      </c>
      <c r="C477" s="0" t="s">
        <v>5615</v>
      </c>
      <c r="D477" s="0" t="s">
        <v>5640</v>
      </c>
      <c r="E477" s="0" t="s">
        <v>5641</v>
      </c>
      <c r="F477" s="0" t="s">
        <v>4288</v>
      </c>
      <c r="G477" s="0" t="s">
        <v>5642</v>
      </c>
    </row>
    <row customHeight="1" ht="11.25">
      <c r="A478" s="0" t="s">
        <v>14</v>
      </c>
      <c r="B478" s="0" t="s">
        <v>5614</v>
      </c>
      <c r="C478" s="0" t="s">
        <v>5615</v>
      </c>
      <c r="D478" s="0" t="s">
        <v>5643</v>
      </c>
      <c r="E478" s="0" t="s">
        <v>5644</v>
      </c>
      <c r="F478" s="0" t="s">
        <v>4288</v>
      </c>
      <c r="G478" s="0" t="s">
        <v>5645</v>
      </c>
    </row>
    <row customHeight="1" ht="11.25">
      <c r="A479" s="0" t="s">
        <v>14</v>
      </c>
      <c r="B479" s="0" t="s">
        <v>5614</v>
      </c>
      <c r="C479" s="0" t="s">
        <v>5615</v>
      </c>
      <c r="D479" s="0" t="s">
        <v>5646</v>
      </c>
      <c r="E479" s="0" t="s">
        <v>5647</v>
      </c>
      <c r="F479" s="0" t="s">
        <v>4288</v>
      </c>
      <c r="G479" s="0" t="s">
        <v>5648</v>
      </c>
    </row>
    <row customHeight="1" ht="11.25">
      <c r="A480" s="0" t="s">
        <v>14</v>
      </c>
      <c r="B480" s="0" t="s">
        <v>5614</v>
      </c>
      <c r="C480" s="0" t="s">
        <v>5615</v>
      </c>
      <c r="D480" s="0" t="s">
        <v>5649</v>
      </c>
      <c r="E480" s="0" t="s">
        <v>5650</v>
      </c>
      <c r="F480" s="0" t="s">
        <v>4288</v>
      </c>
      <c r="G480" s="0" t="s">
        <v>5651</v>
      </c>
    </row>
    <row customHeight="1" ht="11.25">
      <c r="A481" s="0" t="s">
        <v>14</v>
      </c>
      <c r="B481" s="0" t="s">
        <v>5614</v>
      </c>
      <c r="C481" s="0" t="s">
        <v>5615</v>
      </c>
      <c r="D481" s="0" t="s">
        <v>5652</v>
      </c>
      <c r="E481" s="0" t="s">
        <v>5653</v>
      </c>
      <c r="F481" s="0" t="s">
        <v>4288</v>
      </c>
      <c r="G481" s="0" t="s">
        <v>5654</v>
      </c>
    </row>
    <row customHeight="1" ht="11.25">
      <c r="A482" s="0" t="s">
        <v>14</v>
      </c>
      <c r="B482" s="0" t="s">
        <v>5614</v>
      </c>
      <c r="C482" s="0" t="s">
        <v>5615</v>
      </c>
      <c r="D482" s="0" t="s">
        <v>5614</v>
      </c>
      <c r="E482" s="0" t="s">
        <v>5615</v>
      </c>
      <c r="F482" s="0" t="s">
        <v>4285</v>
      </c>
      <c r="G482" s="0" t="s">
        <v>5655</v>
      </c>
    </row>
    <row customHeight="1" ht="11.25">
      <c r="A483" s="0" t="s">
        <v>14</v>
      </c>
      <c r="B483" s="0" t="s">
        <v>5656</v>
      </c>
      <c r="C483" s="0" t="s">
        <v>5657</v>
      </c>
      <c r="D483" s="0" t="s">
        <v>5656</v>
      </c>
      <c r="E483" s="0" t="s">
        <v>5657</v>
      </c>
      <c r="F483" s="0" t="s">
        <v>4322</v>
      </c>
      <c r="G483" s="0" t="s">
        <v>5658</v>
      </c>
    </row>
    <row customHeight="1" ht="11.25">
      <c r="A484" s="0" t="s">
        <v>14</v>
      </c>
      <c r="B484" s="0" t="s">
        <v>5659</v>
      </c>
      <c r="C484" s="0" t="s">
        <v>5660</v>
      </c>
      <c r="D484" s="0" t="s">
        <v>5659</v>
      </c>
      <c r="E484" s="0" t="s">
        <v>5660</v>
      </c>
      <c r="F484" s="0" t="s">
        <v>4322</v>
      </c>
      <c r="G484" s="0" t="s">
        <v>5661</v>
      </c>
    </row>
    <row customHeight="1" ht="11.25">
      <c r="A485" s="0" t="s">
        <v>14</v>
      </c>
      <c r="B485" s="0" t="s">
        <v>5662</v>
      </c>
      <c r="C485" s="0" t="s">
        <v>5663</v>
      </c>
      <c r="D485" s="0" t="s">
        <v>5662</v>
      </c>
      <c r="E485" s="0" t="s">
        <v>5663</v>
      </c>
      <c r="F485" s="0" t="s">
        <v>4322</v>
      </c>
      <c r="G485" s="0" t="s">
        <v>5664</v>
      </c>
    </row>
    <row customHeight="1" ht="11.25">
      <c r="A486" s="0" t="s">
        <v>14</v>
      </c>
      <c r="B486" s="0" t="s">
        <v>5665</v>
      </c>
      <c r="C486" s="0" t="s">
        <v>5666</v>
      </c>
      <c r="D486" s="0" t="s">
        <v>5665</v>
      </c>
      <c r="E486" s="0" t="s">
        <v>5666</v>
      </c>
      <c r="F486" s="0" t="s">
        <v>4322</v>
      </c>
      <c r="G486" s="0" t="s">
        <v>5667</v>
      </c>
    </row>
    <row customHeight="1" ht="11.25">
      <c r="A487" s="0" t="s">
        <v>14</v>
      </c>
      <c r="B487" s="0" t="s">
        <v>5668</v>
      </c>
      <c r="C487" s="0" t="s">
        <v>5669</v>
      </c>
      <c r="D487" s="0" t="s">
        <v>5668</v>
      </c>
      <c r="E487" s="0" t="s">
        <v>5669</v>
      </c>
      <c r="F487" s="0" t="s">
        <v>4322</v>
      </c>
      <c r="G487" s="0" t="s">
        <v>5670</v>
      </c>
    </row>
    <row customHeight="1" ht="11.25">
      <c r="A488" s="0" t="s">
        <v>14</v>
      </c>
      <c r="B488" s="0" t="s">
        <v>5671</v>
      </c>
      <c r="C488" s="0" t="s">
        <v>5672</v>
      </c>
      <c r="D488" s="0" t="s">
        <v>5671</v>
      </c>
      <c r="E488" s="0" t="s">
        <v>5672</v>
      </c>
      <c r="F488" s="0" t="s">
        <v>4322</v>
      </c>
      <c r="G488" s="0" t="s">
        <v>5673</v>
      </c>
    </row>
    <row customHeight="1" ht="11.25">
      <c r="A489" s="0" t="s">
        <v>14</v>
      </c>
      <c r="B489" s="0" t="s">
        <v>5674</v>
      </c>
      <c r="C489" s="0" t="s">
        <v>5675</v>
      </c>
      <c r="D489" s="0" t="s">
        <v>5674</v>
      </c>
      <c r="E489" s="0" t="s">
        <v>5675</v>
      </c>
      <c r="F489" s="0" t="s">
        <v>4322</v>
      </c>
      <c r="G489" s="0" t="s">
        <v>5676</v>
      </c>
    </row>
    <row customHeight="1" ht="11.25">
      <c r="A490" s="0" t="s">
        <v>14</v>
      </c>
      <c r="B490" s="0" t="s">
        <v>5677</v>
      </c>
      <c r="C490" s="0" t="s">
        <v>5678</v>
      </c>
      <c r="D490" s="0" t="s">
        <v>5677</v>
      </c>
      <c r="E490" s="0" t="s">
        <v>5678</v>
      </c>
      <c r="F490" s="0" t="s">
        <v>4322</v>
      </c>
      <c r="G490" s="0" t="s">
        <v>5679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8F43401-0C62-F7DC-CE8F-DB3432398FA1}"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5145" width="9.140625"/>
    <col min="2" max="2" style="5145" width="84.28125" customWidth="1"/>
    <col min="3" max="3" style="5145" width="9.140625"/>
  </cols>
  <sheetData>
    <row customHeight="1" ht="11.25">
      <c r="A1" s="841" t="s">
        <v>5831</v>
      </c>
      <c r="B1" s="841" t="s">
        <v>5832</v>
      </c>
      <c r="C1" s="841" t="s">
        <v>1169</v>
      </c>
    </row>
    <row customHeight="1" ht="11.25">
      <c r="A2" s="841">
        <v>4189678</v>
      </c>
      <c r="B2" s="841" t="s">
        <v>5833</v>
      </c>
      <c r="C2" s="841" t="s">
        <v>5834</v>
      </c>
    </row>
    <row customHeight="1" ht="11.25">
      <c r="A3" s="841">
        <v>4190415</v>
      </c>
      <c r="B3" s="841" t="s">
        <v>5835</v>
      </c>
      <c r="C3" s="841" t="s">
        <v>5834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A696F6-5AC7-BDEB-F9BD-524AD1B49FD7}"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5149" width="38.421875" customWidth="1"/>
    <col min="2" max="5" style="5149" width="9.140625"/>
  </cols>
  <sheetData>
    <row customHeight="1" ht="15">
      <c r="A1" s="149" t="s">
        <v>5836</v>
      </c>
      <c r="B1" s="149" t="s">
        <v>5837</v>
      </c>
      <c r="C1" s="149"/>
      <c r="D1" s="149"/>
      <c r="E1" s="149"/>
    </row>
    <row customHeight="1" ht="15">
      <c r="A2" s="149"/>
      <c r="B2" s="149"/>
      <c r="C2" s="149"/>
      <c r="D2" s="149"/>
      <c r="E2" s="149"/>
    </row>
    <row customHeight="1" ht="15">
      <c r="A3" s="149"/>
      <c r="B3" s="149"/>
      <c r="C3" s="149"/>
      <c r="D3" s="149"/>
      <c r="E3" s="149"/>
    </row>
    <row customHeight="1" ht="15">
      <c r="A4" s="149"/>
      <c r="B4" s="149"/>
      <c r="C4" s="149"/>
      <c r="D4" s="149"/>
      <c r="E4" s="149"/>
    </row>
    <row customHeight="1" ht="15">
      <c r="A5" s="149"/>
      <c r="B5" s="149"/>
      <c r="C5" s="149"/>
      <c r="D5" s="149"/>
      <c r="E5" s="149"/>
    </row>
    <row customHeight="1" ht="15">
      <c r="A6" s="149"/>
      <c r="B6" s="149"/>
      <c r="C6" s="149"/>
      <c r="D6" s="149"/>
      <c r="E6" s="149"/>
    </row>
    <row customHeight="1" ht="15">
      <c r="A7" s="149"/>
      <c r="B7" s="149"/>
      <c r="C7" s="149"/>
      <c r="D7" s="149"/>
      <c r="E7" s="149"/>
    </row>
    <row customHeight="1" ht="15">
      <c r="A8" s="149"/>
      <c r="B8" s="149"/>
      <c r="C8" s="149"/>
      <c r="D8" s="149"/>
      <c r="E8" s="149"/>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3EC1445-300C-542D-976C-F0EA0E3580A5}"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5838</v>
      </c>
      <c r="B1" s="0" t="b">
        <v>1</v>
      </c>
    </row>
    <row customHeight="1" ht="11.25">
      <c r="A2" s="0" t="s">
        <v>5839</v>
      </c>
      <c r="B2" s="0" t="b">
        <v>0</v>
      </c>
    </row>
    <row customHeight="1" ht="11.25">
      <c r="A3" s="0" t="s">
        <v>5840</v>
      </c>
      <c r="B3" s="0" t="b">
        <v>1</v>
      </c>
    </row>
    <row customHeight="1" ht="11.25">
      <c r="A4" s="0" t="s">
        <v>5841</v>
      </c>
      <c r="B4" s="0" t="b">
        <v>0</v>
      </c>
    </row>
    <row customHeight="1" ht="11.25">
      <c r="A5" s="0" t="s">
        <v>5842</v>
      </c>
      <c r="B5" s="0" t="b">
        <v>0</v>
      </c>
    </row>
    <row customHeight="1" ht="11.25">
      <c r="A6" s="0" t="s">
        <v>5843</v>
      </c>
      <c r="B6" s="0" t="b">
        <v>0</v>
      </c>
    </row>
    <row customHeight="1" ht="11.25">
      <c r="A7" s="0" t="s">
        <v>5844</v>
      </c>
      <c r="B7" s="0" t="b">
        <v>0</v>
      </c>
    </row>
    <row customHeight="1" ht="11.25">
      <c r="A8" s="0" t="s">
        <v>5845</v>
      </c>
      <c r="B8" s="0" t="b">
        <v>0</v>
      </c>
    </row>
    <row customHeight="1" ht="11.25">
      <c r="A9" s="0" t="s">
        <v>5846</v>
      </c>
      <c r="B9" s="0" t="b">
        <v>1</v>
      </c>
    </row>
    <row customHeight="1" ht="11.25">
      <c r="A10" s="0" t="s">
        <v>5847</v>
      </c>
      <c r="B10" s="0" t="b">
        <v>0</v>
      </c>
    </row>
    <row customHeight="1" ht="11.25">
      <c r="A11" s="0" t="s">
        <v>5848</v>
      </c>
      <c r="B11" s="0" t="b">
        <v>0</v>
      </c>
    </row>
    <row customHeight="1" ht="11.25">
      <c r="A12" s="0" t="s">
        <v>5849</v>
      </c>
      <c r="B12" s="0" t="b">
        <v>0</v>
      </c>
    </row>
    <row customHeight="1" ht="11.25">
      <c r="A13" s="0" t="s">
        <v>5850</v>
      </c>
      <c r="B13" s="0" t="b">
        <v>0</v>
      </c>
    </row>
    <row customHeight="1" ht="11.25">
      <c r="A14" s="0" t="s">
        <v>5851</v>
      </c>
      <c r="B14" s="0" t="b">
        <v>0</v>
      </c>
    </row>
    <row customHeight="1" ht="11.25">
      <c r="A15" s="0" t="s">
        <v>5852</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D0836B5-F8FB-E087-6ACE-EE56D017A94F}"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5151" width="9.140625"/>
  </cols>
  <sheetData>
    <row customHeight="1" ht="12.75">
      <c r="A1" s="80"/>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11F2EAF-07C3-C717-1EB5-EBB5401496B4}"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5127" width="36.28125" customWidth="1"/>
    <col min="2" max="2" style="5127" width="21.140625" customWidth="1"/>
  </cols>
  <sheetData>
    <row customHeight="1" ht="11.25">
      <c r="A1" s="52" t="s">
        <v>5853</v>
      </c>
      <c r="B1" s="52" t="s">
        <v>5854</v>
      </c>
    </row>
    <row customHeight="1" ht="11.25">
      <c r="A2" s="48" t="s">
        <v>5855</v>
      </c>
      <c r="B2" s="48" t="s">
        <v>5856</v>
      </c>
    </row>
    <row customHeight="1" ht="11.25">
      <c r="A3" s="48" t="s">
        <v>5857</v>
      </c>
      <c r="B3" s="48" t="s">
        <v>5858</v>
      </c>
    </row>
    <row customHeight="1" ht="11.25">
      <c r="A4" s="48" t="s">
        <v>5859</v>
      </c>
      <c r="B4" s="48" t="s">
        <v>5860</v>
      </c>
    </row>
    <row customHeight="1" ht="11.25">
      <c r="A5" s="48" t="s">
        <v>5861</v>
      </c>
      <c r="B5" s="48" t="s">
        <v>5862</v>
      </c>
    </row>
    <row customHeight="1" ht="11.25">
      <c r="A6" s="48" t="s">
        <v>5863</v>
      </c>
      <c r="B6" s="48" t="s">
        <v>5864</v>
      </c>
    </row>
    <row customHeight="1" ht="11.25">
      <c r="A7" s="48" t="s">
        <v>5865</v>
      </c>
      <c r="B7" s="48" t="s">
        <v>5866</v>
      </c>
    </row>
    <row customHeight="1" ht="11.25">
      <c r="A8" s="48" t="s">
        <v>5867</v>
      </c>
      <c r="B8" s="48" t="s">
        <v>5868</v>
      </c>
    </row>
    <row customHeight="1" ht="11.25">
      <c r="A9" s="48" t="s">
        <v>5869</v>
      </c>
      <c r="B9" s="48" t="s">
        <v>5870</v>
      </c>
    </row>
    <row customHeight="1" ht="11.25">
      <c r="A10" s="48" t="s">
        <v>5871</v>
      </c>
      <c r="B10" s="48" t="s">
        <v>5872</v>
      </c>
    </row>
    <row customHeight="1" ht="11.25">
      <c r="A11" s="48" t="s">
        <v>5873</v>
      </c>
      <c r="B11" s="48" t="s">
        <v>5874</v>
      </c>
    </row>
    <row customHeight="1" ht="11.25">
      <c r="A12" s="48" t="s">
        <v>5875</v>
      </c>
      <c r="B12" s="48" t="s">
        <v>5876</v>
      </c>
    </row>
    <row customHeight="1" ht="11.25">
      <c r="A13" s="48" t="s">
        <v>5877</v>
      </c>
      <c r="B13" s="48" t="s">
        <v>5878</v>
      </c>
    </row>
    <row customHeight="1" ht="11.25">
      <c r="A14" s="48" t="s">
        <v>5879</v>
      </c>
      <c r="B14" s="48" t="s">
        <v>5880</v>
      </c>
    </row>
    <row customHeight="1" ht="11.25">
      <c r="A15" s="48" t="s">
        <v>5881</v>
      </c>
      <c r="B15" s="48" t="s">
        <v>5882</v>
      </c>
    </row>
    <row customHeight="1" ht="11.25">
      <c r="A16" s="48" t="s">
        <v>5883</v>
      </c>
      <c r="B16" s="48" t="s">
        <v>5884</v>
      </c>
    </row>
    <row customHeight="1" ht="11.25">
      <c r="A17" s="48" t="s">
        <v>5885</v>
      </c>
      <c r="B17" s="48" t="s">
        <v>5886</v>
      </c>
    </row>
    <row customHeight="1" ht="11.25">
      <c r="A18" s="48" t="s">
        <v>5887</v>
      </c>
      <c r="B18" s="48" t="s">
        <v>5888</v>
      </c>
    </row>
    <row customHeight="1" ht="11.25">
      <c r="A19" s="48" t="s">
        <v>5889</v>
      </c>
      <c r="B19" s="48" t="s">
        <v>5890</v>
      </c>
    </row>
    <row customHeight="1" ht="11.25">
      <c r="A20" s="48" t="s">
        <v>5891</v>
      </c>
      <c r="B20" s="48" t="s">
        <v>5892</v>
      </c>
    </row>
    <row customHeight="1" ht="11.25">
      <c r="A21" s="48" t="s">
        <v>5893</v>
      </c>
      <c r="B21" s="48" t="s">
        <v>5894</v>
      </c>
    </row>
    <row customHeight="1" ht="11.25">
      <c r="A22" s="48" t="s">
        <v>5895</v>
      </c>
      <c r="B22" s="48" t="s">
        <v>5896</v>
      </c>
    </row>
    <row customHeight="1" ht="11.25">
      <c r="A23" s="48" t="s">
        <v>5897</v>
      </c>
      <c r="B23" s="48" t="s">
        <v>5898</v>
      </c>
    </row>
    <row customHeight="1" ht="11.25">
      <c r="A24" s="48" t="s">
        <v>5899</v>
      </c>
      <c r="B24" s="48" t="s">
        <v>5900</v>
      </c>
    </row>
    <row customHeight="1" ht="11.25">
      <c r="A25" s="48" t="s">
        <v>5901</v>
      </c>
      <c r="B25" s="48" t="s">
        <v>5902</v>
      </c>
    </row>
    <row customHeight="1" ht="11.25">
      <c r="A26" s="48" t="s">
        <v>5903</v>
      </c>
      <c r="B26" s="48" t="s">
        <v>5904</v>
      </c>
    </row>
    <row customHeight="1" ht="11.25">
      <c r="A27" s="48" t="s">
        <v>5905</v>
      </c>
      <c r="B27" s="48" t="s">
        <v>5906</v>
      </c>
    </row>
    <row customHeight="1" ht="11.25">
      <c r="A28" s="48" t="s">
        <v>5907</v>
      </c>
      <c r="B28" s="48" t="s">
        <v>5908</v>
      </c>
    </row>
    <row customHeight="1" ht="11.25">
      <c r="A29" s="48" t="s">
        <v>5909</v>
      </c>
      <c r="B29" s="48" t="s">
        <v>5910</v>
      </c>
    </row>
    <row customHeight="1" ht="11.25">
      <c r="A30" s="48" t="s">
        <v>5911</v>
      </c>
      <c r="B30" s="48" t="s">
        <v>5912</v>
      </c>
    </row>
    <row customHeight="1" ht="11.25">
      <c r="A31" s="48" t="s">
        <v>5913</v>
      </c>
      <c r="B31" s="48" t="s">
        <v>5914</v>
      </c>
    </row>
    <row customHeight="1" ht="11.25">
      <c r="A32" s="48" t="s">
        <v>5915</v>
      </c>
      <c r="B32" s="48" t="s">
        <v>5916</v>
      </c>
    </row>
    <row customHeight="1" ht="11.25">
      <c r="A33" s="48" t="s">
        <v>5917</v>
      </c>
      <c r="B33" s="48" t="s">
        <v>5918</v>
      </c>
    </row>
    <row customHeight="1" ht="11.25">
      <c r="A34" s="48" t="s">
        <v>5919</v>
      </c>
      <c r="B34" s="48" t="s">
        <v>5920</v>
      </c>
    </row>
    <row customHeight="1" ht="11.25">
      <c r="A35" s="48" t="s">
        <v>5921</v>
      </c>
      <c r="B35" s="48" t="s">
        <v>5922</v>
      </c>
    </row>
    <row customHeight="1" ht="11.25">
      <c r="A36" s="48" t="s">
        <v>5923</v>
      </c>
      <c r="B36" s="48" t="s">
        <v>5924</v>
      </c>
    </row>
    <row customHeight="1" ht="11.25">
      <c r="A37" s="48" t="s">
        <v>5925</v>
      </c>
      <c r="B37" s="48" t="s">
        <v>5926</v>
      </c>
    </row>
    <row customHeight="1" ht="11.25">
      <c r="A38" s="48" t="s">
        <v>5927</v>
      </c>
      <c r="B38" s="48" t="s">
        <v>5928</v>
      </c>
    </row>
    <row customHeight="1" ht="11.25">
      <c r="A39" s="48" t="s">
        <v>5929</v>
      </c>
      <c r="B39" s="48" t="s">
        <v>5930</v>
      </c>
    </row>
    <row customHeight="1" ht="11.25">
      <c r="A40" s="48" t="s">
        <v>5931</v>
      </c>
      <c r="B40" s="48" t="s">
        <v>5932</v>
      </c>
    </row>
    <row customHeight="1" ht="11.25">
      <c r="A41" s="48" t="s">
        <v>5933</v>
      </c>
      <c r="B41" s="48" t="s">
        <v>5934</v>
      </c>
    </row>
    <row customHeight="1" ht="11.25">
      <c r="A42" s="48" t="s">
        <v>5935</v>
      </c>
      <c r="B42" s="48" t="s">
        <v>5936</v>
      </c>
    </row>
    <row customHeight="1" ht="11.25">
      <c r="A43" s="48" t="s">
        <v>5937</v>
      </c>
      <c r="B43" s="48" t="s">
        <v>5938</v>
      </c>
    </row>
    <row customHeight="1" ht="11.25">
      <c r="A44" s="48" t="s">
        <v>5939</v>
      </c>
      <c r="B44" s="48" t="s">
        <v>5940</v>
      </c>
    </row>
    <row customHeight="1" ht="11.25">
      <c r="A45" s="48" t="s">
        <v>5941</v>
      </c>
      <c r="B45" s="48" t="s">
        <v>5942</v>
      </c>
    </row>
    <row customHeight="1" ht="11.25">
      <c r="A46" s="48" t="s">
        <v>5943</v>
      </c>
      <c r="B46" s="48" t="s">
        <v>5944</v>
      </c>
    </row>
    <row customHeight="1" ht="11.25">
      <c r="A47" s="48" t="s">
        <v>5945</v>
      </c>
      <c r="B47" s="48" t="s">
        <v>5946</v>
      </c>
    </row>
    <row customHeight="1" ht="11.25">
      <c r="A48" s="48" t="s">
        <v>5947</v>
      </c>
      <c r="B48" s="48" t="s">
        <v>5948</v>
      </c>
    </row>
    <row customHeight="1" ht="11.25">
      <c r="A49" s="48" t="s">
        <v>5949</v>
      </c>
      <c r="B49" s="48" t="s">
        <v>5950</v>
      </c>
    </row>
    <row customHeight="1" ht="11.25">
      <c r="A50" s="48" t="s">
        <v>5951</v>
      </c>
      <c r="B50" s="48" t="s">
        <v>5952</v>
      </c>
    </row>
    <row customHeight="1" ht="11.25">
      <c r="A51" s="48" t="s">
        <v>5953</v>
      </c>
      <c r="B51" s="48" t="s">
        <v>5954</v>
      </c>
    </row>
    <row customHeight="1" ht="11.25">
      <c r="A52" s="48" t="s">
        <v>5955</v>
      </c>
      <c r="B52" s="48" t="s">
        <v>5956</v>
      </c>
    </row>
    <row customHeight="1" ht="11.25">
      <c r="A53" s="48" t="s">
        <v>5957</v>
      </c>
      <c r="B53" s="48" t="s">
        <v>5958</v>
      </c>
    </row>
    <row customHeight="1" ht="11.25">
      <c r="A54" s="48" t="s">
        <v>5959</v>
      </c>
      <c r="B54" s="48" t="s">
        <v>5960</v>
      </c>
    </row>
    <row customHeight="1" ht="11.25">
      <c r="A55" s="48" t="s">
        <v>5961</v>
      </c>
      <c r="B55" s="48" t="s">
        <v>5962</v>
      </c>
    </row>
    <row customHeight="1" ht="11.25">
      <c r="A56" s="48" t="s">
        <v>5963</v>
      </c>
      <c r="B56" s="48" t="s">
        <v>5964</v>
      </c>
    </row>
    <row customHeight="1" ht="11.25">
      <c r="A57" s="48" t="s">
        <v>5965</v>
      </c>
      <c r="B57" s="48" t="s">
        <v>5966</v>
      </c>
    </row>
    <row customHeight="1" ht="11.25">
      <c r="A58" s="48" t="s">
        <v>5967</v>
      </c>
      <c r="B58" s="48" t="s">
        <v>5968</v>
      </c>
    </row>
    <row customHeight="1" ht="11.25">
      <c r="A59" s="48" t="s">
        <v>5969</v>
      </c>
      <c r="B59" s="48" t="s">
        <v>5970</v>
      </c>
    </row>
    <row customHeight="1" ht="11.25">
      <c r="A60" s="48" t="s">
        <v>5971</v>
      </c>
      <c r="B60" s="48" t="s">
        <v>5972</v>
      </c>
    </row>
    <row customHeight="1" ht="11.25">
      <c r="A61" s="48"/>
      <c r="B61" s="48" t="s">
        <v>5973</v>
      </c>
    </row>
    <row customHeight="1" ht="11.25">
      <c r="A62" s="48"/>
      <c r="B62" s="48" t="s">
        <v>5974</v>
      </c>
    </row>
    <row customHeight="1" ht="11.25">
      <c r="A63" s="48"/>
      <c r="B63" s="48" t="s">
        <v>5975</v>
      </c>
    </row>
    <row customHeight="1" ht="11.25">
      <c r="A64" s="48"/>
      <c r="B64" s="48" t="s">
        <v>5976</v>
      </c>
    </row>
    <row customHeight="1" ht="11.25">
      <c r="A65" s="48"/>
      <c r="B65" s="48" t="s">
        <v>5977</v>
      </c>
    </row>
    <row customHeight="1" ht="11.25">
      <c r="A66" s="48"/>
      <c r="B66" s="48" t="s">
        <v>5978</v>
      </c>
    </row>
    <row customHeight="1" ht="11.25">
      <c r="A67" s="48"/>
      <c r="B67" s="48" t="s">
        <v>5979</v>
      </c>
    </row>
    <row customHeight="1" ht="11.25">
      <c r="A68" s="48"/>
      <c r="B68" s="48" t="s">
        <v>5980</v>
      </c>
    </row>
    <row customHeight="1" ht="11.25">
      <c r="A69" s="48"/>
      <c r="B69" s="48" t="s">
        <v>5981</v>
      </c>
    </row>
    <row customHeight="1" ht="11.25">
      <c r="A70" s="48"/>
      <c r="B70" s="48" t="s">
        <v>5982</v>
      </c>
    </row>
    <row customHeight="1" ht="11.25">
      <c r="A71" s="48"/>
      <c r="B71" s="48"/>
    </row>
    <row customHeight="1" ht="11.25">
      <c r="A72" s="48"/>
      <c r="B72" s="48"/>
    </row>
    <row customHeight="1" ht="11.25">
      <c r="A73" s="48"/>
      <c r="B73" s="48"/>
    </row>
    <row customHeight="1" ht="11.25">
      <c r="A74" s="48"/>
      <c r="B74" s="48"/>
    </row>
    <row customHeight="1" ht="11.25">
      <c r="A75" s="48"/>
      <c r="B75" s="48"/>
    </row>
    <row customHeight="1" ht="11.25">
      <c r="A76" s="48"/>
      <c r="B76" s="48"/>
    </row>
    <row customHeight="1" ht="11.25">
      <c r="A77" s="48"/>
      <c r="B77" s="48"/>
    </row>
    <row customHeight="1" ht="11.25">
      <c r="A78" s="48"/>
      <c r="B78" s="48"/>
    </row>
    <row customHeight="1" ht="11.25">
      <c r="A79" s="48"/>
      <c r="B79" s="48"/>
    </row>
    <row customHeight="1" ht="11.25">
      <c r="A80" s="48"/>
      <c r="B80" s="48"/>
    </row>
    <row customHeight="1" ht="11.25">
      <c r="A81" s="48"/>
      <c r="B81" s="48"/>
    </row>
    <row customHeight="1" ht="11.25">
      <c r="A82" s="48"/>
      <c r="B82" s="48"/>
    </row>
    <row customHeight="1" ht="11.25">
      <c r="A83" s="48"/>
      <c r="B83" s="48"/>
    </row>
    <row customHeight="1" ht="11.25">
      <c r="A84" s="48"/>
      <c r="B84" s="48"/>
    </row>
    <row customHeight="1" ht="11.25">
      <c r="A85" s="48"/>
      <c r="B85" s="48"/>
    </row>
    <row customHeight="1" ht="11.25">
      <c r="A86" s="48"/>
      <c r="B86" s="48"/>
    </row>
    <row customHeight="1" ht="11.25">
      <c r="A87" s="48"/>
      <c r="B87" s="48"/>
    </row>
    <row customHeight="1" ht="11.25">
      <c r="A88" s="48"/>
      <c r="B88" s="48"/>
    </row>
    <row customHeight="1" ht="11.25">
      <c r="A89" s="48"/>
      <c r="B89" s="48"/>
    </row>
    <row customHeight="1" ht="11.25">
      <c r="A90" s="48"/>
      <c r="B90" s="48"/>
    </row>
    <row customHeight="1" ht="11.25">
      <c r="A91" s="48"/>
      <c r="B91" s="48"/>
    </row>
    <row customHeight="1" ht="11.25">
      <c r="A92" s="48"/>
      <c r="B92" s="48"/>
    </row>
    <row customHeight="1" ht="11.25">
      <c r="A93" s="48"/>
      <c r="B93" s="48"/>
    </row>
    <row customHeight="1" ht="11.25">
      <c r="A94" s="48"/>
      <c r="B94" s="48"/>
    </row>
    <row customHeight="1" ht="11.25">
      <c r="A95" s="48"/>
      <c r="B95" s="48"/>
    </row>
    <row customHeight="1" ht="11.25">
      <c r="A96" s="48"/>
      <c r="B96" s="48"/>
    </row>
    <row customHeight="1" ht="11.25">
      <c r="A97" s="48"/>
      <c r="B97" s="48"/>
    </row>
    <row customHeight="1" ht="11.25">
      <c r="A98" s="48"/>
      <c r="B98" s="48"/>
    </row>
    <row customHeight="1" ht="11.25">
      <c r="A99" s="48"/>
      <c r="B99" s="48"/>
    </row>
    <row customHeight="1" ht="11.25">
      <c r="A100" s="48"/>
      <c r="B100" s="48"/>
    </row>
    <row customHeight="1" ht="11.25">
      <c r="A101" s="48"/>
      <c r="B101" s="48"/>
    </row>
    <row customHeight="1" ht="11.25">
      <c r="A102" s="48"/>
      <c r="B102" s="48"/>
    </row>
    <row customHeight="1" ht="11.25">
      <c r="A103" s="48"/>
      <c r="B103" s="48"/>
    </row>
    <row customHeight="1" ht="11.25">
      <c r="A104" s="48"/>
      <c r="B104" s="48"/>
    </row>
    <row customHeight="1" ht="11.25">
      <c r="A105" s="48"/>
      <c r="B105" s="48"/>
    </row>
    <row customHeight="1" ht="11.25">
      <c r="A106" s="48"/>
      <c r="B106" s="48"/>
    </row>
    <row customHeight="1" ht="11.25">
      <c r="A107" s="48"/>
      <c r="B107" s="48"/>
    </row>
    <row customHeight="1" ht="11.25">
      <c r="A108" s="48"/>
      <c r="B108" s="48"/>
    </row>
    <row customHeight="1" ht="11.25">
      <c r="A109" s="48"/>
      <c r="B109" s="48"/>
    </row>
    <row customHeight="1" ht="11.25">
      <c r="A110" s="48"/>
      <c r="B110" s="48"/>
    </row>
    <row customHeight="1" ht="11.25">
      <c r="A111" s="48"/>
      <c r="B111" s="48"/>
    </row>
    <row customHeight="1" ht="11.25">
      <c r="A112" s="48"/>
      <c r="B112" s="48"/>
    </row>
    <row customHeight="1" ht="11.25">
      <c r="A113" s="48"/>
      <c r="B113" s="48"/>
    </row>
    <row customHeight="1" ht="11.25">
      <c r="A114" s="48"/>
      <c r="B114" s="48"/>
    </row>
    <row customHeight="1" ht="11.25">
      <c r="A115" s="48"/>
      <c r="B115" s="48"/>
    </row>
    <row customHeight="1" ht="11.25">
      <c r="A116" s="48"/>
      <c r="B116" s="48"/>
    </row>
    <row customHeight="1" ht="11.25">
      <c r="A117" s="48"/>
      <c r="B117" s="48"/>
    </row>
    <row customHeight="1" ht="11.25">
      <c r="A118" s="48"/>
      <c r="B118" s="48"/>
    </row>
    <row customHeight="1" ht="11.25">
      <c r="A119" s="48"/>
      <c r="B119" s="48"/>
    </row>
    <row customHeight="1" ht="11.25">
      <c r="A120" s="48"/>
      <c r="B120" s="48"/>
    </row>
    <row customHeight="1" ht="11.25">
      <c r="A121" s="48"/>
      <c r="B121" s="48"/>
    </row>
    <row customHeight="1" ht="11.25">
      <c r="A122" s="48"/>
      <c r="B122" s="48"/>
    </row>
    <row customHeight="1" ht="11.25">
      <c r="A123" s="48"/>
      <c r="B123" s="48"/>
    </row>
    <row customHeight="1" ht="11.25">
      <c r="A124" s="48"/>
      <c r="B124" s="48"/>
    </row>
    <row customHeight="1" ht="11.25">
      <c r="A125" s="48"/>
      <c r="B125" s="48"/>
    </row>
    <row customHeight="1" ht="11.25">
      <c r="A126" s="48"/>
      <c r="B126" s="48"/>
    </row>
    <row customHeight="1" ht="11.25">
      <c r="A127" s="48"/>
      <c r="B127" s="48"/>
    </row>
    <row customHeight="1" ht="11.25">
      <c r="A128" s="48"/>
      <c r="B128" s="48"/>
    </row>
    <row customHeight="1" ht="11.25">
      <c r="A129" s="48"/>
      <c r="B129" s="48"/>
    </row>
    <row customHeight="1" ht="11.25">
      <c r="A130" s="48"/>
      <c r="B130" s="48"/>
    </row>
    <row customHeight="1" ht="11.25">
      <c r="A131" s="48"/>
      <c r="B131" s="48"/>
    </row>
    <row customHeight="1" ht="11.25">
      <c r="A132" s="48"/>
      <c r="B132" s="48"/>
    </row>
    <row customHeight="1" ht="11.25">
      <c r="A133" s="48"/>
      <c r="B133" s="48"/>
    </row>
    <row customHeight="1" ht="11.25">
      <c r="A134" s="48"/>
      <c r="B134" s="48"/>
    </row>
    <row customHeight="1" ht="11.25">
      <c r="A135" s="48"/>
      <c r="B135" s="48"/>
    </row>
    <row customHeight="1" ht="11.25">
      <c r="A136" s="48"/>
      <c r="B136" s="48"/>
    </row>
    <row customHeight="1" ht="11.25">
      <c r="A137" s="48"/>
      <c r="B137" s="48"/>
    </row>
    <row customHeight="1" ht="11.25">
      <c r="A138" s="48"/>
      <c r="B138" s="48"/>
    </row>
    <row customHeight="1" ht="11.25">
      <c r="A139" s="48"/>
      <c r="B139" s="48"/>
    </row>
    <row customHeight="1" ht="11.25">
      <c r="A140" s="48"/>
      <c r="B140" s="48"/>
    </row>
    <row customHeight="1" ht="11.25">
      <c r="A141" s="48"/>
      <c r="B141" s="48"/>
    </row>
    <row customHeight="1" ht="11.25">
      <c r="A142" s="48"/>
      <c r="B142" s="48"/>
    </row>
    <row customHeight="1" ht="11.25">
      <c r="A143" s="48"/>
      <c r="B143" s="48"/>
    </row>
    <row customHeight="1" ht="11.25">
      <c r="A144" s="48"/>
      <c r="B144" s="48"/>
    </row>
    <row customHeight="1" ht="11.25">
      <c r="A145" s="48"/>
      <c r="B145" s="48"/>
    </row>
    <row customHeight="1" ht="11.25">
      <c r="A146" s="48"/>
      <c r="B146" s="48"/>
    </row>
    <row customHeight="1" ht="11.25">
      <c r="A147" s="48"/>
      <c r="B147" s="48"/>
    </row>
    <row customHeight="1" ht="11.25">
      <c r="A148" s="48"/>
      <c r="B148" s="48"/>
    </row>
    <row customHeight="1" ht="11.25">
      <c r="A149" s="48"/>
      <c r="B149" s="48"/>
    </row>
    <row customHeight="1" ht="11.25">
      <c r="A150" s="48"/>
      <c r="B150" s="48"/>
    </row>
    <row customHeight="1" ht="11.25">
      <c r="A151" s="48"/>
      <c r="B151" s="48"/>
    </row>
    <row customHeight="1" ht="11.25">
      <c r="A152" s="48"/>
      <c r="B152" s="48"/>
    </row>
    <row customHeight="1" ht="11.25">
      <c r="A153" s="48"/>
      <c r="B153" s="48"/>
    </row>
    <row customHeight="1" ht="11.25">
      <c r="A154" s="48"/>
      <c r="B154" s="48"/>
    </row>
    <row customHeight="1" ht="11.25">
      <c r="A155" s="48"/>
      <c r="B155" s="48"/>
    </row>
    <row customHeight="1" ht="11.25">
      <c r="A156" s="48"/>
      <c r="B156" s="48"/>
    </row>
    <row customHeight="1" ht="11.25">
      <c r="A157" s="48"/>
      <c r="B157" s="48"/>
    </row>
    <row customHeight="1" ht="11.25">
      <c r="A158" s="48"/>
      <c r="B158" s="48"/>
    </row>
    <row customHeight="1" ht="11.25">
      <c r="A159" s="48"/>
      <c r="B159" s="48"/>
    </row>
    <row customHeight="1" ht="11.25">
      <c r="A160" s="48"/>
      <c r="B160" s="48"/>
    </row>
    <row customHeight="1" ht="11.25">
      <c r="A161" s="48"/>
      <c r="B161" s="48"/>
    </row>
    <row customHeight="1" ht="11.25">
      <c r="A162" s="48"/>
      <c r="B162" s="48"/>
    </row>
    <row customHeight="1" ht="11.25">
      <c r="A163" s="48"/>
      <c r="B163" s="48"/>
    </row>
    <row customHeight="1" ht="11.25">
      <c r="A164" s="48"/>
      <c r="B164" s="48"/>
    </row>
    <row customHeight="1" ht="11.25">
      <c r="A165" s="48"/>
      <c r="B165" s="48"/>
    </row>
    <row customHeight="1" ht="11.25">
      <c r="A166" s="48"/>
      <c r="B166" s="48"/>
    </row>
    <row customHeight="1" ht="11.25">
      <c r="A167" s="48"/>
      <c r="B167" s="48"/>
    </row>
    <row customHeight="1" ht="11.25">
      <c r="A168" s="48"/>
      <c r="B168" s="48"/>
    </row>
    <row customHeight="1" ht="11.25">
      <c r="A169" s="48"/>
      <c r="B169" s="48"/>
    </row>
    <row customHeight="1" ht="11.25">
      <c r="A170" s="48"/>
      <c r="B170" s="48"/>
    </row>
    <row customHeight="1" ht="11.25">
      <c r="A171" s="48"/>
      <c r="B171" s="48"/>
    </row>
    <row customHeight="1" ht="11.25">
      <c r="A172" s="48"/>
      <c r="B172" s="48"/>
    </row>
    <row customHeight="1" ht="11.25">
      <c r="A173" s="48"/>
      <c r="B173" s="48"/>
    </row>
    <row customHeight="1" ht="11.25">
      <c r="A174" s="48"/>
      <c r="B174" s="48"/>
    </row>
    <row customHeight="1" ht="11.25">
      <c r="A175" s="48"/>
      <c r="B175" s="48"/>
    </row>
    <row customHeight="1" ht="11.25">
      <c r="A176" s="48"/>
      <c r="B176" s="48"/>
    </row>
    <row customHeight="1" ht="11.25">
      <c r="A177" s="48"/>
      <c r="B177" s="48"/>
    </row>
    <row customHeight="1" ht="11.25">
      <c r="A178" s="48"/>
      <c r="B178" s="48"/>
    </row>
    <row customHeight="1" ht="11.25">
      <c r="A179" s="48"/>
      <c r="B179" s="48"/>
    </row>
    <row customHeight="1" ht="11.25">
      <c r="A180" s="48"/>
      <c r="B180" s="48"/>
    </row>
    <row customHeight="1" ht="11.25">
      <c r="A181" s="48"/>
      <c r="B181" s="48"/>
    </row>
    <row customHeight="1" ht="11.25">
      <c r="A182" s="48"/>
      <c r="B182" s="48"/>
    </row>
    <row customHeight="1" ht="11.25">
      <c r="A183" s="48"/>
      <c r="B183" s="48"/>
    </row>
    <row customHeight="1" ht="11.25">
      <c r="A184" s="48"/>
      <c r="B184" s="48"/>
    </row>
    <row customHeight="1" ht="11.25">
      <c r="A185" s="48"/>
      <c r="B185" s="48"/>
    </row>
    <row customHeight="1" ht="11.25">
      <c r="A186" s="48"/>
      <c r="B186" s="48"/>
    </row>
    <row customHeight="1" ht="11.25">
      <c r="A187" s="48"/>
      <c r="B187" s="48"/>
    </row>
    <row customHeight="1" ht="11.25">
      <c r="A188" s="48"/>
      <c r="B188" s="48"/>
    </row>
    <row customHeight="1" ht="11.25">
      <c r="A189" s="48"/>
      <c r="B189" s="48"/>
    </row>
    <row customHeight="1" ht="11.25">
      <c r="A190" s="48"/>
      <c r="B190" s="48"/>
    </row>
    <row customHeight="1" ht="11.25">
      <c r="A191" s="48"/>
      <c r="B191" s="48"/>
    </row>
    <row customHeight="1" ht="11.25">
      <c r="A192" s="48"/>
      <c r="B192" s="48"/>
    </row>
    <row customHeight="1" ht="11.25">
      <c r="A193" s="48"/>
      <c r="B193" s="48"/>
    </row>
    <row customHeight="1" ht="11.25">
      <c r="A194" s="48"/>
      <c r="B194" s="48"/>
    </row>
    <row customHeight="1" ht="11.25">
      <c r="A195" s="48"/>
      <c r="B195" s="48"/>
    </row>
    <row customHeight="1" ht="11.25">
      <c r="A196" s="48"/>
      <c r="B196" s="48"/>
    </row>
    <row customHeight="1" ht="11.25">
      <c r="A197" s="48"/>
      <c r="B197" s="48"/>
    </row>
    <row customHeight="1" ht="11.25">
      <c r="A198" s="48"/>
      <c r="B198" s="48"/>
    </row>
    <row customHeight="1" ht="11.25">
      <c r="A199" s="48"/>
      <c r="B199" s="48"/>
    </row>
    <row customHeight="1" ht="11.25">
      <c r="A200" s="48"/>
      <c r="B200" s="48"/>
    </row>
    <row customHeight="1" ht="11.25">
      <c r="A201" s="48"/>
      <c r="B201" s="48"/>
    </row>
    <row customHeight="1" ht="11.25">
      <c r="A202" s="48"/>
      <c r="B202" s="48"/>
    </row>
    <row customHeight="1" ht="11.25">
      <c r="A203" s="48"/>
      <c r="B203" s="48"/>
    </row>
    <row customHeight="1" ht="11.25">
      <c r="A204" s="48"/>
      <c r="B204" s="48"/>
    </row>
    <row customHeight="1" ht="11.25">
      <c r="A205" s="48"/>
      <c r="B205" s="48"/>
    </row>
    <row customHeight="1" ht="11.25">
      <c r="A206" s="48"/>
      <c r="B206" s="48"/>
    </row>
    <row customHeight="1" ht="11.25">
      <c r="A207" s="48"/>
      <c r="B207" s="48"/>
    </row>
    <row customHeight="1" ht="11.25">
      <c r="A208" s="48"/>
      <c r="B208" s="48"/>
    </row>
    <row customHeight="1" ht="11.25">
      <c r="A209" s="48"/>
      <c r="B209" s="48"/>
    </row>
    <row customHeight="1" ht="11.25">
      <c r="A210" s="48"/>
      <c r="B210" s="48"/>
    </row>
    <row customHeight="1" ht="11.25">
      <c r="A211" s="48"/>
      <c r="B211" s="48"/>
    </row>
    <row customHeight="1" ht="11.25">
      <c r="A212" s="48"/>
      <c r="B212" s="48"/>
    </row>
    <row customHeight="1" ht="11.25">
      <c r="A213" s="48"/>
      <c r="B213" s="48"/>
    </row>
    <row customHeight="1" ht="11.25">
      <c r="A214" s="48"/>
      <c r="B214" s="48"/>
    </row>
    <row customHeight="1" ht="11.25">
      <c r="A215" s="48"/>
      <c r="B215" s="48"/>
    </row>
    <row customHeight="1" ht="11.25">
      <c r="A216" s="48"/>
      <c r="B216" s="48"/>
    </row>
    <row customHeight="1" ht="11.25">
      <c r="A217" s="48"/>
      <c r="B217" s="48"/>
    </row>
    <row customHeight="1" ht="11.25">
      <c r="A218" s="48"/>
      <c r="B218" s="48"/>
    </row>
    <row customHeight="1" ht="11.25">
      <c r="A219" s="48"/>
      <c r="B219" s="48"/>
    </row>
    <row customHeight="1" ht="11.25">
      <c r="A220" s="48"/>
      <c r="B220" s="48"/>
    </row>
    <row customHeight="1" ht="11.25">
      <c r="A221" s="48"/>
      <c r="B221" s="48"/>
    </row>
    <row customHeight="1" ht="11.25">
      <c r="A222" s="48"/>
      <c r="B222" s="48"/>
    </row>
    <row customHeight="1" ht="11.25">
      <c r="A223" s="48"/>
      <c r="B223" s="48"/>
    </row>
    <row customHeight="1" ht="11.25">
      <c r="A224" s="48"/>
      <c r="B224" s="48"/>
    </row>
    <row customHeight="1" ht="11.25">
      <c r="A225" s="48"/>
      <c r="B225" s="48"/>
    </row>
    <row customHeight="1" ht="11.25">
      <c r="A226" s="48"/>
      <c r="B226" s="48"/>
    </row>
    <row customHeight="1" ht="11.25">
      <c r="A227" s="48"/>
      <c r="B227" s="48"/>
    </row>
    <row customHeight="1" ht="11.25">
      <c r="A228" s="48"/>
      <c r="B228" s="48"/>
    </row>
    <row customHeight="1" ht="11.25">
      <c r="A229" s="48"/>
      <c r="B229" s="48"/>
    </row>
    <row customHeight="1" ht="11.25">
      <c r="A230" s="48"/>
      <c r="B230" s="48"/>
    </row>
    <row customHeight="1" ht="11.25">
      <c r="A231" s="48"/>
      <c r="B231" s="48"/>
    </row>
    <row customHeight="1" ht="11.25">
      <c r="A232" s="48"/>
      <c r="B232" s="48"/>
    </row>
    <row customHeight="1" ht="11.25">
      <c r="A233" s="48"/>
      <c r="B233" s="48"/>
    </row>
    <row customHeight="1" ht="11.25">
      <c r="A234" s="48"/>
      <c r="B234" s="48"/>
    </row>
    <row customHeight="1" ht="11.25">
      <c r="A235" s="48"/>
      <c r="B235" s="48"/>
    </row>
    <row customHeight="1" ht="11.25">
      <c r="A236" s="48"/>
      <c r="B236" s="48"/>
    </row>
    <row customHeight="1" ht="11.25">
      <c r="A237" s="48"/>
      <c r="B237" s="48"/>
    </row>
    <row customHeight="1" ht="11.25">
      <c r="A238" s="48"/>
      <c r="B238" s="48"/>
    </row>
    <row customHeight="1" ht="11.25">
      <c r="A239" s="48"/>
      <c r="B239" s="48"/>
    </row>
    <row customHeight="1" ht="11.25">
      <c r="A240" s="48"/>
      <c r="B240" s="48"/>
    </row>
    <row customHeight="1" ht="11.25">
      <c r="A241" s="48"/>
      <c r="B241" s="48"/>
    </row>
    <row customHeight="1" ht="11.25">
      <c r="A242" s="48"/>
      <c r="B242" s="48"/>
    </row>
    <row customHeight="1" ht="11.25">
      <c r="A243" s="48"/>
      <c r="B243" s="48"/>
    </row>
    <row customHeight="1" ht="11.25">
      <c r="A244" s="48"/>
      <c r="B244" s="48"/>
    </row>
    <row customHeight="1" ht="11.25">
      <c r="A245" s="48"/>
      <c r="B245" s="48"/>
    </row>
    <row customHeight="1" ht="11.25">
      <c r="A246" s="48"/>
      <c r="B246" s="48"/>
    </row>
    <row customHeight="1" ht="11.25">
      <c r="A247" s="48"/>
      <c r="B247" s="48"/>
    </row>
    <row customHeight="1" ht="11.25">
      <c r="A248" s="48"/>
      <c r="B248" s="48"/>
    </row>
    <row customHeight="1" ht="11.25">
      <c r="A249" s="48"/>
      <c r="B249" s="48"/>
    </row>
    <row customHeight="1" ht="11.25">
      <c r="A250" s="48"/>
      <c r="B250" s="48"/>
    </row>
    <row customHeight="1" ht="11.25">
      <c r="A251" s="48"/>
      <c r="B251" s="48"/>
    </row>
    <row customHeight="1" ht="11.25">
      <c r="A252" s="48"/>
      <c r="B252" s="48"/>
    </row>
    <row customHeight="1" ht="11.25">
      <c r="A253" s="48"/>
      <c r="B253" s="48"/>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3C4A506-B0C8-5913-44E7-2F78B12CFE4C}"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2515" width="3.7109375" customWidth="1"/>
    <col min="2" max="2" style="2515" width="90.7109375" customWidth="1"/>
    <col min="3" max="4" style="2515" width="9.140625"/>
  </cols>
  <sheetData>
    <row customHeight="1" ht="11.25">
      <c r="B1" s="78" t="s">
        <v>5983</v>
      </c>
    </row>
    <row customHeight="1" ht="90">
      <c r="B2" s="79" t="s">
        <v>5984</v>
      </c>
    </row>
    <row customHeight="1" ht="67.5">
      <c r="B3" s="79" t="s">
        <v>5985</v>
      </c>
    </row>
    <row customHeight="1" ht="33.75">
      <c r="B4" s="79" t="s">
        <v>5986</v>
      </c>
    </row>
    <row customHeight="1" ht="11.25">
      <c r="B5" s="79" t="s">
        <v>5987</v>
      </c>
    </row>
    <row customHeight="1" ht="22.5">
      <c r="B6" s="79" t="s">
        <v>5988</v>
      </c>
    </row>
    <row customHeight="1" ht="22.5">
      <c r="B7" s="79" t="s">
        <v>5989</v>
      </c>
    </row>
    <row customHeight="1" ht="22.5">
      <c r="B8" s="79" t="s">
        <v>5990</v>
      </c>
    </row>
    <row customHeight="1" ht="22.5">
      <c r="B9" s="79" t="s">
        <v>5991</v>
      </c>
    </row>
    <row customHeight="1" ht="56.25">
      <c r="B10" s="79" t="s">
        <v>5992</v>
      </c>
    </row>
    <row customHeight="1" ht="12.75">
      <c r="B11" s="145" t="s">
        <v>5993</v>
      </c>
    </row>
    <row customHeight="1" ht="11.25">
      <c r="B12" s="78" t="s">
        <v>5994</v>
      </c>
    </row>
    <row customHeight="1" ht="22.5">
      <c r="B13" s="79" t="s">
        <v>5995</v>
      </c>
    </row>
    <row customHeight="1" ht="67.5">
      <c r="B14" s="79" t="s">
        <v>5996</v>
      </c>
    </row>
    <row customHeight="1" ht="22.5">
      <c r="B15" s="79" t="s">
        <v>5997</v>
      </c>
    </row>
    <row customHeight="1" ht="11.25">
      <c r="B16" s="78" t="s">
        <v>5998</v>
      </c>
      <c r="D16" s="86"/>
    </row>
    <row customHeight="1" ht="33.75">
      <c r="B17" s="79" t="s">
        <v>5999</v>
      </c>
    </row>
    <row customHeight="1" ht="33.75">
      <c r="B18" s="79" t="s">
        <v>6000</v>
      </c>
    </row>
    <row customHeight="1" ht="11.25">
      <c r="B19" s="79" t="s">
        <v>6001</v>
      </c>
    </row>
    <row customHeight="1" ht="33.75">
      <c r="B20" s="79" t="s">
        <v>6002</v>
      </c>
    </row>
    <row customHeight="1" ht="11.25">
      <c r="B21" s="78" t="s">
        <v>6003</v>
      </c>
    </row>
    <row customHeight="1" ht="11.25">
      <c r="B22" s="79" t="s">
        <v>6004</v>
      </c>
    </row>
    <row r="24" customHeight="1" ht="22.5">
      <c r="B24" s="147" t="s">
        <v>6005</v>
      </c>
    </row>
    <row r="26" customHeight="1" ht="11.25">
      <c r="B26" s="78" t="s">
        <v>6006</v>
      </c>
    </row>
    <row customHeight="1" ht="22.5">
      <c r="B27" s="146" t="s">
        <v>391</v>
      </c>
    </row>
    <row customHeight="1" ht="56.25">
      <c r="B28" s="146" t="s">
        <v>6007</v>
      </c>
    </row>
    <row customHeight="1" ht="11.25">
      <c r="B29" s="196" t="s">
        <v>6008</v>
      </c>
    </row>
    <row customHeight="1" ht="22.5">
      <c r="B30" s="146" t="s">
        <v>6009</v>
      </c>
    </row>
    <row r="32" customHeight="1" ht="11.25">
      <c r="A32" s="174"/>
      <c r="B32" s="175" t="s">
        <v>6010</v>
      </c>
    </row>
    <row customHeight="1" ht="14.25">
      <c r="A33" s="176">
        <v>1</v>
      </c>
      <c r="B33" s="177" t="s">
        <v>6011</v>
      </c>
    </row>
    <row customHeight="1" ht="14.25">
      <c r="A34" s="176">
        <v>2</v>
      </c>
      <c r="B34" s="177" t="s">
        <v>6012</v>
      </c>
    </row>
    <row customHeight="1" ht="11.25">
      <c r="B35" s="175" t="s">
        <v>6013</v>
      </c>
    </row>
    <row customHeight="1" ht="11.25">
      <c r="B36" s="177" t="s">
        <v>6014</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1913</vt:i4>
      </vt:variant>
    </vt:vector>
  </HeadingPairs>
  <TitlesOfParts>
    <vt:vector size="1914"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pt_cs_3</vt:lpstr>
      <vt:lpstr>pt_cs_4</vt:lpstr>
      <vt:lpstr>pt_cs_4i</vt:lpstr>
      <vt:lpstr>pt_cs_4p</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pt_ist_te_3</vt:lpstr>
      <vt:lpstr>pt_ist_te_4</vt:lpstr>
      <vt:lpstr>pt_ist_te_4i</vt:lpstr>
      <vt:lpstr>pt_ist_te_4p</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pt_ntar_3</vt:lpstr>
      <vt:lpstr>pt_ntar_4</vt:lpstr>
      <vt:lpstr>pt_ntar_4i</vt:lpstr>
      <vt:lpstr>pt_ntar_4p</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pt_ter_3</vt:lpstr>
      <vt:lpstr>pt_ter_4</vt:lpstr>
      <vt:lpstr>pt_ter_4i</vt:lpstr>
      <vt:lpstr>pt_ter_4p</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ROIV_CASE_DEL_HL_CASE_COLUMN_MARKER</vt:lpstr>
      <vt:lpstr>ROIV_CASE_NUM_CASE_COLUMN_MARKER</vt:lpstr>
      <vt:lpstr>ROIV_INFO_DEL_HL_PHONE_COLUMN_MARKER</vt:lpstr>
      <vt:lpstr>ROIV_INFO_LIST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2023-10-08T20:57:54Z</dcterms:modified>
</cp:coreProperties>
</file>

<file path=docProps/custom.xml><?xml version="1.0" encoding="utf-8"?>
<Properties xmlns="http://schemas.openxmlformats.org/officeDocument/2006/custom-properties" xmlns:vt="http://schemas.openxmlformats.org/officeDocument/2006/docPropsVTypes"/>
</file>