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72.20.14.200\obmen\PC-47\ДОКУМЕНТЫ ПТО\ЕИАС МОНИТОРИНГ\2025 год СТС\2 квартал\На размещение\"/>
    </mc:Choice>
  </mc:AlternateContent>
  <xr:revisionPtr revIDLastSave="0" documentId="13_ncr:1_{33C858C7-A6FB-4BF2-A044-9B8E4DC6CE6D}"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M34" i="63"/>
  <c r="K34" i="63"/>
  <c r="N34" i="63" s="1"/>
  <c r="J34" i="63"/>
  <c r="I34" i="63"/>
  <c r="L34" i="63" s="1"/>
  <c r="T33" i="63"/>
  <c r="N33" i="63"/>
  <c r="L33" i="63"/>
  <c r="K33" i="63"/>
  <c r="J33" i="63"/>
  <c r="M33" i="63" s="1"/>
  <c r="I33" i="63"/>
  <c r="T32" i="63"/>
  <c r="J32" i="63" s="1"/>
  <c r="M32" i="63" s="1"/>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s="1"/>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48" i="61" s="1"/>
  <c r="I29" i="61"/>
  <c r="I23" i="61"/>
  <c r="O19" i="61"/>
  <c r="M19" i="61" a="1"/>
  <c r="M19" i="61"/>
  <c r="F19" i="61"/>
  <c r="O14" i="61"/>
  <c r="M14" i="61" a="1"/>
  <c r="M14" i="61"/>
  <c r="F14" i="61"/>
  <c r="E14" i="61"/>
  <c r="E13" i="61"/>
  <c r="G13" i="61" s="1"/>
  <c r="F13" i="56"/>
  <c r="E7" i="56"/>
  <c r="F2" i="56"/>
  <c r="P10" i="55" a="1"/>
  <c r="P10" i="55" s="1"/>
  <c r="M10" i="55"/>
  <c r="L10" i="55"/>
  <c r="R10" i="55" s="1"/>
  <c r="K8" i="55"/>
  <c r="R2" i="55"/>
  <c r="P2" i="55" a="1"/>
  <c r="P2" i="55" s="1"/>
  <c r="M2" i="55"/>
  <c r="P10" i="54" a="1"/>
  <c r="P10" i="54" s="1"/>
  <c r="M10" i="54"/>
  <c r="F10" i="54"/>
  <c r="K8" i="54"/>
  <c r="J8" i="54"/>
  <c r="G8" i="54"/>
  <c r="F8" i="54"/>
  <c r="L10" i="54" s="1"/>
  <c r="R10" i="54" s="1"/>
  <c r="R2" i="54"/>
  <c r="P2" i="54" a="1"/>
  <c r="P2" i="54"/>
  <c r="M2" i="54"/>
  <c r="P9" i="53"/>
  <c r="N9" i="53" a="1"/>
  <c r="N9" i="53" s="1"/>
  <c r="J9" i="53"/>
  <c r="E5" i="53"/>
  <c r="P2" i="53"/>
  <c r="N2" i="53" a="1"/>
  <c r="N2" i="53"/>
  <c r="G24" i="52"/>
  <c r="E24" i="52"/>
  <c r="G12" i="52"/>
  <c r="F12" i="52"/>
  <c r="F2" i="55" s="1"/>
  <c r="E12" i="52"/>
  <c r="D6" i="52"/>
  <c r="BA115" i="51"/>
  <c r="BA114" i="51"/>
  <c r="BA113" i="51"/>
  <c r="BA102" i="51"/>
  <c r="BA100" i="51"/>
  <c r="BA99" i="51"/>
  <c r="I53" i="51"/>
  <c r="H53" i="51"/>
  <c r="G53" i="51"/>
  <c r="I52" i="51"/>
  <c r="I51" i="51"/>
  <c r="I50" i="51"/>
  <c r="H50" i="51"/>
  <c r="G50" i="51"/>
  <c r="I49" i="51"/>
  <c r="H49" i="51"/>
  <c r="G49" i="51"/>
  <c r="I48" i="51"/>
  <c r="H48" i="51"/>
  <c r="G48" i="51"/>
  <c r="I47" i="51"/>
  <c r="H47" i="51"/>
  <c r="F29" i="51" s="1"/>
  <c r="G47" i="51"/>
  <c r="I46" i="51"/>
  <c r="K45" i="51"/>
  <c r="I45" i="51"/>
  <c r="G44" i="51"/>
  <c r="H52" i="51" s="1"/>
  <c r="G36" i="51"/>
  <c r="E31" i="62" s="1"/>
  <c r="F36" i="51"/>
  <c r="U15" i="63" s="1"/>
  <c r="F32" i="51"/>
  <c r="E32" i="51"/>
  <c r="E29" i="51"/>
  <c r="L6"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7" i="43"/>
  <c r="H46" i="43"/>
  <c r="H45" i="43"/>
  <c r="I44" i="43"/>
  <c r="H44" i="43"/>
  <c r="H43" i="43"/>
  <c r="H42" i="43"/>
  <c r="H41" i="43"/>
  <c r="H40" i="43"/>
  <c r="I39" i="43"/>
  <c r="H39" i="43" s="1"/>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K68" i="33"/>
  <c r="J68" i="33"/>
  <c r="L68" i="33" s="1"/>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I31" i="33" s="1"/>
  <c r="I136" i="33" s="1"/>
  <c r="J33" i="33"/>
  <c r="I33" i="33"/>
  <c r="H33" i="33"/>
  <c r="F33" i="33"/>
  <c r="E33" i="33"/>
  <c r="J32" i="33"/>
  <c r="F32" i="33"/>
  <c r="E32" i="33"/>
  <c r="K32" i="33" s="1"/>
  <c r="J31" i="33"/>
  <c r="H31" i="33"/>
  <c r="H136" i="33" s="1"/>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K7" i="31"/>
  <c r="S7" i="31" s="1"/>
  <c r="AV6" i="31"/>
  <c r="J6" i="31"/>
  <c r="S6" i="31" s="1"/>
  <c r="AV5" i="31"/>
  <c r="I5" i="31"/>
  <c r="S5"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J6" i="30"/>
  <c r="S6" i="30" s="1"/>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J6" i="27"/>
  <c r="S6" i="27" s="1"/>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J6"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D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K8" i="13"/>
  <c r="S8" i="13" s="1"/>
  <c r="AP7" i="13"/>
  <c r="J7" i="13"/>
  <c r="S7"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D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K8" i="11"/>
  <c r="S8" i="11" s="1"/>
  <c r="AP7" i="11"/>
  <c r="J7" i="11"/>
  <c r="S7"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S44" i="21" s="1"/>
  <c r="AO79" i="5"/>
  <c r="S42" i="21" s="1"/>
  <c r="AN79" i="5"/>
  <c r="S41" i="21" s="1"/>
  <c r="AM79" i="5"/>
  <c r="AL79" i="5"/>
  <c r="AC43" i="21" s="1"/>
  <c r="AK79" i="5"/>
  <c r="AC42" i="21" s="1"/>
  <c r="AJ79" i="5"/>
  <c r="AI79" i="5"/>
  <c r="AH79" i="5"/>
  <c r="AQ63" i="5"/>
  <c r="S46" i="13" s="1"/>
  <c r="I47" i="13" s="1"/>
  <c r="AP63" i="5"/>
  <c r="S45" i="13" s="1"/>
  <c r="AO63" i="5"/>
  <c r="S44" i="14" s="1"/>
  <c r="AN63" i="5"/>
  <c r="S43" i="14" s="1"/>
  <c r="AM63" i="5"/>
  <c r="AD46" i="13" s="1"/>
  <c r="AL63" i="5"/>
  <c r="AD45" i="14"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B45" i="20" s="1"/>
  <c r="AI53" i="5"/>
  <c r="AH53" i="5"/>
  <c r="AQ48" i="5"/>
  <c r="S46" i="15" s="1"/>
  <c r="I47" i="15" s="1"/>
  <c r="AP48" i="5"/>
  <c r="S45" i="15" s="1"/>
  <c r="AO48" i="5"/>
  <c r="S44" i="15" s="1"/>
  <c r="AN48" i="5"/>
  <c r="S43" i="15" s="1"/>
  <c r="AM48" i="5"/>
  <c r="AD46" i="15" s="1"/>
  <c r="AL48" i="5"/>
  <c r="AD45" i="15" s="1"/>
  <c r="AK48" i="5"/>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L18" i="5"/>
  <c r="AD45" i="12" s="1"/>
  <c r="AK18" i="5"/>
  <c r="AD44" i="12" s="1"/>
  <c r="AJ18" i="5"/>
  <c r="AI18" i="5"/>
  <c r="AH18" i="5"/>
  <c r="AQ13" i="5"/>
  <c r="S46" i="11" s="1"/>
  <c r="I47" i="11" s="1"/>
  <c r="AP13" i="5"/>
  <c r="S45" i="11" s="1"/>
  <c r="AO13" i="5"/>
  <c r="S44" i="11" s="1"/>
  <c r="AN13" i="5"/>
  <c r="S43" i="11" s="1"/>
  <c r="AM13" i="5"/>
  <c r="AD46" i="11" s="1"/>
  <c r="AL13" i="5"/>
  <c r="AD45" i="11" s="1"/>
  <c r="AK13" i="5"/>
  <c r="AJ13" i="5"/>
  <c r="AI13" i="5"/>
  <c r="AH13" i="5"/>
  <c r="D6" i="5"/>
  <c r="D5" i="5"/>
  <c r="R13" i="4"/>
  <c r="P13" i="4"/>
  <c r="E13" i="4"/>
  <c r="E7" i="4"/>
  <c r="D5" i="4"/>
  <c r="O13" i="3"/>
  <c r="M13" i="3" a="1"/>
  <c r="M13" i="3" s="1"/>
  <c r="J13" i="3"/>
  <c r="E13" i="3"/>
  <c r="E12" i="3"/>
  <c r="G12" i="3" s="1"/>
  <c r="I13" i="4" s="1"/>
  <c r="Q13" i="4" s="1"/>
  <c r="E4" i="3"/>
  <c r="E59" i="2"/>
  <c r="E49" i="2"/>
  <c r="E41" i="2"/>
  <c r="E31" i="2"/>
  <c r="E27" i="2"/>
  <c r="E26" i="2"/>
  <c r="F25" i="2"/>
  <c r="E22" i="2"/>
  <c r="E21" i="2"/>
  <c r="F20" i="2"/>
  <c r="E19" i="2"/>
  <c r="I9" i="2"/>
  <c r="E3" i="2"/>
  <c r="E2" i="2"/>
  <c r="G52" i="51" l="1"/>
  <c r="H46" i="51"/>
  <c r="G51" i="51"/>
  <c r="I8" i="39"/>
  <c r="H15" i="34"/>
  <c r="I11" i="38"/>
  <c r="I11" i="37"/>
  <c r="I10" i="50"/>
  <c r="I27" i="40"/>
  <c r="M11" i="35"/>
  <c r="I26" i="33"/>
  <c r="H10" i="45"/>
  <c r="S44" i="24"/>
  <c r="J45" i="24"/>
  <c r="S47" i="11"/>
  <c r="J48" i="11"/>
  <c r="K55" i="19"/>
  <c r="U54" i="19"/>
  <c r="I47" i="18"/>
  <c r="J48" i="18"/>
  <c r="J50" i="20"/>
  <c r="K51" i="20"/>
  <c r="S51" i="20" s="1"/>
  <c r="I49" i="20"/>
  <c r="S47" i="13"/>
  <c r="J48" i="13"/>
  <c r="S5" i="21"/>
  <c r="J6" i="21"/>
  <c r="J45" i="23"/>
  <c r="S44" i="23"/>
  <c r="D36" i="7"/>
  <c r="D37" i="7"/>
  <c r="D38" i="7" s="1"/>
  <c r="D39" i="7" s="1"/>
  <c r="D34" i="7"/>
  <c r="D35" i="7"/>
  <c r="J48" i="12"/>
  <c r="S47" i="12"/>
  <c r="I47" i="17"/>
  <c r="J48" i="17"/>
  <c r="S47" i="15"/>
  <c r="J48" i="15"/>
  <c r="J7" i="15"/>
  <c r="S6" i="15"/>
  <c r="K8" i="16"/>
  <c r="S8" i="16" s="1"/>
  <c r="S7" i="16"/>
  <c r="K8" i="17"/>
  <c r="S8" i="17" s="1"/>
  <c r="S7" i="17"/>
  <c r="K8" i="18"/>
  <c r="S8" i="18" s="1"/>
  <c r="S7" i="18"/>
  <c r="K8" i="19"/>
  <c r="U7" i="19"/>
  <c r="F212" i="48"/>
  <c r="F90" i="48"/>
  <c r="F273" i="48"/>
  <c r="F151" i="48"/>
  <c r="F27" i="48"/>
  <c r="G218" i="48"/>
  <c r="G96" i="48"/>
  <c r="G279" i="48"/>
  <c r="G157" i="48"/>
  <c r="G33" i="48"/>
  <c r="F294" i="48"/>
  <c r="F172" i="48"/>
  <c r="F48" i="48"/>
  <c r="F233" i="48"/>
  <c r="F111" i="48"/>
  <c r="G312" i="48"/>
  <c r="G190" i="48"/>
  <c r="G66" i="48"/>
  <c r="G251" i="48"/>
  <c r="G129" i="48"/>
  <c r="AG42" i="30"/>
  <c r="F254" i="48"/>
  <c r="F132" i="48"/>
  <c r="F315" i="48"/>
  <c r="F193" i="48"/>
  <c r="F69" i="48"/>
  <c r="G212" i="48"/>
  <c r="G90" i="48"/>
  <c r="G273" i="48"/>
  <c r="G151" i="48"/>
  <c r="G27" i="48"/>
  <c r="G282" i="48"/>
  <c r="G160" i="48"/>
  <c r="G36" i="48"/>
  <c r="G221" i="48"/>
  <c r="G99" i="48"/>
  <c r="F224" i="48"/>
  <c r="F102" i="48"/>
  <c r="F285" i="48"/>
  <c r="F163" i="48"/>
  <c r="F39" i="48"/>
  <c r="G288" i="48"/>
  <c r="G166" i="48"/>
  <c r="G42" i="48"/>
  <c r="G227" i="48"/>
  <c r="G105" i="48"/>
  <c r="F230" i="48"/>
  <c r="F108" i="48"/>
  <c r="F291" i="48"/>
  <c r="F169" i="48"/>
  <c r="F45" i="48"/>
  <c r="G294" i="48"/>
  <c r="G172" i="48"/>
  <c r="G48" i="48"/>
  <c r="G233" i="48"/>
  <c r="G111" i="48"/>
  <c r="AC42" i="25"/>
  <c r="G236" i="48"/>
  <c r="G114" i="48"/>
  <c r="G297" i="48"/>
  <c r="G175" i="48"/>
  <c r="G51" i="48"/>
  <c r="F300" i="48"/>
  <c r="F178" i="48"/>
  <c r="F54" i="48"/>
  <c r="F239" i="48"/>
  <c r="F117" i="48"/>
  <c r="J45" i="22"/>
  <c r="S44" i="22"/>
  <c r="G242" i="48"/>
  <c r="G120" i="48"/>
  <c r="G303" i="48"/>
  <c r="G181" i="48"/>
  <c r="G57" i="48"/>
  <c r="AC41" i="23"/>
  <c r="F306" i="48"/>
  <c r="F184" i="48"/>
  <c r="F60" i="48"/>
  <c r="F245" i="48"/>
  <c r="F123" i="48"/>
  <c r="G248" i="48"/>
  <c r="G126" i="48"/>
  <c r="G309" i="48"/>
  <c r="G187" i="48"/>
  <c r="G63" i="48"/>
  <c r="AD46" i="26"/>
  <c r="F312" i="48"/>
  <c r="F190" i="48"/>
  <c r="F66" i="48"/>
  <c r="F251" i="48"/>
  <c r="F129" i="48"/>
  <c r="J46" i="30"/>
  <c r="S45" i="30"/>
  <c r="G254" i="48"/>
  <c r="G132" i="48"/>
  <c r="G315" i="48"/>
  <c r="G193" i="48"/>
  <c r="G69" i="48"/>
  <c r="AG42" i="31"/>
  <c r="F318" i="48"/>
  <c r="F196" i="48"/>
  <c r="F72" i="48"/>
  <c r="F257" i="48"/>
  <c r="F135" i="48"/>
  <c r="G260" i="48"/>
  <c r="G138" i="48"/>
  <c r="G321" i="48"/>
  <c r="G199" i="48"/>
  <c r="G75" i="48"/>
  <c r="AC41" i="27"/>
  <c r="F324" i="48"/>
  <c r="F202" i="48"/>
  <c r="F78" i="48"/>
  <c r="F263" i="48"/>
  <c r="F141" i="48"/>
  <c r="J45" i="28"/>
  <c r="S44" i="28"/>
  <c r="G266" i="48"/>
  <c r="G144" i="48"/>
  <c r="G327" i="48"/>
  <c r="G205" i="48"/>
  <c r="G81" i="48"/>
  <c r="AD46" i="29"/>
  <c r="D21" i="7"/>
  <c r="AD43" i="12"/>
  <c r="AD43" i="14"/>
  <c r="S46" i="16"/>
  <c r="J45" i="21"/>
  <c r="G224" i="48"/>
  <c r="G102" i="48"/>
  <c r="G285" i="48"/>
  <c r="G163" i="48"/>
  <c r="G39" i="48"/>
  <c r="F236" i="48"/>
  <c r="F114" i="48"/>
  <c r="F297" i="48"/>
  <c r="F175" i="48"/>
  <c r="F51" i="48"/>
  <c r="G300" i="48"/>
  <c r="G178" i="48"/>
  <c r="G54" i="48"/>
  <c r="G239" i="48"/>
  <c r="G117" i="48"/>
  <c r="AC41" i="22"/>
  <c r="G306" i="48"/>
  <c r="G184" i="48"/>
  <c r="G60" i="48"/>
  <c r="G245" i="48"/>
  <c r="G123" i="48"/>
  <c r="AC41" i="24"/>
  <c r="F248" i="48"/>
  <c r="F126" i="48"/>
  <c r="F309" i="48"/>
  <c r="F187" i="48"/>
  <c r="F63" i="48"/>
  <c r="F260" i="48"/>
  <c r="F138" i="48"/>
  <c r="F321" i="48"/>
  <c r="F199" i="48"/>
  <c r="F75" i="48"/>
  <c r="F209" i="48"/>
  <c r="F87" i="48"/>
  <c r="F270" i="48"/>
  <c r="F148" i="48"/>
  <c r="F24" i="48"/>
  <c r="O19" i="64"/>
  <c r="G276" i="48"/>
  <c r="G154" i="48"/>
  <c r="G30" i="48"/>
  <c r="G215" i="48"/>
  <c r="G93" i="48"/>
  <c r="F218" i="48"/>
  <c r="F96" i="48"/>
  <c r="F279" i="48"/>
  <c r="F157" i="48"/>
  <c r="F33" i="48"/>
  <c r="I11" i="50"/>
  <c r="H11" i="45"/>
  <c r="I28" i="40"/>
  <c r="M12" i="35"/>
  <c r="I12" i="38"/>
  <c r="I12" i="37"/>
  <c r="H16" i="34"/>
  <c r="I9" i="39"/>
  <c r="I27" i="33"/>
  <c r="D22" i="7"/>
  <c r="J7" i="12"/>
  <c r="S43" i="13"/>
  <c r="S44" i="13"/>
  <c r="AD45" i="13"/>
  <c r="J7" i="14"/>
  <c r="S46" i="14"/>
  <c r="I47" i="14" s="1"/>
  <c r="S45" i="16"/>
  <c r="AD46" i="16"/>
  <c r="AG49" i="19"/>
  <c r="I6" i="20"/>
  <c r="K8" i="20"/>
  <c r="S8" i="20" s="1"/>
  <c r="AC41" i="21"/>
  <c r="S5" i="22"/>
  <c r="J6" i="24"/>
  <c r="S45" i="31"/>
  <c r="J46" i="31"/>
  <c r="G318" i="48"/>
  <c r="G196" i="48"/>
  <c r="G72" i="48"/>
  <c r="G257" i="48"/>
  <c r="G135" i="48"/>
  <c r="AD46" i="32"/>
  <c r="D23" i="7"/>
  <c r="AD43" i="15"/>
  <c r="S43" i="16"/>
  <c r="S44" i="16"/>
  <c r="AD45" i="16"/>
  <c r="K7" i="22"/>
  <c r="S7" i="22" s="1"/>
  <c r="S6" i="22"/>
  <c r="S5" i="23"/>
  <c r="J6" i="23"/>
  <c r="J6" i="28"/>
  <c r="S5" i="28"/>
  <c r="G2" i="48"/>
  <c r="G270" i="48"/>
  <c r="G148" i="48"/>
  <c r="G24" i="48"/>
  <c r="G5" i="48"/>
  <c r="G209" i="48"/>
  <c r="G87" i="48"/>
  <c r="F276" i="48"/>
  <c r="F154" i="48"/>
  <c r="F30" i="48"/>
  <c r="F215" i="48"/>
  <c r="F93" i="48"/>
  <c r="F282" i="48"/>
  <c r="F160" i="48"/>
  <c r="F36" i="48"/>
  <c r="F221" i="48"/>
  <c r="F99" i="48"/>
  <c r="F288" i="48"/>
  <c r="F166" i="48"/>
  <c r="F42" i="48"/>
  <c r="F227" i="48"/>
  <c r="F105" i="48"/>
  <c r="G230" i="48"/>
  <c r="G108" i="48"/>
  <c r="G291" i="48"/>
  <c r="G169" i="48"/>
  <c r="G45" i="48"/>
  <c r="F242" i="48"/>
  <c r="F120" i="48"/>
  <c r="F303" i="48"/>
  <c r="F181" i="48"/>
  <c r="F57" i="48"/>
  <c r="S44" i="27"/>
  <c r="J45" i="27"/>
  <c r="G324" i="48"/>
  <c r="G202" i="48"/>
  <c r="G78" i="48"/>
  <c r="G263" i="48"/>
  <c r="G141" i="48"/>
  <c r="AC41" i="28"/>
  <c r="F266" i="48"/>
  <c r="F144" i="48"/>
  <c r="F327" i="48"/>
  <c r="F205" i="48"/>
  <c r="F81" i="48"/>
  <c r="AD43" i="11"/>
  <c r="I9" i="50"/>
  <c r="H9" i="45"/>
  <c r="I26" i="40"/>
  <c r="M10" i="35"/>
  <c r="H14" i="34"/>
  <c r="I10" i="38"/>
  <c r="I10" i="37"/>
  <c r="I25" i="33"/>
  <c r="I7" i="39"/>
  <c r="L23" i="64"/>
  <c r="G24" i="64"/>
  <c r="K48" i="25"/>
  <c r="S48" i="25" s="1"/>
  <c r="I46" i="25"/>
  <c r="J47" i="25"/>
  <c r="AD43" i="16"/>
  <c r="AD44" i="16"/>
  <c r="AD43" i="17"/>
  <c r="AD43" i="18"/>
  <c r="I48" i="43"/>
  <c r="H48" i="43" s="1"/>
  <c r="H49" i="43"/>
  <c r="K7" i="27"/>
  <c r="S7" i="27" s="1"/>
  <c r="K7" i="30"/>
  <c r="S7" i="30" s="1"/>
  <c r="I36" i="43"/>
  <c r="H36" i="43" s="1"/>
  <c r="G46" i="51"/>
  <c r="H51" i="51"/>
  <c r="D5" i="52"/>
  <c r="E5" i="54"/>
  <c r="E5" i="55"/>
  <c r="D51" i="61"/>
  <c r="E30" i="62"/>
  <c r="E32" i="62"/>
  <c r="AA12" i="63"/>
  <c r="E4" i="62"/>
  <c r="AA11" i="63"/>
  <c r="I38" i="43"/>
  <c r="U148" i="63"/>
  <c r="AA15" i="63"/>
  <c r="J49" i="51"/>
  <c r="J50" i="51"/>
  <c r="J51" i="51"/>
  <c r="J52" i="51"/>
  <c r="F10" i="55"/>
  <c r="E6" i="62"/>
  <c r="E29" i="62"/>
  <c r="U14" i="63"/>
  <c r="J46" i="51"/>
  <c r="J47" i="51"/>
  <c r="J45" i="51" s="1"/>
  <c r="E5" i="2" s="1"/>
  <c r="F2" i="54"/>
  <c r="E3" i="62"/>
  <c r="E5" i="62"/>
  <c r="AA13" i="63"/>
  <c r="AA16" i="63"/>
  <c r="K7" i="28" l="1"/>
  <c r="S7" i="28" s="1"/>
  <c r="S6" i="28"/>
  <c r="S48" i="15"/>
  <c r="K49" i="15"/>
  <c r="S49" i="15" s="1"/>
  <c r="K7" i="21"/>
  <c r="S7" i="21" s="1"/>
  <c r="S6" i="21"/>
  <c r="S45" i="27"/>
  <c r="K46" i="27"/>
  <c r="S46" i="27" s="1"/>
  <c r="K7" i="23"/>
  <c r="S7" i="23" s="1"/>
  <c r="S6" i="23"/>
  <c r="K49" i="12"/>
  <c r="S49" i="12" s="1"/>
  <c r="S48" i="12"/>
  <c r="K46" i="24"/>
  <c r="S46" i="24" s="1"/>
  <c r="S45" i="24"/>
  <c r="D43" i="7"/>
  <c r="D44" i="7" s="1"/>
  <c r="D45" i="7" s="1"/>
  <c r="D41" i="7"/>
  <c r="D40" i="7"/>
  <c r="D4" i="4"/>
  <c r="B5" i="1"/>
  <c r="I58" i="43"/>
  <c r="H58" i="43" s="1"/>
  <c r="H38" i="43"/>
  <c r="H25" i="64"/>
  <c r="L25" i="64" s="1"/>
  <c r="L24" i="64"/>
  <c r="S6" i="24"/>
  <c r="K7" i="24"/>
  <c r="S7" i="24" s="1"/>
  <c r="J48" i="14"/>
  <c r="S47" i="14"/>
  <c r="S45" i="21"/>
  <c r="K46" i="21"/>
  <c r="S46" i="21" s="1"/>
  <c r="S45" i="28"/>
  <c r="K46" i="28"/>
  <c r="S46" i="28" s="1"/>
  <c r="K47" i="30"/>
  <c r="S47" i="30" s="1"/>
  <c r="S46" i="30"/>
  <c r="S45" i="22"/>
  <c r="K46" i="22"/>
  <c r="S46" i="22" s="1"/>
  <c r="S48" i="17"/>
  <c r="K49" i="17"/>
  <c r="S49" i="17" s="1"/>
  <c r="K49" i="13"/>
  <c r="S49" i="13" s="1"/>
  <c r="S48" i="13"/>
  <c r="U55" i="19"/>
  <c r="L56" i="19"/>
  <c r="U56" i="19" s="1"/>
  <c r="K47" i="31"/>
  <c r="S47" i="31" s="1"/>
  <c r="S46" i="31"/>
  <c r="S7" i="14"/>
  <c r="K8" i="14"/>
  <c r="S8" i="14" s="1"/>
  <c r="K8" i="12"/>
  <c r="S8" i="12" s="1"/>
  <c r="S7" i="12"/>
  <c r="I47" i="16"/>
  <c r="J48" i="16"/>
  <c r="L9" i="19"/>
  <c r="U9" i="19" s="1"/>
  <c r="U8" i="19"/>
  <c r="K8" i="15"/>
  <c r="S8" i="15" s="1"/>
  <c r="S7" i="15"/>
  <c r="K46" i="23"/>
  <c r="S46" i="23" s="1"/>
  <c r="S45" i="23"/>
  <c r="S48" i="18"/>
  <c r="K49" i="18"/>
  <c r="S49" i="18" s="1"/>
  <c r="S48" i="11"/>
  <c r="K49" i="11"/>
  <c r="S49" i="11" s="1"/>
  <c r="D51" i="7" l="1"/>
  <c r="D46" i="7"/>
  <c r="D49" i="7"/>
  <c r="D48" i="7"/>
  <c r="D47" i="7"/>
  <c r="S48" i="16"/>
  <c r="K49" i="16"/>
  <c r="S49" i="16" s="1"/>
  <c r="K49" i="14"/>
  <c r="S49" i="14" s="1"/>
  <c r="S4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<sst xmlns="http://schemas.openxmlformats.org/spreadsheetml/2006/main" count="12202" uniqueCount="3111">
  <si>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</si>
  <si>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</si>
  <si>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</si>
  <si>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</si>
  <si>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</si>
  <si>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</si>
  <si>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</si>
  <si>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</si>
  <si>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</si>
  <si>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</si>
  <si>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</si>
  <si>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</si>
  <si>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</si>
  <si>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27568933</t>
  </si>
  <si>
    <t>Flag_Row_Size</t>
  </si>
  <si>
    <t>Субъект РФ</t>
  </si>
  <si>
    <t>Республика Хакасия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</si>
  <si>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</si>
  <si>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</si>
  <si>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</si>
  <si>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</si>
  <si>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</si>
  <si>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</si>
  <si>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</si>
  <si>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</si>
  <si>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</si>
  <si>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</si>
  <si>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</si>
  <si>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</si>
  <si>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</si>
  <si>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</si>
  <si>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</si>
  <si>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</si>
  <si>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</si>
  <si>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</si>
  <si>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</si>
  <si>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</si>
  <si>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</si>
  <si>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</si>
  <si>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</si>
  <si>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</si>
  <si>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</si>
  <si>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</si>
  <si>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</si>
  <si>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</si>
  <si>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</si>
  <si>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ОП АО "Байкалэнерго" - "Саяногорские тепловые сети"</t>
  </si>
  <si>
    <t>Наименование (описание) обособленного подразделения</t>
  </si>
  <si>
    <t>ИНН</t>
  </si>
  <si>
    <t>3808108339</t>
  </si>
  <si>
    <t>КПП</t>
  </si>
  <si>
    <t>190245001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</si>
  <si>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</si>
  <si>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</si>
  <si>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</si>
  <si>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</si>
  <si>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</si>
  <si>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</si>
  <si>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</si>
  <si>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</si>
  <si>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</si>
  <si>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</si>
  <si>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</si>
  <si>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</si>
  <si>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</si>
  <si>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</si>
  <si>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</si>
  <si>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</si>
  <si>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</si>
  <si>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</si>
  <si>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Р.Х. г.Саяногорск</t>
  </si>
  <si>
    <t>Фамилия, имя, отчество руководителя</t>
  </si>
  <si>
    <t>Ответственный за заполнение формы</t>
  </si>
  <si>
    <t>Фамилия, имя, отчество</t>
  </si>
  <si>
    <t>Должность</t>
  </si>
  <si>
    <t>Ведущий инженер ПТО</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</si>
  <si>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</si>
  <si>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</si>
  <si>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</si>
  <si>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</si>
  <si>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</si>
  <si>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</si>
  <si>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</si>
  <si>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</si>
  <si>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</si>
  <si>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</si>
  <si>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</si>
  <si>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</si>
  <si>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</si>
  <si>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</si>
  <si>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</si>
  <si>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</si>
  <si>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</si>
  <si>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</si>
  <si>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</si>
  <si>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99</t>
  </si>
  <si>
    <t>город Саяногорск</t>
  </si>
  <si>
    <t>95708000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</si>
  <si>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</si>
  <si>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</si>
  <si>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</si>
  <si>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</si>
  <si>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</si>
  <si>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</si>
  <si>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</si>
  <si>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</si>
  <si>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</si>
  <si>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</si>
  <si>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</si>
  <si>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</si>
  <si>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</si>
  <si>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</si>
  <si>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</si>
  <si>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</si>
  <si>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</si>
  <si>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</si>
  <si>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</si>
  <si>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</si>
  <si>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</si>
  <si>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</si>
  <si>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</si>
  <si>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</si>
  <si>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</si>
  <si>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</si>
  <si>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</si>
  <si>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</si>
  <si>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</si>
  <si>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</si>
  <si>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</si>
  <si>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</si>
  <si>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</si>
  <si>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</si>
  <si>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</si>
  <si>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</si>
  <si>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</si>
  <si>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</si>
  <si>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</si>
  <si>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</si>
  <si>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</si>
  <si>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</si>
  <si>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</si>
  <si>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</si>
  <si>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</si>
  <si>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</si>
  <si>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</si>
  <si>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</si>
  <si>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</si>
  <si>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</si>
  <si>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</si>
  <si>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</si>
  <si>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</si>
  <si>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</si>
  <si>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</si>
  <si>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</si>
  <si>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</si>
  <si>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</si>
  <si>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</si>
  <si>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</si>
  <si>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</si>
  <si>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</si>
  <si>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</si>
  <si>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</si>
  <si>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</si>
  <si>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</si>
  <si>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</si>
  <si>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</si>
  <si>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</si>
  <si>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</si>
  <si>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</si>
  <si>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</si>
  <si>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</si>
  <si>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</si>
  <si>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</si>
  <si>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</si>
  <si>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</si>
  <si>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</si>
  <si>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</si>
  <si>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</si>
  <si>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</si>
  <si>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</si>
  <si>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</si>
  <si>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</si>
  <si>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</si>
  <si>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</si>
  <si>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</si>
  <si>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</si>
  <si>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</si>
  <si>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</si>
  <si>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</si>
  <si>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</si>
  <si>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</si>
  <si>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</si>
  <si>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</si>
  <si>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</si>
  <si>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</si>
  <si>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</si>
  <si>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</si>
  <si>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</si>
  <si>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</si>
  <si>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</si>
  <si>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</si>
  <si>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</si>
  <si>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</si>
  <si>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</si>
  <si>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</si>
  <si>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</si>
  <si>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</si>
  <si>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</si>
  <si>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</si>
  <si>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</si>
  <si>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</si>
  <si>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</si>
  <si>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</si>
  <si>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</si>
  <si>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</si>
  <si>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</si>
  <si>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</si>
  <si>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</si>
  <si>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</si>
  <si>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</si>
  <si>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</si>
  <si>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</si>
  <si>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</si>
  <si>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</si>
  <si>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</si>
  <si>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</si>
  <si>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</si>
  <si>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</si>
  <si>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</si>
  <si>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</si>
  <si>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</si>
  <si>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</si>
  <si>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</si>
  <si>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</si>
  <si>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</si>
  <si>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</si>
  <si>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</si>
  <si>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</si>
  <si>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</si>
  <si>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</si>
  <si>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</si>
  <si>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</si>
  <si>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</si>
  <si>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</si>
  <si>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</si>
  <si>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</si>
  <si>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</si>
  <si>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</si>
  <si>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</si>
  <si>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</si>
  <si>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</si>
  <si>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</si>
  <si>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</si>
  <si>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</si>
  <si>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</si>
  <si>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</si>
  <si>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</si>
  <si>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</si>
  <si>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</si>
  <si>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</si>
  <si>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</si>
  <si>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</si>
  <si>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</si>
  <si>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</si>
  <si>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</si>
  <si>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</si>
  <si>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</si>
  <si>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</si>
  <si>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</si>
  <si>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</si>
  <si>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</si>
  <si>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</si>
  <si>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</si>
  <si>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</si>
  <si>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</si>
  <si>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</si>
  <si>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</si>
  <si>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</si>
  <si>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</si>
  <si>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</si>
  <si>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</si>
  <si>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</si>
  <si>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</si>
  <si>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</si>
  <si>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</si>
  <si>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</si>
  <si>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</si>
  <si>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</si>
  <si>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</si>
  <si>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</si>
  <si>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</si>
  <si>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</si>
  <si>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</si>
  <si>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</si>
  <si>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</si>
  <si>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</si>
  <si>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</si>
  <si>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</si>
  <si>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</si>
  <si>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</si>
  <si>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</si>
  <si>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</si>
  <si>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</si>
  <si>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</si>
  <si>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</si>
  <si>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</si>
  <si>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</si>
  <si>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</si>
  <si>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</si>
  <si>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</si>
  <si>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</si>
  <si>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</si>
  <si>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</si>
  <si>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</si>
  <si>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</si>
  <si>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</si>
  <si>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</si>
  <si>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</si>
  <si>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</si>
  <si>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</si>
  <si>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</si>
  <si>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</si>
  <si>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</si>
  <si>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</si>
  <si>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</si>
  <si>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</si>
  <si>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</si>
  <si>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</si>
  <si>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</si>
  <si>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</si>
  <si>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</si>
  <si>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</si>
  <si>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</si>
  <si>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</si>
  <si>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</si>
  <si>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</si>
  <si>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</si>
  <si>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</si>
  <si>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</si>
  <si>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</si>
  <si>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</si>
  <si>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</si>
  <si>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</si>
  <si>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</si>
  <si>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</si>
  <si>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</si>
  <si>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</si>
  <si>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</si>
  <si>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</si>
  <si>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</si>
  <si>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</si>
  <si>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</si>
  <si>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</si>
  <si>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</si>
  <si>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</si>
  <si>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</si>
  <si>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</si>
  <si>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</si>
  <si>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</si>
  <si>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</si>
  <si>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</si>
  <si>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</si>
  <si>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</si>
  <si>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</si>
  <si>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</si>
  <si>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</si>
  <si>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</si>
  <si>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</si>
  <si>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</si>
  <si>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</si>
  <si>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</si>
  <si>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</si>
  <si>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</si>
  <si>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</si>
  <si>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</si>
  <si>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</si>
  <si>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</si>
  <si>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</si>
  <si>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</si>
  <si>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</si>
  <si>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</si>
  <si>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</si>
  <si>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</si>
  <si>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</si>
  <si>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</si>
  <si>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</si>
  <si>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</si>
  <si>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</si>
  <si>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</si>
  <si>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</si>
  <si>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</si>
  <si>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</si>
  <si>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</si>
  <si>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</si>
  <si>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</si>
  <si>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</si>
  <si>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</si>
  <si>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</si>
  <si>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</si>
  <si>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</si>
  <si>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</si>
  <si>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</si>
  <si>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</si>
  <si>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</si>
  <si>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</si>
  <si>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</si>
  <si>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</si>
  <si>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</si>
  <si>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</si>
  <si>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</si>
  <si>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</si>
  <si>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</si>
  <si>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</si>
  <si>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</si>
  <si>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</si>
  <si>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</si>
  <si>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</si>
  <si>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</si>
  <si>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</si>
  <si>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</si>
  <si>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</si>
  <si>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</si>
  <si>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</si>
  <si>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</si>
  <si>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</si>
  <si>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</si>
  <si>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</si>
  <si>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</si>
  <si>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</si>
  <si>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</si>
  <si>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</si>
  <si>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</si>
  <si>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</si>
  <si>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</si>
  <si>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</si>
  <si>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</si>
  <si>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</si>
  <si>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</si>
  <si>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</si>
  <si>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</si>
  <si>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</si>
  <si>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</si>
  <si>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</si>
  <si>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</si>
  <si>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</si>
  <si>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</si>
  <si>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</si>
  <si>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</si>
  <si>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</si>
  <si>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</si>
  <si>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</si>
  <si>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</si>
  <si>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</si>
  <si>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</si>
  <si>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</si>
  <si>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</si>
  <si>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</si>
  <si>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</si>
  <si>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</si>
  <si>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</si>
  <si>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</si>
  <si>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</si>
  <si>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</si>
  <si>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</si>
  <si>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</si>
  <si>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</si>
  <si>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</si>
  <si>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</si>
  <si>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</si>
  <si>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</si>
  <si>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</si>
  <si>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</si>
  <si>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</si>
  <si>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</si>
  <si>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</si>
  <si>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</si>
  <si>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</si>
  <si>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</si>
  <si>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</si>
  <si>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</si>
  <si>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</si>
  <si>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</si>
  <si>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</si>
  <si>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</si>
  <si>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</si>
  <si>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</si>
  <si>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</si>
  <si>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</si>
  <si>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</si>
  <si>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</si>
  <si>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</si>
  <si>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</si>
  <si>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</si>
  <si>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</si>
  <si>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</si>
  <si>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</si>
  <si>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</si>
  <si>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</si>
  <si>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</si>
  <si>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</si>
  <si>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</si>
  <si>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</si>
  <si>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</si>
  <si>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</si>
  <si>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</si>
  <si>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</si>
  <si>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</si>
  <si>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</si>
  <si>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</si>
  <si>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</si>
  <si>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</si>
  <si>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</si>
  <si>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</si>
  <si>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</si>
  <si>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</si>
  <si>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</si>
  <si>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</si>
  <si>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</si>
  <si>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</si>
  <si>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</si>
  <si>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</si>
  <si>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</si>
  <si>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</si>
  <si>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</si>
  <si>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</si>
  <si>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</si>
  <si>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</si>
  <si>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</si>
  <si>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</si>
  <si>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</si>
  <si>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</si>
  <si>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</si>
  <si>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</si>
  <si>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</si>
  <si>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</si>
  <si>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</si>
  <si>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</si>
  <si>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</si>
  <si>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</si>
  <si>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</si>
  <si>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</si>
  <si>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</si>
  <si>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</si>
  <si>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</si>
  <si>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</si>
  <si>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</si>
  <si>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</si>
  <si>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</si>
  <si>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</si>
  <si>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</si>
  <si>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</si>
  <si>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</si>
  <si>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</si>
  <si>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</si>
  <si>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</si>
  <si>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</si>
  <si>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</si>
  <si>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</si>
  <si>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</si>
  <si>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</si>
  <si>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</si>
  <si>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</si>
  <si>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</si>
  <si>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</si>
  <si>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</si>
  <si>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</si>
  <si>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</si>
  <si>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</si>
  <si>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</si>
  <si>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</si>
  <si>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</si>
  <si>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</si>
  <si>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</si>
  <si>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</si>
  <si>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</si>
  <si>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</si>
  <si>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</si>
  <si>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</si>
  <si>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</si>
  <si>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</si>
  <si>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</si>
  <si>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</si>
  <si>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</si>
  <si>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</si>
  <si>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</si>
  <si>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</si>
  <si>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</si>
  <si>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</si>
  <si>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</si>
  <si>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</si>
  <si>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</si>
  <si>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</si>
  <si>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</si>
  <si>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</si>
  <si>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</si>
  <si>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</si>
  <si>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</si>
  <si>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</si>
  <si>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</si>
  <si>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</si>
  <si>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</si>
  <si>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</si>
  <si>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</si>
  <si>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</si>
  <si>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</si>
  <si>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</si>
  <si>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</si>
  <si>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</si>
  <si>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</si>
  <si>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</si>
  <si>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</si>
  <si>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</si>
  <si>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</si>
  <si>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</si>
  <si>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</si>
  <si>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</si>
  <si>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</si>
  <si>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</si>
  <si>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</si>
  <si>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</si>
  <si>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</si>
  <si>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</si>
  <si>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</si>
  <si>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</si>
  <si>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</si>
  <si>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</si>
  <si>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</si>
  <si>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</si>
  <si>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</si>
  <si>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</si>
  <si>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</si>
  <si>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</si>
  <si>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</si>
  <si>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</si>
  <si>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</si>
  <si>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</si>
  <si>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</si>
  <si>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</si>
  <si>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</si>
  <si>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</si>
  <si>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</si>
  <si>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</si>
  <si>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</si>
  <si>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</si>
  <si>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</si>
  <si>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</si>
  <si>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</si>
  <si>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</si>
  <si>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</si>
  <si>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</si>
  <si>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</si>
  <si>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</si>
  <si>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</si>
  <si>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</si>
  <si>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</si>
  <si>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</si>
  <si>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</si>
  <si>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</si>
  <si>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</si>
  <si>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</si>
  <si>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</si>
  <si>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</si>
  <si>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</si>
  <si>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</si>
  <si>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</si>
  <si>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</si>
  <si>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</si>
  <si>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</si>
  <si>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</si>
  <si>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</si>
  <si>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</si>
  <si>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</si>
  <si>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</si>
  <si>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</si>
  <si>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</si>
  <si>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</si>
  <si>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</si>
  <si>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</si>
  <si>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</si>
  <si>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</si>
  <si>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</si>
  <si>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</si>
  <si>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</si>
  <si>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</si>
  <si>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</si>
  <si>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</si>
  <si>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</si>
  <si>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</si>
  <si>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</si>
  <si>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</si>
  <si>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</si>
  <si>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</si>
  <si>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</si>
  <si>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</si>
  <si>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</si>
  <si>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</si>
  <si>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</si>
  <si>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</si>
  <si>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</si>
  <si>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</si>
  <si>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</si>
  <si>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</si>
  <si>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</si>
  <si>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</si>
  <si>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</si>
  <si>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</si>
  <si>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</si>
  <si>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</si>
  <si>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</si>
  <si>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</si>
  <si>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</si>
  <si>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</si>
  <si>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</si>
  <si>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</si>
  <si>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</si>
  <si>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</si>
  <si>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</si>
  <si>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</si>
  <si>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</si>
  <si>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</si>
  <si>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</si>
  <si>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</si>
  <si>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</si>
  <si>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</si>
  <si>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</si>
  <si>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</si>
  <si>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</si>
  <si>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</si>
  <si>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</si>
  <si>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</si>
  <si>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</si>
  <si>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</si>
  <si>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</si>
  <si>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</si>
  <si>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</si>
  <si>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</si>
  <si>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</si>
  <si>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</si>
  <si>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</si>
  <si>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</si>
  <si>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</si>
  <si>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</si>
  <si>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</si>
  <si>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</si>
  <si>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</si>
  <si>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</si>
  <si>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</si>
  <si>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</si>
  <si>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</si>
  <si>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</si>
  <si>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</si>
  <si>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</si>
  <si>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</si>
  <si>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</si>
  <si>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</si>
  <si>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</si>
  <si>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</si>
  <si>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</si>
  <si>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</si>
  <si>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</si>
  <si>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</si>
  <si>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</si>
  <si>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</si>
  <si>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</si>
  <si>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</si>
  <si>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</si>
  <si>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</si>
  <si>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</si>
  <si>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</si>
  <si>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</si>
  <si>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</si>
  <si>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</si>
  <si>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</si>
  <si>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</si>
  <si>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</si>
  <si>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</si>
  <si>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</si>
  <si>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</si>
  <si>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</si>
  <si>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</si>
  <si>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</si>
  <si>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</si>
  <si>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</si>
  <si>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</si>
  <si>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</si>
  <si>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</si>
  <si>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</si>
  <si>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</si>
  <si>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</si>
  <si>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</si>
  <si>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</si>
  <si>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</si>
  <si>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</si>
  <si>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</si>
  <si>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</si>
  <si>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</si>
  <si>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</si>
  <si>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</si>
  <si>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</si>
  <si>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</si>
  <si>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</si>
  <si>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</si>
  <si>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</si>
  <si>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</si>
  <si>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</si>
  <si>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</si>
  <si>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</si>
  <si>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</si>
  <si>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</si>
  <si>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</si>
  <si>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</si>
  <si>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</si>
  <si>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</si>
  <si>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</si>
  <si>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</si>
  <si>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</si>
  <si>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</si>
  <si>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</si>
  <si>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</si>
  <si>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</si>
  <si>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</si>
  <si>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</si>
  <si>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</si>
  <si>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</si>
  <si>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</si>
  <si>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</si>
  <si>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</si>
  <si>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</si>
  <si>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</si>
  <si>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</si>
  <si>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</si>
  <si>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</si>
  <si>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</si>
  <si>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</si>
  <si>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</si>
  <si>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</si>
  <si>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</si>
  <si>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</si>
  <si>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</si>
  <si>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</si>
  <si>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</si>
  <si>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</si>
  <si>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</si>
  <si>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</si>
  <si>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</si>
  <si>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</si>
  <si>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</si>
  <si>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</si>
  <si>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</si>
  <si>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</si>
  <si>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</si>
  <si>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</si>
  <si>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</si>
  <si>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</si>
  <si>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</si>
  <si>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</si>
  <si>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</si>
  <si>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</si>
  <si>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</si>
  <si>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</si>
  <si>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</si>
  <si>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</si>
  <si>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</si>
  <si>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</si>
  <si>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</si>
  <si>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</si>
  <si>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</si>
  <si>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</si>
  <si>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</si>
  <si>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</si>
  <si>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</si>
  <si>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</si>
  <si>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</si>
  <si>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</si>
  <si>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</si>
  <si>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</si>
  <si>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</si>
  <si>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</si>
  <si>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</si>
  <si>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</si>
  <si>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</si>
  <si>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</si>
  <si>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</si>
  <si>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</si>
  <si>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</si>
  <si>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</si>
  <si>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</si>
  <si>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</si>
  <si>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</si>
  <si>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</si>
  <si>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</si>
  <si>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</si>
  <si>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</si>
  <si>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</si>
  <si>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</si>
  <si>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</si>
  <si>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</si>
  <si>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</si>
  <si>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</si>
  <si>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</si>
  <si>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</si>
  <si>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</si>
  <si>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</si>
  <si>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</si>
  <si>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</si>
  <si>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</si>
  <si>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</si>
  <si>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</si>
  <si>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</si>
  <si>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</si>
  <si>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</si>
  <si>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</si>
  <si>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</si>
  <si>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</si>
  <si>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</si>
  <si>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</si>
  <si>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</si>
  <si>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</si>
  <si>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</si>
  <si>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</si>
  <si>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</si>
  <si>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</si>
  <si>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</si>
  <si>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</si>
  <si>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</si>
  <si>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</si>
  <si>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</si>
  <si>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</si>
  <si>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</si>
  <si>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</si>
  <si>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</si>
  <si>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</si>
  <si>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</si>
  <si>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</si>
  <si>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</si>
  <si>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</si>
  <si>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</si>
  <si>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</si>
  <si>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</si>
  <si>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</si>
  <si>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</si>
  <si>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</si>
  <si>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</si>
  <si>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</si>
  <si>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</si>
  <si>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</si>
  <si>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</si>
  <si>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</si>
  <si>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</si>
  <si>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</si>
  <si>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</si>
  <si>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</si>
  <si>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</si>
  <si>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</si>
  <si>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</si>
  <si>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</si>
  <si>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</si>
  <si>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</si>
  <si>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</si>
  <si>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</si>
  <si>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</si>
  <si>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</si>
  <si>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</si>
  <si>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</si>
  <si>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</si>
  <si>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</si>
  <si>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</si>
  <si>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</si>
  <si>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</si>
  <si>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</si>
  <si>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</si>
  <si>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</si>
  <si>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</si>
  <si>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</si>
  <si>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</si>
  <si>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</si>
  <si>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</si>
  <si>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</si>
  <si>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</si>
  <si>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</si>
  <si>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</si>
  <si>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</si>
  <si>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</si>
  <si>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</si>
  <si>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</si>
  <si>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</si>
  <si>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</si>
  <si>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</si>
  <si>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</si>
  <si>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</si>
  <si>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</si>
  <si>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</si>
  <si>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</si>
  <si>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</si>
  <si>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</si>
  <si>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</si>
  <si>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</si>
  <si>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</si>
  <si>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</si>
  <si>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</si>
  <si>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</si>
  <si>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</si>
  <si>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</si>
  <si>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</si>
  <si>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</si>
  <si>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</si>
  <si>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</si>
  <si>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</si>
  <si>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</si>
  <si>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</si>
  <si>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</si>
  <si>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</si>
  <si>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</si>
  <si>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</si>
  <si>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</si>
  <si>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</si>
  <si>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</si>
  <si>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</si>
  <si>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</si>
  <si>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</si>
  <si>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</si>
  <si>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</si>
  <si>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</si>
  <si>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</si>
  <si>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</si>
  <si>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</si>
  <si>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</si>
  <si>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</si>
  <si>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</si>
  <si>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</si>
  <si>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</si>
  <si>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</si>
  <si>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</si>
  <si>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</si>
  <si>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</si>
  <si>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</si>
  <si>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</si>
  <si>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</si>
  <si>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</si>
  <si>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</si>
  <si>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</si>
  <si>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</si>
  <si>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</si>
  <si>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</si>
  <si>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</si>
  <si>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</si>
  <si>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</si>
  <si>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</si>
  <si>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</si>
  <si>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</si>
  <si>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</si>
  <si>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</si>
  <si>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</si>
  <si>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</si>
  <si>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</si>
  <si>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</si>
  <si>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</si>
  <si>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</si>
  <si>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</si>
  <si>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</si>
  <si>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</si>
  <si>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</si>
  <si>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</si>
  <si>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</si>
  <si>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</si>
  <si>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</si>
  <si>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</si>
  <si>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</si>
  <si>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</si>
  <si>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</si>
  <si>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</si>
  <si>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</si>
  <si>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</si>
  <si>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</si>
  <si>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</si>
  <si>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</si>
  <si>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</si>
  <si>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</si>
  <si>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</si>
  <si>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</si>
  <si>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</si>
  <si>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</si>
  <si>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</si>
  <si>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</si>
  <si>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</si>
  <si>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</si>
  <si>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</si>
  <si>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</si>
  <si>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</si>
  <si>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</si>
  <si>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</si>
  <si>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</si>
  <si>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</si>
  <si>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</si>
  <si>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</si>
  <si>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</si>
  <si>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</si>
  <si>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</si>
  <si>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</si>
  <si>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</si>
  <si>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</si>
  <si>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</si>
  <si>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</si>
  <si>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</si>
  <si>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</si>
  <si>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</si>
  <si>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</si>
  <si>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</si>
  <si>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</si>
  <si>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</si>
  <si>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</si>
  <si>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</si>
  <si>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сетей</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</si>
  <si>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</si>
  <si>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</si>
  <si>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</si>
  <si>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</si>
  <si>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</si>
  <si>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</si>
  <si>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</si>
  <si>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</si>
  <si>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</si>
  <si>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</si>
  <si>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</si>
  <si>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</si>
  <si>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</si>
  <si>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</si>
  <si>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</si>
  <si>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</si>
  <si>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</si>
  <si>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</si>
  <si>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</si>
  <si>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</si>
  <si>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</si>
  <si>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</si>
  <si>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</si>
  <si>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</si>
  <si>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</si>
  <si>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</si>
  <si>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</si>
  <si>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</si>
  <si>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</si>
  <si>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</si>
  <si>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</si>
  <si>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</si>
  <si>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</si>
  <si>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</si>
  <si>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</si>
  <si>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</si>
  <si>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</si>
  <si>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</si>
  <si>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</si>
  <si>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</si>
  <si>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</si>
  <si>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</si>
  <si>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</si>
  <si>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</si>
  <si>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</si>
  <si>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</si>
  <si>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</si>
  <si>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</si>
  <si>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</si>
  <si>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</si>
  <si>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</si>
  <si>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</si>
  <si>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</si>
  <si>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</si>
  <si>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</si>
  <si>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</si>
  <si>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</si>
  <si>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</si>
  <si>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</si>
  <si>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</si>
  <si>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</si>
  <si>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</si>
  <si>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</si>
  <si>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</si>
  <si>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</si>
  <si>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</si>
  <si>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</si>
  <si>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</si>
  <si>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</si>
  <si>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</si>
  <si>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</si>
  <si>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</si>
  <si>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</si>
  <si>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</si>
  <si>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</si>
  <si>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</si>
  <si>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</si>
  <si>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</si>
  <si>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</si>
  <si>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</si>
  <si>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</si>
  <si>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</si>
  <si>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</si>
  <si>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</si>
  <si>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</si>
  <si>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</si>
  <si>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</si>
  <si>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</si>
  <si>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</si>
  <si>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</si>
  <si>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</si>
  <si>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</si>
  <si>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</si>
  <si>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</si>
  <si>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</si>
  <si>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</si>
  <si>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</si>
  <si>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</si>
  <si>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</si>
  <si>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</si>
  <si>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</si>
  <si>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</si>
  <si>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</si>
  <si>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</si>
  <si>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</si>
  <si>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</si>
  <si>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</si>
  <si>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</si>
  <si>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</si>
  <si>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</si>
  <si>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</si>
  <si>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</si>
  <si>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</si>
  <si>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</si>
  <si>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</si>
  <si>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</si>
  <si>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</si>
  <si>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</si>
  <si>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</si>
  <si>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</si>
  <si>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</si>
  <si>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</si>
  <si>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</si>
  <si>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</si>
  <si>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</si>
  <si>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</si>
  <si>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</si>
  <si>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</si>
  <si>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</si>
  <si>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</si>
  <si>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</si>
  <si>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</si>
  <si>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</si>
  <si>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</si>
  <si>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</si>
  <si>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</si>
  <si>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</si>
  <si>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</si>
  <si>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</si>
  <si>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</si>
  <si>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</si>
  <si>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</si>
  <si>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</si>
  <si>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</si>
  <si>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</si>
  <si>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</si>
  <si>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</si>
  <si>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</si>
  <si>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</si>
  <si>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</si>
  <si>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</si>
  <si>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</si>
  <si>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</si>
  <si>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</si>
  <si>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</si>
  <si>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</si>
  <si>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</si>
  <si>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</si>
  <si>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</si>
  <si>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</si>
  <si>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</si>
  <si>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</si>
  <si>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</si>
  <si>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</si>
  <si>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</si>
  <si>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</si>
  <si>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</si>
  <si>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</si>
  <si>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</si>
  <si>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</si>
  <si>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</si>
  <si>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</si>
  <si>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</si>
  <si>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</si>
  <si>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</si>
  <si>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</si>
  <si>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</si>
  <si>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</si>
  <si>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</si>
  <si>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</si>
  <si>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</si>
  <si>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</si>
  <si>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</si>
  <si>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</si>
  <si>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</si>
  <si>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</si>
  <si>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</si>
  <si>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</si>
  <si>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</si>
  <si>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</si>
  <si>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</si>
  <si>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</si>
  <si>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</si>
  <si>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</si>
  <si>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</si>
  <si>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</si>
  <si>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</si>
  <si>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</si>
  <si>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</si>
  <si>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</si>
  <si>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</si>
  <si>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</si>
  <si>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</si>
  <si>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</si>
  <si>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</si>
  <si>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</si>
  <si>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</si>
  <si>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</si>
  <si>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</si>
  <si>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</si>
  <si>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</si>
  <si>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</si>
  <si>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</si>
  <si>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</si>
  <si>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</si>
  <si>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</si>
  <si>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</si>
  <si>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</si>
  <si>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</si>
  <si>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</si>
  <si>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</si>
  <si>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</si>
  <si>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</si>
  <si>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</si>
  <si>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</si>
  <si>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</si>
  <si>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</si>
  <si>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</si>
  <si>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</si>
  <si>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</si>
  <si>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</si>
  <si>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</si>
  <si>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</si>
  <si>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</si>
  <si>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</si>
  <si>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</si>
  <si>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</si>
  <si>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</si>
  <si>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</si>
  <si>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</si>
  <si>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</si>
  <si>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</si>
  <si>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</si>
  <si>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</si>
  <si>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</si>
  <si>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</si>
  <si>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</si>
  <si>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</si>
  <si>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</si>
  <si>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</si>
  <si>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</si>
  <si>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</si>
  <si>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</si>
  <si>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</si>
  <si>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</si>
  <si>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</si>
  <si>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</si>
  <si>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</si>
  <si>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</si>
  <si>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</si>
  <si>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</si>
  <si>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</si>
  <si>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</si>
  <si>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</si>
  <si>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</si>
  <si>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</si>
  <si>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</si>
  <si>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</si>
  <si>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</si>
  <si>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</si>
  <si>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</si>
  <si>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</si>
  <si>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</si>
  <si>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</si>
  <si>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</si>
  <si>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</si>
  <si>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</si>
  <si>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</si>
  <si>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</si>
  <si>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</si>
  <si>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</si>
  <si>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</si>
  <si>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</si>
  <si>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</si>
  <si>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</si>
  <si>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</si>
  <si>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</si>
  <si>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</si>
  <si>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</si>
  <si>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</si>
  <si>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</si>
  <si>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</si>
  <si>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</si>
  <si>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</si>
  <si>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</si>
  <si>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</si>
  <si>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</si>
  <si>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</si>
  <si>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</si>
  <si>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</si>
  <si>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</si>
  <si>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</si>
  <si>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</si>
  <si>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</si>
  <si>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</si>
  <si>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</si>
  <si>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</si>
  <si>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</si>
  <si>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</si>
  <si>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</si>
  <si>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</si>
  <si>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</si>
  <si>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</si>
  <si>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</si>
  <si>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</si>
  <si>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</si>
  <si>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</si>
  <si>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</si>
  <si>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</si>
  <si>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</si>
  <si>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</si>
  <si>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</si>
  <si>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</si>
  <si>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</si>
  <si>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</si>
  <si>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</si>
  <si>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</si>
  <si>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</si>
  <si>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</si>
  <si>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</si>
  <si>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</si>
  <si>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</si>
  <si>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</si>
  <si>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</si>
  <si>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</si>
  <si>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</si>
  <si>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</si>
  <si>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</si>
  <si>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</si>
  <si>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</si>
  <si>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</si>
  <si>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</si>
  <si>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</si>
  <si>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</si>
  <si>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</si>
  <si>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</si>
  <si>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</si>
  <si>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</si>
  <si>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</si>
  <si>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</si>
  <si>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</si>
  <si>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</si>
  <si>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</si>
  <si>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</si>
  <si>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</si>
  <si>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</si>
  <si>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</si>
  <si>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</si>
  <si>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</si>
  <si>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</si>
  <si>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</si>
  <si>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</si>
  <si>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</si>
  <si>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</si>
  <si>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</si>
  <si>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</si>
  <si>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</si>
  <si>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</si>
  <si>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</si>
  <si>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</si>
  <si>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</si>
  <si>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</si>
  <si>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</si>
  <si>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</si>
  <si>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</si>
  <si>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</si>
  <si>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</si>
  <si>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</si>
  <si>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</si>
  <si>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</si>
  <si>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</si>
  <si>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</si>
  <si>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</si>
  <si>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</si>
  <si>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</si>
  <si>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</si>
  <si>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</si>
  <si>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</si>
  <si>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</si>
  <si>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</si>
  <si>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</si>
  <si>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</si>
  <si>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</si>
  <si>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</si>
  <si>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</si>
  <si>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</si>
  <si>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</si>
  <si>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</si>
  <si>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</si>
  <si>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</si>
  <si>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</si>
  <si>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</si>
  <si>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</si>
  <si>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</si>
  <si>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</si>
  <si>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</si>
  <si>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</si>
  <si>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</si>
  <si>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</si>
  <si>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</si>
  <si>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</si>
  <si>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</si>
  <si>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</si>
  <si>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</si>
  <si>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</si>
  <si>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</si>
  <si>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</si>
  <si>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</si>
  <si>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</si>
  <si>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</si>
  <si>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</si>
  <si>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</si>
  <si>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</si>
  <si>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</si>
  <si>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</si>
  <si>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</si>
  <si>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</si>
  <si>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</si>
  <si>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</si>
  <si>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</si>
  <si>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</si>
  <si>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</si>
  <si>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</si>
  <si>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</si>
  <si>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</si>
  <si>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</si>
  <si>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</si>
  <si>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</si>
  <si>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</si>
  <si>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</si>
  <si>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</si>
  <si>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</si>
  <si>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</si>
  <si>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</si>
  <si>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</si>
  <si>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</si>
  <si>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</si>
  <si>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</si>
  <si>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</si>
  <si>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</si>
  <si>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</si>
  <si>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</si>
  <si>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</si>
  <si>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</si>
  <si>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</si>
  <si>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</si>
  <si>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</si>
  <si>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</si>
  <si>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</si>
  <si>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</si>
  <si>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</si>
  <si>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</si>
  <si>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</si>
  <si>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</si>
  <si>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</si>
  <si>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</si>
  <si>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</si>
  <si>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</si>
  <si>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</si>
  <si>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</si>
  <si>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</si>
  <si>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</si>
  <si>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</si>
  <si>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</si>
  <si>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</si>
  <si>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</si>
  <si>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</si>
  <si>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</si>
  <si>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</si>
  <si>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</si>
  <si>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</si>
  <si>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</si>
  <si>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</si>
  <si>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</si>
  <si>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</si>
  <si>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</si>
  <si>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</si>
  <si>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</si>
  <si>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</si>
  <si>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</si>
  <si>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</si>
  <si>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</si>
  <si>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</si>
  <si>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</si>
  <si>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</si>
  <si>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</si>
  <si>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</si>
  <si>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</si>
  <si>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</si>
  <si>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</si>
  <si>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</si>
  <si>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</si>
  <si>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</si>
  <si>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</si>
  <si>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</si>
  <si>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</si>
  <si>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</si>
  <si>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</si>
  <si>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</si>
  <si>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</si>
  <si>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</si>
  <si>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</si>
  <si>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</si>
  <si>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</si>
  <si>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</si>
  <si>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</si>
  <si>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</si>
  <si>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</si>
  <si>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</si>
  <si>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</si>
  <si>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</si>
  <si>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</si>
  <si>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</si>
  <si>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</si>
  <si>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</si>
  <si>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</si>
  <si>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</si>
  <si>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</si>
  <si>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</si>
  <si>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</si>
  <si>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</si>
  <si>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</si>
  <si>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</si>
  <si>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</si>
  <si>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</si>
  <si>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</si>
  <si>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</si>
  <si>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</si>
  <si>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</si>
  <si>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</si>
  <si>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</si>
  <si>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</si>
  <si>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</si>
  <si>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</si>
  <si>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</si>
  <si>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</si>
  <si>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</si>
  <si>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</si>
  <si>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</si>
  <si>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</si>
  <si>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</si>
  <si>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</si>
  <si>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</si>
  <si>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</si>
  <si>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</si>
  <si>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</si>
  <si>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</si>
  <si>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</si>
  <si>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</si>
  <si>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</si>
  <si>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</si>
  <si>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</si>
  <si>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</si>
  <si>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</si>
  <si>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</si>
  <si>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</si>
  <si>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</si>
  <si>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</si>
  <si>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</si>
  <si>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</si>
  <si>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</si>
  <si>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</si>
  <si>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</si>
  <si>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</si>
  <si>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</si>
  <si>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</si>
  <si>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</si>
  <si>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</si>
  <si>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</si>
  <si>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</si>
  <si>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</si>
  <si>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</si>
  <si>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</si>
  <si>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</si>
  <si>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</si>
  <si>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</si>
  <si>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</si>
  <si>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</si>
  <si>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</si>
  <si>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</si>
  <si>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</si>
  <si>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</si>
  <si>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</si>
  <si>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</si>
  <si>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</si>
  <si>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</si>
  <si>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</si>
  <si>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</si>
  <si>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</si>
  <si>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</si>
  <si>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</si>
  <si>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</si>
  <si>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</si>
  <si>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</si>
  <si>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</si>
  <si>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</si>
  <si>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</si>
  <si>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</si>
  <si>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</si>
  <si>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</si>
  <si>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</si>
  <si>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</si>
  <si>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</si>
  <si>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</si>
  <si>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</si>
  <si>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</si>
  <si>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</si>
  <si>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</si>
  <si>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</si>
  <si>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</si>
  <si>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</si>
  <si>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</si>
  <si>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</si>
  <si>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</si>
  <si>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</si>
  <si>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</si>
  <si>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</si>
  <si>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</si>
  <si>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</si>
  <si>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</si>
  <si>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</si>
  <si>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</si>
  <si>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</si>
  <si>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</si>
  <si>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</si>
  <si>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</si>
  <si>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</si>
  <si>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</si>
  <si>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</si>
  <si>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</si>
  <si>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</si>
  <si>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</si>
  <si>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</si>
  <si>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</si>
  <si>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</si>
  <si>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</si>
  <si>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</si>
  <si>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</si>
  <si>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</si>
  <si>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</si>
  <si>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</si>
  <si>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</si>
  <si>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</si>
  <si>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</si>
  <si>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</si>
  <si>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</si>
  <si>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</si>
  <si>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</si>
  <si>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</si>
  <si>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</si>
  <si>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</si>
  <si>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</si>
  <si>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</si>
  <si>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</si>
  <si>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</si>
  <si>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</si>
  <si>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</si>
  <si>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</si>
  <si>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</si>
  <si>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</si>
  <si>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</si>
  <si>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</si>
  <si>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</si>
  <si>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</si>
  <si>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</si>
  <si>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</si>
  <si>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</si>
  <si>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</si>
  <si>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</si>
  <si>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</si>
  <si>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</si>
  <si>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</si>
  <si>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</si>
  <si>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</si>
  <si>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</si>
  <si>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</si>
  <si>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</si>
  <si>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</si>
  <si>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</si>
  <si>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</si>
  <si>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</si>
  <si>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</si>
  <si>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</si>
  <si>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</si>
  <si>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</si>
  <si>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</si>
  <si>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</si>
  <si>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</si>
  <si>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</si>
  <si>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</si>
  <si>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</si>
  <si>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</si>
  <si>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</si>
  <si>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</si>
  <si>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</si>
  <si>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</si>
  <si>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</si>
  <si>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</si>
  <si>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</si>
  <si>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</si>
  <si>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</si>
  <si>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</si>
  <si>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</si>
  <si>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</si>
  <si>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</si>
  <si>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</si>
  <si>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</si>
  <si>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</si>
  <si>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</si>
  <si>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</si>
  <si>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</si>
  <si>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</si>
  <si>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</si>
  <si>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</si>
  <si>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</si>
  <si>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</si>
  <si>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</si>
  <si>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</si>
  <si>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</si>
  <si>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</si>
  <si>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</si>
  <si>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</si>
  <si>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</si>
  <si>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</si>
  <si>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</si>
  <si>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</si>
  <si>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</si>
  <si>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</si>
  <si>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</si>
  <si>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</si>
  <si>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</si>
  <si>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</si>
  <si>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</si>
  <si>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</si>
  <si>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</si>
  <si>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</si>
  <si>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</si>
  <si>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</si>
  <si>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</si>
  <si>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</si>
  <si>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</si>
  <si>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</si>
  <si>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</si>
  <si>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</si>
  <si>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</si>
  <si>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</si>
  <si>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</si>
  <si>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</si>
  <si>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</si>
  <si>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</si>
  <si>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</si>
  <si>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</si>
  <si>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</si>
  <si>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</si>
  <si>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</si>
  <si>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</si>
  <si>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</si>
  <si>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</si>
  <si>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</si>
  <si>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</si>
  <si>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</si>
  <si>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</si>
  <si>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</si>
  <si>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</si>
  <si>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</si>
  <si>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</si>
  <si>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</si>
  <si>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</si>
  <si>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</si>
  <si>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</si>
  <si>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</si>
  <si>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</si>
  <si>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</si>
  <si>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</si>
  <si>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</si>
  <si>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</si>
  <si>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</si>
  <si>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</si>
  <si>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</si>
  <si>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</si>
  <si>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</si>
  <si>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</si>
  <si>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</si>
  <si>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</si>
  <si>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</si>
  <si>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</si>
  <si>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</si>
  <si>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</si>
  <si>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</si>
  <si>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</si>
  <si>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</si>
  <si>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</si>
  <si>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</si>
  <si>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</si>
  <si>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</si>
  <si>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</si>
  <si>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</si>
  <si>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</si>
  <si>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</si>
  <si>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</si>
  <si>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</si>
  <si>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</si>
  <si>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</si>
  <si>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</si>
  <si>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</si>
  <si>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</si>
  <si>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</si>
  <si>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</si>
  <si>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</si>
  <si>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</si>
  <si>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</si>
  <si>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</si>
  <si>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</si>
  <si>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</si>
  <si>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</si>
  <si>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</si>
  <si>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</si>
  <si>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</si>
  <si>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</si>
  <si>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</si>
  <si>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</si>
  <si>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</si>
  <si>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</si>
  <si>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</si>
  <si>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</si>
  <si>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</si>
  <si>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</si>
  <si>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</si>
  <si>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</si>
  <si>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</si>
  <si>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</si>
  <si>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</si>
  <si>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</si>
  <si>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</si>
  <si>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</si>
  <si>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</si>
  <si>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</si>
  <si>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</si>
  <si>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</si>
  <si>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</si>
  <si>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</si>
  <si>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</si>
  <si>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</si>
  <si>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</si>
  <si>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</si>
  <si>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</si>
  <si>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</si>
  <si>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</si>
  <si>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</si>
  <si>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</si>
  <si>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</si>
  <si>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</si>
  <si>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</si>
  <si>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</si>
  <si>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</si>
  <si>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</si>
  <si>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</si>
  <si>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</si>
  <si>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</si>
  <si>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</si>
  <si>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</si>
  <si>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</si>
  <si>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</si>
  <si>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</si>
  <si>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</si>
  <si>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</si>
  <si>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</si>
  <si>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</si>
  <si>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</si>
  <si>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</si>
  <si>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</si>
  <si>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</si>
  <si>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</si>
  <si>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</si>
  <si>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</si>
  <si>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</si>
  <si>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</si>
  <si>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</si>
  <si>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</si>
  <si>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</si>
  <si>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</si>
  <si>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</si>
  <si>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</si>
  <si>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</si>
  <si>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</si>
  <si>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</si>
  <si>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</si>
  <si>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</si>
  <si>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</si>
  <si>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</si>
  <si>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</si>
  <si>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</si>
  <si>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</si>
  <si>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</si>
  <si>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</si>
  <si>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</si>
  <si>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</si>
  <si>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</si>
  <si>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</si>
  <si>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</si>
  <si>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</si>
  <si>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</si>
  <si>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</si>
  <si>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</si>
  <si>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</si>
  <si>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</si>
  <si>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</si>
  <si>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</si>
  <si>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</si>
  <si>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</si>
  <si>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</si>
  <si>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</si>
  <si>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</si>
  <si>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</si>
  <si>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</si>
  <si>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</si>
  <si>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</si>
  <si>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</si>
  <si>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</si>
  <si>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</si>
  <si>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</si>
  <si>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</si>
  <si>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</si>
  <si>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</si>
  <si>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</si>
  <si>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</si>
  <si>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</si>
  <si>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</si>
  <si>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</si>
  <si>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</si>
  <si>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</si>
  <si>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</si>
  <si>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</si>
  <si>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</si>
  <si>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</si>
  <si>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</si>
  <si>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</si>
  <si>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</si>
  <si>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</si>
  <si>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</si>
  <si>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</si>
  <si>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</si>
  <si>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</si>
  <si>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</si>
  <si>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</si>
  <si>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</si>
  <si>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</si>
  <si>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</si>
  <si>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</si>
  <si>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</si>
  <si>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</si>
  <si>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</si>
  <si>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</si>
  <si>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</si>
  <si>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</si>
  <si>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</si>
  <si>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</si>
  <si>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</si>
  <si>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</si>
  <si>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</si>
  <si>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</si>
  <si>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</si>
  <si>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</si>
  <si>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</si>
  <si>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</si>
  <si>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</si>
  <si>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</si>
  <si>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</si>
  <si>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</si>
  <si>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</si>
  <si>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</si>
  <si>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</si>
  <si>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</si>
  <si>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</si>
  <si>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</si>
  <si>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</si>
  <si>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</si>
  <si>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</si>
  <si>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</si>
  <si>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</si>
  <si>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</si>
  <si>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</si>
  <si>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</si>
  <si>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</si>
  <si>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</si>
  <si>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</si>
  <si>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</si>
  <si>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</si>
  <si>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</si>
  <si>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</si>
  <si>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</si>
  <si>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</si>
  <si>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</si>
  <si>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</si>
  <si>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</si>
  <si>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</si>
  <si>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</si>
  <si>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</si>
  <si>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</si>
  <si>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</si>
  <si>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</si>
  <si>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</si>
  <si>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</si>
  <si>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</si>
  <si>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</si>
  <si>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</si>
  <si>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</si>
  <si>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</si>
  <si>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</si>
  <si>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</si>
  <si>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</si>
  <si>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</si>
  <si>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</si>
  <si>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</si>
  <si>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</si>
  <si>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</si>
  <si>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</si>
  <si>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</si>
  <si>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</si>
  <si>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</si>
  <si>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</si>
  <si>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</si>
  <si>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</si>
  <si>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</si>
  <si>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</si>
  <si>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</si>
  <si>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</si>
  <si>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</si>
  <si>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</si>
  <si>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</si>
  <si>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</si>
  <si>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</si>
  <si>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</si>
  <si>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</si>
  <si>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</si>
  <si>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</si>
  <si>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</si>
  <si>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</si>
  <si>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</si>
  <si>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</si>
  <si>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</si>
  <si>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</si>
  <si>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</si>
  <si>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</si>
  <si>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</si>
  <si>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</si>
  <si>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</si>
  <si>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</si>
  <si>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</si>
  <si>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</si>
  <si>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</si>
  <si>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</si>
  <si>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</si>
  <si>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</si>
  <si>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</si>
  <si>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</si>
  <si>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</si>
  <si>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</si>
  <si>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</si>
  <si>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</si>
  <si>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</si>
  <si>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</si>
  <si>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</si>
  <si>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</si>
  <si>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</si>
  <si>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</si>
  <si>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</si>
  <si>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</si>
  <si>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</si>
  <si>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</si>
  <si>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</si>
  <si>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</si>
  <si>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</si>
  <si>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</si>
  <si>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</si>
  <si>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</si>
  <si>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</si>
  <si>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</si>
  <si>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</si>
  <si>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</si>
  <si>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</si>
  <si>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</si>
  <si>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</si>
  <si>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</si>
  <si>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</si>
  <si>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</si>
  <si>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</si>
  <si>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</si>
  <si>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</si>
  <si>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</si>
  <si>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</si>
  <si>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</si>
  <si>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</si>
  <si>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</si>
  <si>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</si>
  <si>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</si>
  <si>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</si>
  <si>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</si>
  <si>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</si>
  <si>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</si>
  <si>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</si>
  <si>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</si>
  <si>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</si>
  <si>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</si>
  <si>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</si>
  <si>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</si>
  <si>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</si>
  <si>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</si>
  <si>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</si>
  <si>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</si>
  <si>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</si>
  <si>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</si>
  <si>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</si>
  <si>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</si>
  <si>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</si>
  <si>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</si>
  <si>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</si>
  <si>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</si>
  <si>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</si>
  <si>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</si>
  <si>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2652</t>
  </si>
  <si>
    <t>31516776</t>
  </si>
  <si>
    <t>АО "Абаканская ТЭЦ"</t>
  </si>
  <si>
    <t>1900000252</t>
  </si>
  <si>
    <t>190001001</t>
  </si>
  <si>
    <t>04-12-2020 00:00:00</t>
  </si>
  <si>
    <t>26322842</t>
  </si>
  <si>
    <t>АО "Аэропорт Абакан"</t>
  </si>
  <si>
    <t>1900000196</t>
  </si>
  <si>
    <t>190101001</t>
  </si>
  <si>
    <t>26354688</t>
  </si>
  <si>
    <t>АО "Коммунаровский рудник"</t>
  </si>
  <si>
    <t>1911000014</t>
  </si>
  <si>
    <t>191101001</t>
  </si>
  <si>
    <t>11-10-1994 00:00:00</t>
  </si>
  <si>
    <t>31779794</t>
  </si>
  <si>
    <t>АО "Орджоникидзевское ДРСУ"</t>
  </si>
  <si>
    <t>1900015940</t>
  </si>
  <si>
    <t>27675852</t>
  </si>
  <si>
    <t>АО "Россети Мобильные ГТЭС"</t>
  </si>
  <si>
    <t>7706627050</t>
  </si>
  <si>
    <t>26354678</t>
  </si>
  <si>
    <t>ГБОУ НПО ПУ-16 с.Таштып</t>
  </si>
  <si>
    <t>1909010142</t>
  </si>
  <si>
    <t>190901001</t>
  </si>
  <si>
    <t>ГОСУДАРСТВЕННЫЙ КОМИТЕТ ТАРИФНОГО РЕГУЛИРОВАНИЯ РЕСПУБЛИКИ ХАКАСИЯ</t>
  </si>
  <si>
    <t>1901141640</t>
  </si>
  <si>
    <t>ГОСУДАРСТВЕННЫЙ КОМИТЕТ ЭНЕРГЕТИКИ И ТАРИФНОГО РЕГУЛИРОВАНИЯ РЕСПУБЛИКИ ХАКАСИЯ</t>
  </si>
  <si>
    <t>1901040882</t>
  </si>
  <si>
    <t>26522906</t>
  </si>
  <si>
    <t>ГУП "Хакресводоканал"</t>
  </si>
  <si>
    <t>1901001202</t>
  </si>
  <si>
    <t>191001001</t>
  </si>
  <si>
    <t>31038479</t>
  </si>
  <si>
    <t>Енисейский филиал ФГБУ "Главрыбвод"</t>
  </si>
  <si>
    <t>7708044880</t>
  </si>
  <si>
    <t>246643001</t>
  </si>
  <si>
    <t>29-12-2016 00:00:00</t>
  </si>
  <si>
    <t>26354640</t>
  </si>
  <si>
    <t>ИП Басков В.В.</t>
  </si>
  <si>
    <t>190200321555</t>
  </si>
  <si>
    <t>31036412</t>
  </si>
  <si>
    <t>ИП Сейранян М.В.</t>
  </si>
  <si>
    <t>191005890302</t>
  </si>
  <si>
    <t>01-04-2014 00:00:00</t>
  </si>
  <si>
    <t>26824651</t>
  </si>
  <si>
    <t>Красноярская дирекция по тепловодоснабжению</t>
  </si>
  <si>
    <t>7708503727</t>
  </si>
  <si>
    <t>246645014</t>
  </si>
  <si>
    <t>26354685</t>
  </si>
  <si>
    <t>МБУ ЖКХ "Чарки"</t>
  </si>
  <si>
    <t>1910011052</t>
  </si>
  <si>
    <t>31640718</t>
  </si>
  <si>
    <t>МКП "Бородино ЖКХ"</t>
  </si>
  <si>
    <t>1900005476</t>
  </si>
  <si>
    <t>15-08-2022 00:00:00</t>
  </si>
  <si>
    <t>31550132</t>
  </si>
  <si>
    <t>МКП "ЖКХ Пушновское"</t>
  </si>
  <si>
    <t>1900003415</t>
  </si>
  <si>
    <t>19-01-2022 00:00:00</t>
  </si>
  <si>
    <t>31389942</t>
  </si>
  <si>
    <t>МКП "ЖКХ Усть-Абаканский район"</t>
  </si>
  <si>
    <t>1903028898</t>
  </si>
  <si>
    <t>190301001</t>
  </si>
  <si>
    <t>01-01-2020 00:00:00</t>
  </si>
  <si>
    <t>31640509</t>
  </si>
  <si>
    <t>МКП "Жемчужненское ЖКХ"</t>
  </si>
  <si>
    <t>1900007579</t>
  </si>
  <si>
    <t>05-09-2022 00:00:00</t>
  </si>
  <si>
    <t>28453858</t>
  </si>
  <si>
    <t>МКП "Импульс"</t>
  </si>
  <si>
    <t>1901114580</t>
  </si>
  <si>
    <t>30-07-2013 00:00:00</t>
  </si>
  <si>
    <t>31578735</t>
  </si>
  <si>
    <t>МКП "КАБЫРЧАК-1"</t>
  </si>
  <si>
    <t>1900004289</t>
  </si>
  <si>
    <t>22-11-2021 00:00:00</t>
  </si>
  <si>
    <t>31640466</t>
  </si>
  <si>
    <t>МКП "Коммунаровский коммунальщик"</t>
  </si>
  <si>
    <t>1900007346</t>
  </si>
  <si>
    <t>16-08-2022 00:00:00</t>
  </si>
  <si>
    <t>26354673</t>
  </si>
  <si>
    <t>МКП "Копьевское ЖКХ"</t>
  </si>
  <si>
    <t>1908003015</t>
  </si>
  <si>
    <t>190801001</t>
  </si>
  <si>
    <t>26354676</t>
  </si>
  <si>
    <t>МКП "Красноиюсское ЖКХ"</t>
  </si>
  <si>
    <t>1908003390</t>
  </si>
  <si>
    <t>31707151</t>
  </si>
  <si>
    <t>МКП "Ресурс"</t>
  </si>
  <si>
    <t>1900008847</t>
  </si>
  <si>
    <t>28-11-2022 00:00:00</t>
  </si>
  <si>
    <t>31632946</t>
  </si>
  <si>
    <t>МКП "СЦРБ"</t>
  </si>
  <si>
    <t>1900006575</t>
  </si>
  <si>
    <t>09-06-2022 00:00:00</t>
  </si>
  <si>
    <t>31041115</t>
  </si>
  <si>
    <t>МКП "Тепло-сервис"</t>
  </si>
  <si>
    <t>1902028140</t>
  </si>
  <si>
    <t>190201001</t>
  </si>
  <si>
    <t>23-08-2017 00:00:00</t>
  </si>
  <si>
    <t>26354675</t>
  </si>
  <si>
    <t>МКП "Устинкинское ЖКХ"</t>
  </si>
  <si>
    <t>1908003382</t>
  </si>
  <si>
    <t>28048657</t>
  </si>
  <si>
    <t>МКП ЖКХ "Сарагашское"</t>
  </si>
  <si>
    <t>1907002925</t>
  </si>
  <si>
    <t>190701001</t>
  </si>
  <si>
    <t>31640270</t>
  </si>
  <si>
    <t>МКП«Аскизский ТЭК»</t>
  </si>
  <si>
    <t>1900006279</t>
  </si>
  <si>
    <t>13-05-2022 00:00:00</t>
  </si>
  <si>
    <t>31908386</t>
  </si>
  <si>
    <t>МКУ "Полигон"</t>
  </si>
  <si>
    <t>1900019662</t>
  </si>
  <si>
    <t>20-11-2025 00:00:00</t>
  </si>
  <si>
    <t>31248203</t>
  </si>
  <si>
    <t>МУП "Абагаз"</t>
  </si>
  <si>
    <t>1902028655</t>
  </si>
  <si>
    <t>01-01-2019 00:00:00</t>
  </si>
  <si>
    <t>31438215</t>
  </si>
  <si>
    <t>МУП "Аскизский коммунхоз"</t>
  </si>
  <si>
    <t>1902029433</t>
  </si>
  <si>
    <t>28-04-2020 00:00:00</t>
  </si>
  <si>
    <t>31037948</t>
  </si>
  <si>
    <t>МУП "Аскизтеплоснаб"</t>
  </si>
  <si>
    <t>1905012646</t>
  </si>
  <si>
    <t>190501001</t>
  </si>
  <si>
    <t>17-03-2017 00:00:00</t>
  </si>
  <si>
    <t>31036392</t>
  </si>
  <si>
    <t>МУП "Бородино ЖКХ"</t>
  </si>
  <si>
    <t>1903026971</t>
  </si>
  <si>
    <t>31288228</t>
  </si>
  <si>
    <t>МУП "Возрождение"</t>
  </si>
  <si>
    <t>1902028662</t>
  </si>
  <si>
    <t>31624510</t>
  </si>
  <si>
    <t>МУП "НД"</t>
  </si>
  <si>
    <t>1903028070</t>
  </si>
  <si>
    <t>25-12-2018 00:00:00</t>
  </si>
  <si>
    <t>31036329</t>
  </si>
  <si>
    <t>МУП "Сонкомсервис"</t>
  </si>
  <si>
    <t>1903026918</t>
  </si>
  <si>
    <t>22-06-2017 00:00:00</t>
  </si>
  <si>
    <t>31063298</t>
  </si>
  <si>
    <t>МУП "ТВР" Усть-Абакан</t>
  </si>
  <si>
    <t>1903027446</t>
  </si>
  <si>
    <t>01-01-2018 00:00:00</t>
  </si>
  <si>
    <t>31640555</t>
  </si>
  <si>
    <t>МУП "Таштыпская автоколонна"</t>
  </si>
  <si>
    <t>1909001500</t>
  </si>
  <si>
    <t>22-08-2012 00:00:00</t>
  </si>
  <si>
    <t>30862195</t>
  </si>
  <si>
    <t>МУП ЖКХ "Фыркал"</t>
  </si>
  <si>
    <t>1903025520</t>
  </si>
  <si>
    <t>01-07-2016 00:00:00</t>
  </si>
  <si>
    <t>27568286</t>
  </si>
  <si>
    <t>МУП с.Соленоозерное ЖКХ "Коммунальщик"</t>
  </si>
  <si>
    <t>1911007362</t>
  </si>
  <si>
    <t>28-07-2008 00:00:00</t>
  </si>
  <si>
    <t>26354674</t>
  </si>
  <si>
    <t>Муниципальное казенное предприятие "Приисковое ЖКХ"</t>
  </si>
  <si>
    <t>1908003135</t>
  </si>
  <si>
    <t>31906561</t>
  </si>
  <si>
    <t>Муниципальное казенное предприятие "СТВК-Туим"</t>
  </si>
  <si>
    <t>1900018980</t>
  </si>
  <si>
    <t>12-09-2025 00:00:00</t>
  </si>
  <si>
    <t>26354663</t>
  </si>
  <si>
    <t>Муниципальное казенное предприятие "Тепло"</t>
  </si>
  <si>
    <t>1904004931</t>
  </si>
  <si>
    <t>190401001</t>
  </si>
  <si>
    <t>28036643</t>
  </si>
  <si>
    <t>Муниципальное унитарное предприятие жилищно-коммунальное хозяйство "Коммунальщик с.Джирим"</t>
  </si>
  <si>
    <t>1911008310</t>
  </si>
  <si>
    <t>31437062</t>
  </si>
  <si>
    <t>ООО  «Прогресс»</t>
  </si>
  <si>
    <t>1901143574</t>
  </si>
  <si>
    <t>24-12-2020 00:00:00</t>
  </si>
  <si>
    <t>26354679</t>
  </si>
  <si>
    <t>ООО "Абаза-Энерго"</t>
  </si>
  <si>
    <t>1909051981</t>
  </si>
  <si>
    <t>29648727</t>
  </si>
  <si>
    <t>ООО "Агро-Лидер"</t>
  </si>
  <si>
    <t>1901114968</t>
  </si>
  <si>
    <t>31196958</t>
  </si>
  <si>
    <t>ООО "Аскизские тепловые сети"</t>
  </si>
  <si>
    <t>1902028503</t>
  </si>
  <si>
    <t>27-09-2018 00:00:00</t>
  </si>
  <si>
    <t>31457395</t>
  </si>
  <si>
    <t>ООО "Доверие"</t>
  </si>
  <si>
    <t>1903029274</t>
  </si>
  <si>
    <t>05-03-2020 00:00:00</t>
  </si>
  <si>
    <t>31468647</t>
  </si>
  <si>
    <t>ООО "СТС"</t>
  </si>
  <si>
    <t>1903029348</t>
  </si>
  <si>
    <t>01-01-2021 00:00:00</t>
  </si>
  <si>
    <t>26523584</t>
  </si>
  <si>
    <t>ООО "Сорский ГОК"</t>
  </si>
  <si>
    <t>1910006486</t>
  </si>
  <si>
    <t>191050001</t>
  </si>
  <si>
    <t>31248004</t>
  </si>
  <si>
    <t>ООО "ТЕР"</t>
  </si>
  <si>
    <t>1911008704</t>
  </si>
  <si>
    <t>31560880</t>
  </si>
  <si>
    <t>ООО "Теплорресурс" с. Бея</t>
  </si>
  <si>
    <t>1900000492</t>
  </si>
  <si>
    <t>01-01-2022 00:00:00</t>
  </si>
  <si>
    <t>31562934</t>
  </si>
  <si>
    <t>ООО "Теплосервис"</t>
  </si>
  <si>
    <t>1900002965</t>
  </si>
  <si>
    <t>21-07-2021 00:00:00</t>
  </si>
  <si>
    <t>28494698</t>
  </si>
  <si>
    <t>ООО "Территория"</t>
  </si>
  <si>
    <t>2459017901</t>
  </si>
  <si>
    <t>245901001</t>
  </si>
  <si>
    <t>28870673</t>
  </si>
  <si>
    <t>ООО "Фирма "Ригор"</t>
  </si>
  <si>
    <t>2466095756</t>
  </si>
  <si>
    <t>246601001</t>
  </si>
  <si>
    <t>11-09-2001 00:00:00</t>
  </si>
  <si>
    <t>26354650</t>
  </si>
  <si>
    <t>ООО "ХакТЭК"</t>
  </si>
  <si>
    <t>1903013620</t>
  </si>
  <si>
    <t>28799585</t>
  </si>
  <si>
    <t>ООО "ХакасГрадСтрой"</t>
  </si>
  <si>
    <t>1905011875</t>
  </si>
  <si>
    <t>29-10-2013 00:00:00</t>
  </si>
  <si>
    <t>28150844</t>
  </si>
  <si>
    <t>ООО "Хакасские коммунальные системы"</t>
  </si>
  <si>
    <t>1902024682</t>
  </si>
  <si>
    <t>01-02-2013 00:00:00</t>
  </si>
  <si>
    <t>31196946</t>
  </si>
  <si>
    <t>ООО "Черногорская котельная №2"</t>
  </si>
  <si>
    <t>1903021934</t>
  </si>
  <si>
    <t>01-12-2018 00:00:00</t>
  </si>
  <si>
    <t>31247963</t>
  </si>
  <si>
    <t>ООО "ЭКО СТАНДАРТ"</t>
  </si>
  <si>
    <t>2459020661</t>
  </si>
  <si>
    <t>31036435</t>
  </si>
  <si>
    <t>ООО РСО «Прогресс»</t>
  </si>
  <si>
    <t>1903026932</t>
  </si>
  <si>
    <t>26-06-2017 00:00:00</t>
  </si>
  <si>
    <t>30388824</t>
  </si>
  <si>
    <t>ООО УК "Наш дом"</t>
  </si>
  <si>
    <t>1911008302</t>
  </si>
  <si>
    <t>25-07-2012 00:00:00</t>
  </si>
  <si>
    <t>26354680</t>
  </si>
  <si>
    <t>ФКУ ИК-28 УФСИН России по РХ</t>
  </si>
  <si>
    <t>1910000043</t>
  </si>
  <si>
    <t>26425314</t>
  </si>
  <si>
    <t>Филиал "Абаканская ТЭЦ"  АО "Енисейская ТГК (ТГК-13)"</t>
  </si>
  <si>
    <t>1901067718</t>
  </si>
  <si>
    <t>190103001</t>
  </si>
  <si>
    <t>30914574</t>
  </si>
  <si>
    <t>Филиал ФГБУ "ЦЖКУ" МИНОБОРОНЫ РОССИИ (по ЦВО)</t>
  </si>
  <si>
    <t>7729314745</t>
  </si>
  <si>
    <t>667043001</t>
  </si>
  <si>
    <t>26616331</t>
  </si>
  <si>
    <t>Абаканская дистанция гражданских сооружений ОАО "РЖД" Красноярской железной дороги</t>
  </si>
  <si>
    <t>31734411</t>
  </si>
  <si>
    <t>ГУП РХ "Хакасресводоканал"</t>
  </si>
  <si>
    <t>1900012160</t>
  </si>
  <si>
    <t>02-11-2023 00:00:00</t>
  </si>
  <si>
    <t>28048780</t>
  </si>
  <si>
    <t>КУ "Пуланколь Услуга Плюс"</t>
  </si>
  <si>
    <t>1905006184</t>
  </si>
  <si>
    <t>26616328</t>
  </si>
  <si>
    <t>МБУ ЖКХ "ИСТОК"</t>
  </si>
  <si>
    <t>1910011422</t>
  </si>
  <si>
    <t>26523577</t>
  </si>
  <si>
    <t>МБУ ЖКХ "Усть-Бюрсервис"</t>
  </si>
  <si>
    <t>1910009840</t>
  </si>
  <si>
    <t>31468770</t>
  </si>
  <si>
    <t>МКП "Аскизводоресурс" администрации аскизского сельсовета</t>
  </si>
  <si>
    <t>1902030083</t>
  </si>
  <si>
    <t>21-09-2020 00:00:00</t>
  </si>
  <si>
    <t>31529885</t>
  </si>
  <si>
    <t>МКП "Боград"</t>
  </si>
  <si>
    <t>1903028986</t>
  </si>
  <si>
    <t>01-12-2021 00:00:00</t>
  </si>
  <si>
    <t>31397368</t>
  </si>
  <si>
    <t>МКП ЖКХ "Развитие и благоустройство"</t>
  </si>
  <si>
    <t>1902029465</t>
  </si>
  <si>
    <t>21-10-2019 00:00:00</t>
  </si>
  <si>
    <t>30924533</t>
  </si>
  <si>
    <t>МКУ "Айдас"</t>
  </si>
  <si>
    <t>1905012501</t>
  </si>
  <si>
    <t>06-04-2016 00:00:00</t>
  </si>
  <si>
    <t>31464155</t>
  </si>
  <si>
    <t>МКУ "Бейский"</t>
  </si>
  <si>
    <t>1902028937</t>
  </si>
  <si>
    <t>04-02-2019 00:00:00</t>
  </si>
  <si>
    <t>28048728</t>
  </si>
  <si>
    <t>МКУ "Группа хозяйственного обслуживания и обеспечения"</t>
  </si>
  <si>
    <t>1905008865</t>
  </si>
  <si>
    <t>31268514</t>
  </si>
  <si>
    <t>МКУ "КБО"</t>
  </si>
  <si>
    <t>1902025319</t>
  </si>
  <si>
    <t>28070620</t>
  </si>
  <si>
    <t>МКУ "Пахтас"</t>
  </si>
  <si>
    <t>1905010889</t>
  </si>
  <si>
    <t>31391385</t>
  </si>
  <si>
    <t>МКУ "Томь"</t>
  </si>
  <si>
    <t>1902028920</t>
  </si>
  <si>
    <t>28-01-2019 00:00:00</t>
  </si>
  <si>
    <t>30924540</t>
  </si>
  <si>
    <t>МКУ "Хозяйственная группа"</t>
  </si>
  <si>
    <t>1902027644</t>
  </si>
  <si>
    <t>28-06-2017 00:00:00</t>
  </si>
  <si>
    <t>26522917</t>
  </si>
  <si>
    <t>МУП "Водоканал"</t>
  </si>
  <si>
    <t>1901037777</t>
  </si>
  <si>
    <t>31391397</t>
  </si>
  <si>
    <t>МУП "СГС"</t>
  </si>
  <si>
    <t>1910002812</t>
  </si>
  <si>
    <t>31468915</t>
  </si>
  <si>
    <t>МУП «КАБЫРЧАК»</t>
  </si>
  <si>
    <t>1902030069</t>
  </si>
  <si>
    <t>16-09-2020 00:00:00</t>
  </si>
  <si>
    <t>28873161</t>
  </si>
  <si>
    <t>Муниципальное бюджетное учреждение "Имекский двор" Администрации Имекского сельсовета Таштыпского района Республики Хакасия</t>
  </si>
  <si>
    <t>1909001405</t>
  </si>
  <si>
    <t>06-03-2012 00:00:00</t>
  </si>
  <si>
    <t>26522954</t>
  </si>
  <si>
    <t>Муниципальное казенное предприятие "Новомарьясовское ЖКХ"</t>
  </si>
  <si>
    <t>1908003400</t>
  </si>
  <si>
    <t>31624516</t>
  </si>
  <si>
    <t>ООО "РСБ"</t>
  </si>
  <si>
    <t>1911008736</t>
  </si>
  <si>
    <t>15-05-2015 00:00:00</t>
  </si>
  <si>
    <t>28453902</t>
  </si>
  <si>
    <t>ООО "Саяногорские коммунальные системы"</t>
  </si>
  <si>
    <t>1902025326</t>
  </si>
  <si>
    <t>09-09-2013 00:00:00</t>
  </si>
  <si>
    <t>31468784</t>
  </si>
  <si>
    <t>ООО "Сорские водопроводные сети"</t>
  </si>
  <si>
    <t>1903029355</t>
  </si>
  <si>
    <t>23-03-2020 00:00:00</t>
  </si>
  <si>
    <t>31856159</t>
  </si>
  <si>
    <t>ООО "ЯНА"</t>
  </si>
  <si>
    <t>1900015185</t>
  </si>
  <si>
    <t>18-06-2025 00:00:00</t>
  </si>
  <si>
    <t>26425306</t>
  </si>
  <si>
    <t>Филиал Публичного акционерного общества"Федеральная гидрогенерирующая компания РусГидро" - "Саяно-Шушенская ГЭС имени П.С. Непорожнего"</t>
  </si>
  <si>
    <t>2460066195</t>
  </si>
  <si>
    <t>190202001</t>
  </si>
  <si>
    <t>31669230</t>
  </si>
  <si>
    <t>АО "РМ Рейл Абаканвагонмаш"</t>
  </si>
  <si>
    <t>1901142757</t>
  </si>
  <si>
    <t>01-11-2019 00:00:00</t>
  </si>
  <si>
    <t>31640004</t>
  </si>
  <si>
    <t>МКП Аскизский поссовет «Аскизские тепловые сети»</t>
  </si>
  <si>
    <t>1900007314</t>
  </si>
  <si>
    <t>11-08-2022 00:00:00</t>
  </si>
  <si>
    <t>31391392</t>
  </si>
  <si>
    <t>МУП Аскизского поссовета "Аскизские Тепловые Сети"</t>
  </si>
  <si>
    <t>1905002581</t>
  </si>
  <si>
    <t>31044212</t>
  </si>
  <si>
    <t>Муниципальное унитарное предприятие Аскизского поссовета "Аскизские тепловые сети"</t>
  </si>
  <si>
    <t>1902027926</t>
  </si>
  <si>
    <t>11-05-2017 00:00:00</t>
  </si>
  <si>
    <t>31397446</t>
  </si>
  <si>
    <t>ООО "РСК"</t>
  </si>
  <si>
    <t>1911008711</t>
  </si>
  <si>
    <t>31468794</t>
  </si>
  <si>
    <t>ООО "Сорские канализационные сети"</t>
  </si>
  <si>
    <t>1903029370</t>
  </si>
  <si>
    <t>24-03-2020 00:00:00</t>
  </si>
  <si>
    <t>31773008</t>
  </si>
  <si>
    <t>АО "Экопарк"</t>
  </si>
  <si>
    <t>1900012233</t>
  </si>
  <si>
    <t>01-10-2024 00:00:00</t>
  </si>
  <si>
    <t>31221421</t>
  </si>
  <si>
    <t>ООО "АЭРОСИТИ-2000"</t>
  </si>
  <si>
    <t>7730118512</t>
  </si>
  <si>
    <t>773401001</t>
  </si>
  <si>
    <t>28-09-1999 00:00:00</t>
  </si>
  <si>
    <t>31824380</t>
  </si>
  <si>
    <t>ООО "Благоустройство"</t>
  </si>
  <si>
    <t>1900016608</t>
  </si>
  <si>
    <t>28-01-2025 00:00:00</t>
  </si>
  <si>
    <t>30875905</t>
  </si>
  <si>
    <t>ООО "ВИР ТБО"</t>
  </si>
  <si>
    <t>1905012195</t>
  </si>
  <si>
    <t>21-07-2015 00:00:00</t>
  </si>
  <si>
    <t>31747817</t>
  </si>
  <si>
    <t>ООО "Зеленые линии"</t>
  </si>
  <si>
    <t>4205383601</t>
  </si>
  <si>
    <t>420501001</t>
  </si>
  <si>
    <t>31801610</t>
  </si>
  <si>
    <t>ООО "Полигон"</t>
  </si>
  <si>
    <t>1900016083</t>
  </si>
  <si>
    <t>13-12-2024 00:00:00</t>
  </si>
  <si>
    <t>31748993</t>
  </si>
  <si>
    <t>ООО "ЭКОХАКАСВТОРСЫРЬЕ"</t>
  </si>
  <si>
    <t>1901083710</t>
  </si>
  <si>
    <t>27585342</t>
  </si>
  <si>
    <t>ООО"УТБО"</t>
  </si>
  <si>
    <t>1903016444</t>
  </si>
  <si>
    <t>01-01-2012 00:00:00</t>
  </si>
  <si>
    <t>NSRF</t>
  </si>
  <si>
    <t>MR_NAME</t>
  </si>
  <si>
    <t>OKTMO_MR_NAME</t>
  </si>
  <si>
    <t>MO_NAME</t>
  </si>
  <si>
    <t>OKTMO_NAME</t>
  </si>
  <si>
    <t>TYPE</t>
  </si>
  <si>
    <t>MR_ID</t>
  </si>
  <si>
    <t>Алтайский</t>
  </si>
  <si>
    <t>95605000</t>
  </si>
  <si>
    <t>муниципальный район</t>
  </si>
  <si>
    <t>Аршановское</t>
  </si>
  <si>
    <t>95605405</t>
  </si>
  <si>
    <t>сельское поселение</t>
  </si>
  <si>
    <t>Белоярское</t>
  </si>
  <si>
    <t>95605410</t>
  </si>
  <si>
    <t>Изыхское</t>
  </si>
  <si>
    <t>95605418</t>
  </si>
  <si>
    <t>Кировское</t>
  </si>
  <si>
    <t>95605420</t>
  </si>
  <si>
    <t>Краснопольское</t>
  </si>
  <si>
    <t>95605425</t>
  </si>
  <si>
    <t>Новомихайловское</t>
  </si>
  <si>
    <t>95605430</t>
  </si>
  <si>
    <t>Новороссийское</t>
  </si>
  <si>
    <t>95605435</t>
  </si>
  <si>
    <t>Очурское</t>
  </si>
  <si>
    <t>95605440</t>
  </si>
  <si>
    <t>Подсинское</t>
  </si>
  <si>
    <t>95605445</t>
  </si>
  <si>
    <t>Аскизский</t>
  </si>
  <si>
    <t>95608000</t>
  </si>
  <si>
    <t>Аскизское</t>
  </si>
  <si>
    <t>95608405</t>
  </si>
  <si>
    <t>Базинское</t>
  </si>
  <si>
    <t>95608410</t>
  </si>
  <si>
    <t>Балыксинское</t>
  </si>
  <si>
    <t>95608409</t>
  </si>
  <si>
    <t>Бельтирское</t>
  </si>
  <si>
    <t>95608412</t>
  </si>
  <si>
    <t>Бирикчульское</t>
  </si>
  <si>
    <t>95608413</t>
  </si>
  <si>
    <t>Верх-Аскизское</t>
  </si>
  <si>
    <t>95608415</t>
  </si>
  <si>
    <t>Есинское</t>
  </si>
  <si>
    <t>95608420</t>
  </si>
  <si>
    <t>Кызласское</t>
  </si>
  <si>
    <t>95608430</t>
  </si>
  <si>
    <t>Поселок Аскиз</t>
  </si>
  <si>
    <t>95608151</t>
  </si>
  <si>
    <t>городское поселение, в состав которого входит поселок</t>
  </si>
  <si>
    <t>Поселок Бискамжа</t>
  </si>
  <si>
    <t>95608165</t>
  </si>
  <si>
    <t>Поселок Вершина Теи</t>
  </si>
  <si>
    <t>95608169</t>
  </si>
  <si>
    <t>Пуланкольское</t>
  </si>
  <si>
    <t>95608440</t>
  </si>
  <si>
    <t>Усть-Камыштинское</t>
  </si>
  <si>
    <t>95608450</t>
  </si>
  <si>
    <t>Усть-Чульское</t>
  </si>
  <si>
    <t>95608455</t>
  </si>
  <si>
    <t>Бейский</t>
  </si>
  <si>
    <t>95612000</t>
  </si>
  <si>
    <t>Бейское</t>
  </si>
  <si>
    <t>95612405</t>
  </si>
  <si>
    <t>Большемонокское</t>
  </si>
  <si>
    <t>95612410</t>
  </si>
  <si>
    <t>Бондаревское</t>
  </si>
  <si>
    <t>95612415</t>
  </si>
  <si>
    <t>Кирбинское</t>
  </si>
  <si>
    <t>95612425</t>
  </si>
  <si>
    <t>Куйбышевское</t>
  </si>
  <si>
    <t>95612430</t>
  </si>
  <si>
    <t>Межселенные территории, находящиеся вне границ сельских поселений Бейского района</t>
  </si>
  <si>
    <t>95612701</t>
  </si>
  <si>
    <t>межселенная территория</t>
  </si>
  <si>
    <t>Новоенисейское</t>
  </si>
  <si>
    <t>95612440</t>
  </si>
  <si>
    <t>Сабинское</t>
  </si>
  <si>
    <t>95612455</t>
  </si>
  <si>
    <t>Табатское</t>
  </si>
  <si>
    <t>95612460</t>
  </si>
  <si>
    <t>Боградский</t>
  </si>
  <si>
    <t>95615000</t>
  </si>
  <si>
    <t>Боградское</t>
  </si>
  <si>
    <t>95615410</t>
  </si>
  <si>
    <t>Большеербинское</t>
  </si>
  <si>
    <t>95615415</t>
  </si>
  <si>
    <t>Бородинское</t>
  </si>
  <si>
    <t>95615420</t>
  </si>
  <si>
    <t>Знаменское</t>
  </si>
  <si>
    <t>95615430</t>
  </si>
  <si>
    <t>Первомайское</t>
  </si>
  <si>
    <t>95615440</t>
  </si>
  <si>
    <t>Пушновское</t>
  </si>
  <si>
    <t>95615445</t>
  </si>
  <si>
    <t>Сарагашское</t>
  </si>
  <si>
    <t>95615450</t>
  </si>
  <si>
    <t>Советско-Хакасское</t>
  </si>
  <si>
    <t>95615455</t>
  </si>
  <si>
    <t>Сонское</t>
  </si>
  <si>
    <t>95615460</t>
  </si>
  <si>
    <t>Троицкое</t>
  </si>
  <si>
    <t>95615404</t>
  </si>
  <si>
    <t>Орджоникидзевский</t>
  </si>
  <si>
    <t>95620000</t>
  </si>
  <si>
    <t>Гайдаровское</t>
  </si>
  <si>
    <t>95620405</t>
  </si>
  <si>
    <t>Копьёвский поссовет</t>
  </si>
  <si>
    <t>95620403</t>
  </si>
  <si>
    <t>Копьёвский сельсовет</t>
  </si>
  <si>
    <t>95620420</t>
  </si>
  <si>
    <t>Красноиюсское</t>
  </si>
  <si>
    <t>95620425</t>
  </si>
  <si>
    <t>Новомарьясовское</t>
  </si>
  <si>
    <t>95620430</t>
  </si>
  <si>
    <t>Приисковое</t>
  </si>
  <si>
    <t>95620437</t>
  </si>
  <si>
    <t>Саралинское</t>
  </si>
  <si>
    <t>95620440</t>
  </si>
  <si>
    <t>Устинкинское</t>
  </si>
  <si>
    <t>95620450</t>
  </si>
  <si>
    <t>с. Орджоникидзевское</t>
  </si>
  <si>
    <t>95620435</t>
  </si>
  <si>
    <t>Таштыпский</t>
  </si>
  <si>
    <t>95625000</t>
  </si>
  <si>
    <t>Анчулское</t>
  </si>
  <si>
    <t>95625405</t>
  </si>
  <si>
    <t>Арбатское</t>
  </si>
  <si>
    <t>95625408</t>
  </si>
  <si>
    <t>Большесейское</t>
  </si>
  <si>
    <t>95625415</t>
  </si>
  <si>
    <t>Бутрахтинское</t>
  </si>
  <si>
    <t>95625420</t>
  </si>
  <si>
    <t>60</t>
  </si>
  <si>
    <t>Имекское</t>
  </si>
  <si>
    <t>95625422</t>
  </si>
  <si>
    <t>61</t>
  </si>
  <si>
    <t>Матурское</t>
  </si>
  <si>
    <t>95625425</t>
  </si>
  <si>
    <t>62</t>
  </si>
  <si>
    <t>Межселенная территория Таштыпского муниципального района, включающая п Кубайка, п Большой Он, п Малый Анзас</t>
  </si>
  <si>
    <t>95625702</t>
  </si>
  <si>
    <t>63</t>
  </si>
  <si>
    <t>Нижнесирское</t>
  </si>
  <si>
    <t>95625430</t>
  </si>
  <si>
    <t>64</t>
  </si>
  <si>
    <t>65</t>
  </si>
  <si>
    <t>Таштыпское</t>
  </si>
  <si>
    <t>95625440</t>
  </si>
  <si>
    <t>Усть-Абаканский</t>
  </si>
  <si>
    <t>95630000</t>
  </si>
  <si>
    <t>Вершино-Биджинское</t>
  </si>
  <si>
    <t>95630405</t>
  </si>
  <si>
    <t>67</t>
  </si>
  <si>
    <t>Весенненское</t>
  </si>
  <si>
    <t>95630410</t>
  </si>
  <si>
    <t>Доможаковское</t>
  </si>
  <si>
    <t>95630415</t>
  </si>
  <si>
    <t>69</t>
  </si>
  <si>
    <t>Калининское</t>
  </si>
  <si>
    <t>95630425</t>
  </si>
  <si>
    <t>70</t>
  </si>
  <si>
    <t>Московское</t>
  </si>
  <si>
    <t>95630430</t>
  </si>
  <si>
    <t>71</t>
  </si>
  <si>
    <t>Опытненское</t>
  </si>
  <si>
    <t>95630435</t>
  </si>
  <si>
    <t>72</t>
  </si>
  <si>
    <t>Поселок Усть-Абакан</t>
  </si>
  <si>
    <t>95630151</t>
  </si>
  <si>
    <t>73</t>
  </si>
  <si>
    <t>Райковское</t>
  </si>
  <si>
    <t>95630440</t>
  </si>
  <si>
    <t>74</t>
  </si>
  <si>
    <t>Расцветовское</t>
  </si>
  <si>
    <t>95630445</t>
  </si>
  <si>
    <t>75</t>
  </si>
  <si>
    <t>Сапоговское</t>
  </si>
  <si>
    <t>95630455</t>
  </si>
  <si>
    <t>76</t>
  </si>
  <si>
    <t>Солнечное</t>
  </si>
  <si>
    <t>95630460</t>
  </si>
  <si>
    <t>77</t>
  </si>
  <si>
    <t>78</t>
  </si>
  <si>
    <t>Усть-Бюрское</t>
  </si>
  <si>
    <t>95630465</t>
  </si>
  <si>
    <t>79</t>
  </si>
  <si>
    <t>Чарковское</t>
  </si>
  <si>
    <t>95630470</t>
  </si>
  <si>
    <t>80</t>
  </si>
  <si>
    <t>Ширинский</t>
  </si>
  <si>
    <t>95635000</t>
  </si>
  <si>
    <t>Беренжакское</t>
  </si>
  <si>
    <t>95635405</t>
  </si>
  <si>
    <t>81</t>
  </si>
  <si>
    <t>Борцовское</t>
  </si>
  <si>
    <t>95635410</t>
  </si>
  <si>
    <t>82</t>
  </si>
  <si>
    <t>Воротское</t>
  </si>
  <si>
    <t>95635415</t>
  </si>
  <si>
    <t>83</t>
  </si>
  <si>
    <t>Ефремкинское</t>
  </si>
  <si>
    <t>95635425</t>
  </si>
  <si>
    <t>84</t>
  </si>
  <si>
    <t>Жемчужненский сельсовет</t>
  </si>
  <si>
    <t>95635430</t>
  </si>
  <si>
    <t>85</t>
  </si>
  <si>
    <t>Коммунаровский сельсовет</t>
  </si>
  <si>
    <t>95635401</t>
  </si>
  <si>
    <t>86</t>
  </si>
  <si>
    <t>Селосонское</t>
  </si>
  <si>
    <t>95635435</t>
  </si>
  <si>
    <t>87</t>
  </si>
  <si>
    <t>Соленоозерное</t>
  </si>
  <si>
    <t>95635438</t>
  </si>
  <si>
    <t>88</t>
  </si>
  <si>
    <t>Спиринское</t>
  </si>
  <si>
    <t>95635440</t>
  </si>
  <si>
    <t>89</t>
  </si>
  <si>
    <t>Туимский сельсовет</t>
  </si>
  <si>
    <t>95635403</t>
  </si>
  <si>
    <t>90</t>
  </si>
  <si>
    <t>Фыркальское</t>
  </si>
  <si>
    <t>95635450</t>
  </si>
  <si>
    <t>91</t>
  </si>
  <si>
    <t>Целинное</t>
  </si>
  <si>
    <t>95635455</t>
  </si>
  <si>
    <t>92</t>
  </si>
  <si>
    <t>Черноозерное</t>
  </si>
  <si>
    <t>95635460</t>
  </si>
  <si>
    <t>93</t>
  </si>
  <si>
    <t>94</t>
  </si>
  <si>
    <t>Ширинский сельсовет</t>
  </si>
  <si>
    <t>95635404</t>
  </si>
  <si>
    <t>95</t>
  </si>
  <si>
    <t>село Джирим</t>
  </si>
  <si>
    <t>95635420</t>
  </si>
  <si>
    <t>96</t>
  </si>
  <si>
    <t>город Абаза</t>
  </si>
  <si>
    <t>95702000</t>
  </si>
  <si>
    <t>городской округ</t>
  </si>
  <si>
    <t>97</t>
  </si>
  <si>
    <t>город Абакан</t>
  </si>
  <si>
    <t>95701000</t>
  </si>
  <si>
    <t>98</t>
  </si>
  <si>
    <t>город Сорск</t>
  </si>
  <si>
    <t>95709000</t>
  </si>
  <si>
    <t>100</t>
  </si>
  <si>
    <t>город Черногорск</t>
  </si>
  <si>
    <t>95715000</t>
  </si>
  <si>
    <t>101</t>
  </si>
  <si>
    <t>NUMBER_POINT</t>
  </si>
  <si>
    <t>INVP_NAME</t>
  </si>
  <si>
    <t>INVP_ID</t>
  </si>
  <si>
    <t>L_START_DATE</t>
  </si>
  <si>
    <t>L_END_DATE</t>
  </si>
  <si>
    <t>L_DECISION_NAME</t>
  </si>
  <si>
    <t>L_DECISION_TYPE</t>
  </si>
  <si>
    <t>L_DECISION_NMBR</t>
  </si>
  <si>
    <t>L_DECISION_DATE</t>
  </si>
  <si>
    <t>Инвестиционная программа № 125-п от 11.10.2024 АО "БАЙКАЛЭНЕРГО" в сфере теплоснабжения в отношении системы теплоснабжения на 2025 год</t>
  </si>
  <si>
    <t>01.01.2025</t>
  </si>
  <si>
    <t>31.12.2025</t>
  </si>
  <si>
    <t>Инвестиционная программа № 127-п от 22.10.2024 ООО "ХКС" в сфере теплоснабжения в отношении теплоэнергетического комплекса (котельной) на 2025 год</t>
  </si>
  <si>
    <t>Инвестиционная программа № 36-п от 04.08.2023 ОП ЗАО "Байкалэнерго" - "Саяногорские тепловые сети" в сфере теплоснабжения по модернизации, реконструкции и техническому перевооружению системы теплоснабжения, на территории городского округа Саяногорск на 2024 год</t>
  </si>
  <si>
    <t>01.01.2024</t>
  </si>
  <si>
    <t>31.12.2024</t>
  </si>
  <si>
    <t>Инвестиционная программа № 73-п от 27.10.2023 ООО "Хакасские коммунальные системы" в сфере теплоснабжения по модернизации и реконструкции котельной на 2024 год</t>
  </si>
  <si>
    <t>Инвестиционная программа от 07.10.2025 АО "АБАКАНСКАЯ ТЭЦ" в сфере теплоснабжения в отношении системы теплоснабжения, на территории сельского поселения Опытненское, Усть-Абаканский на 2026 год</t>
  </si>
  <si>
    <t>01.01.2026</t>
  </si>
  <si>
    <t>31.12.2026</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</si>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</sst>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67">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49" fontId="5" fillId="12" borderId="5"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29" t="s">
        <v>1</v>
      </c>
      <c r="C2" s="2029"/>
      <c r="D2" s="2029"/>
      <c r="E2" s="2029"/>
      <c r="F2" s="2029"/>
      <c r="G2" s="2029"/>
      <c r="H2" s="2029"/>
      <c r="I2" s="2029"/>
      <c r="J2" s="2029"/>
      <c r="K2" s="2029"/>
      <c r="L2" s="2029"/>
      <c r="M2" s="2029"/>
      <c r="N2" s="2029"/>
      <c r="O2" s="2029"/>
      <c r="P2" s="2029"/>
      <c r="Q2" s="1631"/>
      <c r="R2" s="1631"/>
      <c r="S2" s="1631"/>
      <c r="T2" s="1631"/>
      <c r="U2" s="1631"/>
      <c r="V2" s="1632"/>
      <c r="W2" s="1631"/>
      <c r="X2" s="1631"/>
      <c r="Y2" s="1628"/>
      <c r="Z2" s="1627"/>
      <c r="AA2" s="1629"/>
      <c r="AB2" s="1627"/>
    </row>
    <row r="3" spans="1:28" ht="15.75" customHeight="1">
      <c r="A3" s="1627"/>
      <c r="B3" s="2030" t="s">
        <v>2</v>
      </c>
      <c r="C3" s="2030"/>
      <c r="D3" s="2030"/>
      <c r="E3" s="2030"/>
      <c r="F3" s="2030"/>
      <c r="G3" s="2030"/>
      <c r="H3" s="2030"/>
      <c r="I3" s="2030"/>
      <c r="J3" s="2030"/>
      <c r="K3" s="2030"/>
      <c r="L3" s="2030"/>
      <c r="M3" s="2030"/>
      <c r="N3" s="2030"/>
      <c r="O3" s="2030"/>
      <c r="P3" s="2030"/>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4"/>
      <c r="AA5" s="1629"/>
      <c r="AB5" s="1634"/>
    </row>
    <row r="6" spans="1:28" ht="15" customHeight="1">
      <c r="A6" s="1635"/>
      <c r="B6" s="2021" t="s">
        <v>3</v>
      </c>
      <c r="C6" s="202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1"/>
      <c r="C7" s="202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1"/>
      <c r="C8" s="2024"/>
      <c r="D8" s="1641"/>
      <c r="E8" s="1642" t="s">
        <v>4</v>
      </c>
      <c r="F8" s="2034" t="s">
        <v>5</v>
      </c>
      <c r="G8" s="2023"/>
      <c r="H8" s="2023"/>
      <c r="I8" s="2023"/>
      <c r="J8" s="2023"/>
      <c r="K8" s="2023"/>
      <c r="L8" s="2023"/>
      <c r="M8" s="2023"/>
      <c r="N8" s="1641"/>
      <c r="O8" s="1643" t="s">
        <v>4</v>
      </c>
      <c r="P8" s="2035" t="s">
        <v>6</v>
      </c>
      <c r="Q8" s="2036"/>
      <c r="R8" s="2036"/>
      <c r="S8" s="2036"/>
      <c r="T8" s="2036"/>
      <c r="U8" s="2036"/>
      <c r="V8" s="2036"/>
      <c r="W8" s="2036"/>
      <c r="X8" s="2036"/>
      <c r="Y8" s="1637"/>
      <c r="Z8" s="1638"/>
      <c r="AA8" s="1639"/>
      <c r="AB8" s="1639"/>
    </row>
    <row r="9" spans="1:28" ht="15" customHeight="1">
      <c r="A9" s="1635"/>
      <c r="B9" s="2021"/>
      <c r="C9" s="2024"/>
      <c r="D9" s="1641"/>
      <c r="E9" s="1644" t="s">
        <v>4</v>
      </c>
      <c r="F9" s="2034" t="s">
        <v>7</v>
      </c>
      <c r="G9" s="2023"/>
      <c r="H9" s="2023"/>
      <c r="I9" s="2023"/>
      <c r="J9" s="2023"/>
      <c r="K9" s="2023"/>
      <c r="L9" s="2023"/>
      <c r="M9" s="2023"/>
      <c r="N9" s="1641"/>
      <c r="O9" s="1645" t="s">
        <v>4</v>
      </c>
      <c r="P9" s="2035" t="s">
        <v>8</v>
      </c>
      <c r="Q9" s="2036"/>
      <c r="R9" s="2036"/>
      <c r="S9" s="2036"/>
      <c r="T9" s="2036"/>
      <c r="U9" s="2036"/>
      <c r="V9" s="2036"/>
      <c r="W9" s="2036"/>
      <c r="X9" s="2036"/>
      <c r="Y9" s="1637"/>
      <c r="Z9" s="1638"/>
      <c r="AA9" s="1639"/>
      <c r="AB9" s="1639"/>
    </row>
    <row r="10" spans="1:28" ht="30" customHeight="1">
      <c r="A10" s="1635"/>
      <c r="B10" s="2021"/>
      <c r="C10" s="2022"/>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0"/>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1"/>
      <c r="C12" s="2022"/>
      <c r="D12" s="1649"/>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7"/>
      <c r="Z12" s="1638"/>
      <c r="AA12" s="1639"/>
      <c r="AB12" s="1639"/>
    </row>
    <row r="13" spans="1:28" ht="15" customHeight="1">
      <c r="A13" s="1635"/>
      <c r="B13" s="1" t="s">
        <v>11</v>
      </c>
      <c r="C13" s="2020"/>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1"/>
      <c r="C14" s="2024"/>
      <c r="D14" s="1641"/>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7"/>
      <c r="Z14" s="1638"/>
      <c r="AA14" s="1639"/>
      <c r="AB14" s="1639"/>
    </row>
    <row r="15" spans="1:28" ht="16.5" customHeight="1">
      <c r="A15" s="1635"/>
      <c r="B15" s="2025"/>
      <c r="C15" s="2026"/>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79</v>
      </c>
      <c r="H1" s="425" t="s">
        <v>80</v>
      </c>
      <c r="I1" s="425" t="s">
        <v>81</v>
      </c>
      <c r="P1" s="425" t="s">
        <v>79</v>
      </c>
      <c r="Q1" s="425" t="s">
        <v>80</v>
      </c>
      <c r="R1" s="425" t="s">
        <v>81</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49" t="s">
        <v>383</v>
      </c>
      <c r="F4" s="2049"/>
      <c r="G4" s="2050"/>
      <c r="H4" s="2050"/>
      <c r="I4" s="2051"/>
      <c r="J4" s="427"/>
      <c r="K4" s="389"/>
      <c r="L4" s="389"/>
      <c r="W4" s="383">
        <v>22</v>
      </c>
    </row>
    <row r="5" spans="1:23" s="1561" customFormat="1" ht="18" customHeight="1">
      <c r="A5" s="693"/>
      <c r="D5" s="752"/>
      <c r="E5" s="2159" t="str">
        <f>IF(org=0,"Не определено",org)</f>
        <v>ОП АО "Байкалэнерго" - "Саяногорские тепловые сети"</v>
      </c>
      <c r="F5" s="2159"/>
      <c r="G5" s="2160"/>
      <c r="H5" s="2160"/>
      <c r="I5" s="2161"/>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44" t="s">
        <v>295</v>
      </c>
      <c r="F7" s="2144"/>
      <c r="G7" s="2145"/>
      <c r="H7" s="2145"/>
      <c r="I7" s="2145"/>
      <c r="J7" s="2145"/>
      <c r="K7" s="2145"/>
      <c r="L7" s="2113" t="s">
        <v>296</v>
      </c>
      <c r="W7" s="383">
        <v>14</v>
      </c>
    </row>
    <row r="8" spans="1:23" ht="48.2" customHeight="1">
      <c r="D8" s="386"/>
      <c r="E8" s="409" t="s">
        <v>84</v>
      </c>
      <c r="F8" s="753"/>
      <c r="G8" s="401" t="s">
        <v>82</v>
      </c>
      <c r="H8" s="401" t="s">
        <v>83</v>
      </c>
      <c r="I8" s="350" t="s">
        <v>81</v>
      </c>
      <c r="J8" s="350" t="s">
        <v>384</v>
      </c>
      <c r="K8" s="350" t="s">
        <v>385</v>
      </c>
      <c r="L8" s="211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7" t="s">
        <v>386</v>
      </c>
      <c r="M10" s="443"/>
      <c r="N10" s="441"/>
      <c r="O10" s="441"/>
      <c r="P10" s="441"/>
      <c r="Q10" s="441"/>
      <c r="R10" s="441"/>
      <c r="S10" s="441"/>
      <c r="T10" s="441"/>
      <c r="U10" s="441"/>
      <c r="V10" s="441"/>
      <c r="W10" s="383">
        <v>0</v>
      </c>
    </row>
    <row r="11" spans="1:23" ht="15" hidden="1" customHeight="1">
      <c r="A11" s="2041"/>
      <c r="B11" s="440"/>
      <c r="C11" s="440"/>
      <c r="D11" s="795"/>
      <c r="E11" s="449"/>
      <c r="F11" s="449"/>
      <c r="G11" s="449"/>
      <c r="H11" s="449"/>
      <c r="I11" s="450"/>
      <c r="J11" s="451"/>
      <c r="K11" s="649"/>
      <c r="L11" s="2171"/>
      <c r="M11" s="447"/>
      <c r="N11" s="447"/>
      <c r="O11" s="447"/>
      <c r="P11" s="452"/>
      <c r="Q11" s="452"/>
      <c r="R11" s="453"/>
      <c r="S11" s="447"/>
      <c r="T11" s="447"/>
      <c r="U11" s="447"/>
      <c r="V11" s="447"/>
      <c r="W11" s="383">
        <v>0</v>
      </c>
    </row>
    <row r="12" spans="1:23" s="1538" customFormat="1" ht="15" customHeight="1">
      <c r="A12" s="2041"/>
      <c r="B12" s="440"/>
      <c r="C12" s="440"/>
      <c r="D12" s="796"/>
      <c r="E12" s="753">
        <v>1</v>
      </c>
      <c r="F12" s="794">
        <v>23</v>
      </c>
      <c r="G12" s="793"/>
      <c r="H12" s="723"/>
      <c r="I12" s="721"/>
      <c r="J12" s="456" t="s">
        <v>66</v>
      </c>
      <c r="K12" s="1090" t="s">
        <v>22</v>
      </c>
      <c r="L12" s="2171"/>
      <c r="M12" s="447"/>
      <c r="N12" s="447"/>
      <c r="O12" s="447"/>
      <c r="P12" s="452" t="s">
        <v>387</v>
      </c>
      <c r="Q12" s="452" t="s">
        <v>388</v>
      </c>
      <c r="R12" s="453" t="s">
        <v>389</v>
      </c>
      <c r="S12" s="447" t="s">
        <v>390</v>
      </c>
      <c r="T12" s="447"/>
      <c r="U12" s="447"/>
      <c r="V12" s="447"/>
      <c r="W12" s="416">
        <v>14</v>
      </c>
    </row>
    <row r="13" spans="1:23" ht="15.75" customHeight="1">
      <c r="A13" s="2041"/>
      <c r="B13" s="441"/>
      <c r="D13" s="442"/>
      <c r="E13" s="341"/>
      <c r="F13" s="465"/>
      <c r="G13" s="352" t="s">
        <v>98</v>
      </c>
      <c r="H13" s="340"/>
      <c r="I13" s="340"/>
      <c r="J13" s="340"/>
      <c r="K13" s="339"/>
      <c r="L13" s="215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78</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35"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30"/>
      <c r="Q3" s="288"/>
      <c r="R3" s="289"/>
      <c r="S3" s="1235"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35"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35"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398</v>
      </c>
      <c r="M6" s="473"/>
      <c r="P6" s="2188">
        <v>1</v>
      </c>
      <c r="Q6" s="1231"/>
      <c r="R6" s="292"/>
      <c r="S6" s="1235"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35"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35"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32"/>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31"/>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2"/>
      <c r="AI17" s="2181" t="s">
        <v>66</v>
      </c>
      <c r="AJ17" s="2182"/>
      <c r="AK17" s="2181" t="s">
        <v>66</v>
      </c>
      <c r="AS17" s="1081">
        <v>0</v>
      </c>
    </row>
    <row r="18" spans="1:45" ht="14.25" hidden="1" customHeight="1">
      <c r="P18" s="1237"/>
      <c r="AD18" s="1286"/>
      <c r="AE18" s="1286"/>
      <c r="AF18" s="1286"/>
      <c r="AG18" s="265" t="str">
        <f>AH17&amp;"-"&amp;AJ17</f>
        <v>-</v>
      </c>
      <c r="AH18" s="2181"/>
      <c r="AI18" s="2181"/>
      <c r="AJ18" s="2181"/>
      <c r="AK18" s="2181"/>
      <c r="AS18" s="1081">
        <v>0</v>
      </c>
    </row>
    <row r="19" spans="1:45" ht="14.25" hidden="1" customHeight="1">
      <c r="P19" s="1237"/>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t="s">
        <v>429</v>
      </c>
      <c r="X40" s="2038" t="s">
        <v>430</v>
      </c>
      <c r="Y40" s="2037"/>
      <c r="Z40" s="2038" t="s">
        <v>431</v>
      </c>
      <c r="AA40" s="2043"/>
      <c r="AB40" s="2037"/>
      <c r="AC40" s="2202"/>
      <c r="AD40" s="2115" t="s">
        <v>428</v>
      </c>
      <c r="AE40" s="2193" t="s">
        <v>429</v>
      </c>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147" t="s">
        <v>441</v>
      </c>
      <c r="AA41" s="2150" t="s">
        <v>442</v>
      </c>
      <c r="AB41" s="2164"/>
      <c r="AC41" s="2203"/>
      <c r="AD41" s="2170"/>
      <c r="AE41" s="2194"/>
      <c r="AF41" s="1148" t="s">
        <v>439</v>
      </c>
      <c r="AG41" s="1148" t="s">
        <v>440</v>
      </c>
      <c r="AH41" s="1239"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182">
        <f ca="1">OFFSET(V42,0,-1)+1</f>
        <v>3</v>
      </c>
      <c r="W42" s="1182"/>
      <c r="X42" s="1182">
        <f ca="1">OFFSET(X42,0,-1)+1</f>
        <v>1</v>
      </c>
      <c r="Y42" s="1182">
        <f ca="1">OFFSET(Y42,0,-1)+1</f>
        <v>2</v>
      </c>
      <c r="Z42" s="1182">
        <f ca="1">OFFSET(Z42,0,-1)+1</f>
        <v>3</v>
      </c>
      <c r="AA42" s="2195">
        <f ca="1">OFFSET(AA42,0,-1)+1</f>
        <v>4</v>
      </c>
      <c r="AB42" s="2195"/>
      <c r="AC42" s="1182">
        <f ca="1">OFFSET(AC42,0,-2)+1</f>
        <v>5</v>
      </c>
      <c r="AD42" s="1238">
        <f ca="1">OFFSET(AD42,0,-1)+1</f>
        <v>6</v>
      </c>
      <c r="AE42" s="1238"/>
      <c r="AF42" s="1238">
        <f ca="1">OFFSET(AF42,0,-1)+1</f>
        <v>1</v>
      </c>
      <c r="AG42" s="1238">
        <f ca="1">OFFSET(AG42,0,-1)+1</f>
        <v>2</v>
      </c>
      <c r="AH42" s="1238">
        <f ca="1">OFFSET(AH42,0,-1)+1</f>
        <v>3</v>
      </c>
      <c r="AI42" s="2195">
        <f ca="1">OFFSET(AI42,0,-1)+1</f>
        <v>4</v>
      </c>
      <c r="AJ42" s="2195"/>
      <c r="AK42" s="1238">
        <f ca="1">OFFSET(AK42,0,-2)+1</f>
        <v>5</v>
      </c>
      <c r="AL42" s="1171">
        <f ca="1">OFFSET(AL42,0,-1)</f>
        <v>5</v>
      </c>
      <c r="AM42" s="1182">
        <f ca="1">OFFSET(AM42,0,-1)+1</f>
        <v>6</v>
      </c>
      <c r="AN42" s="447"/>
      <c r="AO42" s="447"/>
      <c r="AP42" s="447"/>
      <c r="AQ42" s="447"/>
      <c r="AR42" s="447"/>
      <c r="AS42" s="432">
        <v>0</v>
      </c>
    </row>
    <row r="43" spans="1:45" ht="24" customHeight="1">
      <c r="A43" s="1289" t="s">
        <v>153</v>
      </c>
      <c r="B43" s="1289"/>
      <c r="C43" s="1289"/>
      <c r="D43" s="1289"/>
      <c r="E43" s="2184">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153</v>
      </c>
      <c r="B44" s="1289" t="s">
        <v>154</v>
      </c>
      <c r="C44" s="1289"/>
      <c r="D44" s="1289"/>
      <c r="E44" s="2185"/>
      <c r="F44" s="2184">
        <v>1</v>
      </c>
      <c r="G44" s="1289"/>
      <c r="H44" s="1289"/>
      <c r="I44" s="1289"/>
      <c r="J44" s="1289"/>
      <c r="K44" s="1289"/>
      <c r="L44" s="1290"/>
      <c r="M44" s="1291"/>
      <c r="N44" s="1291"/>
      <c r="O44" s="1291"/>
      <c r="P44" s="458"/>
      <c r="Q44" s="288"/>
      <c r="R44" s="289"/>
      <c r="S44" s="1150"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23</v>
      </c>
    </row>
    <row r="45" spans="1:45" ht="24" customHeight="1">
      <c r="A45" s="1289" t="s">
        <v>153</v>
      </c>
      <c r="B45" s="1289" t="s">
        <v>154</v>
      </c>
      <c r="C45" s="1289" t="s">
        <v>155</v>
      </c>
      <c r="D45" s="1289"/>
      <c r="E45" s="2185"/>
      <c r="F45" s="2185"/>
      <c r="G45" s="2184">
        <v>1</v>
      </c>
      <c r="H45" s="1289"/>
      <c r="I45" s="1289"/>
      <c r="J45" s="1289"/>
      <c r="K45" s="1289"/>
      <c r="L45" s="1290"/>
      <c r="M45" s="1291"/>
      <c r="N45" s="1291"/>
      <c r="O45" s="1291"/>
      <c r="P45" s="290"/>
      <c r="Q45" s="288"/>
      <c r="R45" s="289"/>
      <c r="S45" s="1150"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4" customHeight="1">
      <c r="A46" s="1289" t="s">
        <v>153</v>
      </c>
      <c r="B46" s="1289" t="s">
        <v>154</v>
      </c>
      <c r="C46" s="1289" t="s">
        <v>155</v>
      </c>
      <c r="D46" s="1289" t="s">
        <v>156</v>
      </c>
      <c r="E46" s="2185"/>
      <c r="F46" s="2185"/>
      <c r="G46" s="2185"/>
      <c r="H46" s="2184">
        <v>1</v>
      </c>
      <c r="I46" s="1289"/>
      <c r="J46" s="1289"/>
      <c r="K46" s="1289"/>
      <c r="L46" s="1290"/>
      <c r="M46" s="1291"/>
      <c r="N46" s="1291"/>
      <c r="O46" s="1291"/>
      <c r="P46" s="290"/>
      <c r="Q46" s="288"/>
      <c r="R46" s="289"/>
      <c r="S46" s="1150"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23</v>
      </c>
    </row>
    <row r="47" spans="1:45" ht="49.5" customHeight="1">
      <c r="A47" s="1289" t="s">
        <v>153</v>
      </c>
      <c r="B47" s="1289" t="s">
        <v>154</v>
      </c>
      <c r="C47" s="1289" t="s">
        <v>155</v>
      </c>
      <c r="D47" s="1289" t="s">
        <v>156</v>
      </c>
      <c r="E47" s="2185"/>
      <c r="F47" s="2185"/>
      <c r="G47" s="2185"/>
      <c r="H47" s="2185"/>
      <c r="I47" s="2186" t="str">
        <f>S46&amp;".1"</f>
        <v>....1</v>
      </c>
      <c r="J47" s="1289"/>
      <c r="K47" s="1289"/>
      <c r="L47" s="1290" t="s">
        <v>398</v>
      </c>
      <c r="P47" s="2188">
        <v>1</v>
      </c>
      <c r="Q47" s="1146"/>
      <c r="R47" s="292"/>
      <c r="S47" s="1150"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153</v>
      </c>
      <c r="B48" s="1289" t="s">
        <v>154</v>
      </c>
      <c r="C48" s="1289" t="s">
        <v>155</v>
      </c>
      <c r="D48" s="1289" t="s">
        <v>156</v>
      </c>
      <c r="E48" s="2185"/>
      <c r="F48" s="2185"/>
      <c r="G48" s="2185"/>
      <c r="H48" s="2185"/>
      <c r="I48" s="2187"/>
      <c r="J48" s="2186" t="str">
        <f>I47&amp;".1"</f>
        <v>....1.1</v>
      </c>
      <c r="K48" s="1289"/>
      <c r="L48" s="1290" t="s">
        <v>401</v>
      </c>
      <c r="P48" s="2188"/>
      <c r="Q48" s="2188">
        <v>1</v>
      </c>
      <c r="R48" s="293"/>
      <c r="S48" s="1150"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23</v>
      </c>
    </row>
    <row r="49" spans="1:45" ht="24" customHeight="1">
      <c r="A49" s="1289" t="s">
        <v>153</v>
      </c>
      <c r="B49" s="1289" t="s">
        <v>154</v>
      </c>
      <c r="C49" s="1289" t="s">
        <v>155</v>
      </c>
      <c r="D49" s="1289" t="s">
        <v>156</v>
      </c>
      <c r="E49" s="2185"/>
      <c r="F49" s="2185"/>
      <c r="G49" s="2185"/>
      <c r="H49" s="2185"/>
      <c r="I49" s="2187"/>
      <c r="J49" s="2187"/>
      <c r="K49" s="2186" t="str">
        <f>J48&amp;".1"</f>
        <v>....1.1.1</v>
      </c>
      <c r="L49" s="1290" t="s">
        <v>404</v>
      </c>
      <c r="P49" s="2188"/>
      <c r="Q49" s="2188"/>
      <c r="R49" s="293">
        <v>1</v>
      </c>
      <c r="S49" s="1150"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447" t="e">
        <f ca="1">STRCHECKDATE(V50:AL50)</f>
        <v>#NAME?</v>
      </c>
      <c r="AO49" s="436"/>
      <c r="AP49" s="436" t="str">
        <f t="shared" si="1"/>
        <v/>
      </c>
      <c r="AQ49" s="436"/>
      <c r="AR49" s="436"/>
      <c r="AS49" s="1081">
        <v>23</v>
      </c>
    </row>
    <row r="50" spans="1:45" ht="1.1499999999999999" customHeight="1">
      <c r="A50" s="1289" t="s">
        <v>153</v>
      </c>
      <c r="B50" s="1289" t="s">
        <v>154</v>
      </c>
      <c r="C50" s="1289" t="s">
        <v>155</v>
      </c>
      <c r="D50" s="1289" t="s">
        <v>156</v>
      </c>
      <c r="E50" s="2185"/>
      <c r="F50" s="2185"/>
      <c r="G50" s="2185"/>
      <c r="H50" s="2185"/>
      <c r="I50" s="2187"/>
      <c r="J50" s="2187"/>
      <c r="K50" s="2186"/>
      <c r="L50" s="1290"/>
      <c r="P50" s="2188"/>
      <c r="Q50" s="2188"/>
      <c r="R50" s="293"/>
      <c r="S50" s="114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153</v>
      </c>
      <c r="B51" s="1289" t="s">
        <v>154</v>
      </c>
      <c r="C51" s="1289" t="s">
        <v>155</v>
      </c>
      <c r="D51" s="1289" t="s">
        <v>156</v>
      </c>
      <c r="E51" s="2185"/>
      <c r="F51" s="2185"/>
      <c r="G51" s="2185"/>
      <c r="H51" s="2185"/>
      <c r="I51" s="2187"/>
      <c r="J51" s="2186"/>
      <c r="K51" s="1289"/>
      <c r="L51" s="1290"/>
      <c r="P51" s="2188"/>
      <c r="Q51" s="2188"/>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153</v>
      </c>
      <c r="B52" s="1289" t="s">
        <v>154</v>
      </c>
      <c r="C52" s="1289" t="s">
        <v>155</v>
      </c>
      <c r="D52" s="1289" t="s">
        <v>156</v>
      </c>
      <c r="E52" s="2185"/>
      <c r="F52" s="2185"/>
      <c r="G52" s="2185"/>
      <c r="H52" s="2185"/>
      <c r="I52" s="2186"/>
      <c r="J52" s="1289"/>
      <c r="K52" s="1289"/>
      <c r="L52" s="1290"/>
      <c r="P52" s="2188"/>
      <c r="Q52" s="1146"/>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153</v>
      </c>
      <c r="B53" s="1289" t="s">
        <v>154</v>
      </c>
      <c r="C53" s="1289" t="s">
        <v>155</v>
      </c>
      <c r="D53" s="1289" t="s">
        <v>156</v>
      </c>
      <c r="E53" s="2185"/>
      <c r="F53" s="2185"/>
      <c r="G53" s="2185"/>
      <c r="H53" s="2184"/>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153</v>
      </c>
      <c r="B54" s="1269" t="s">
        <v>154</v>
      </c>
      <c r="C54" s="1269" t="s">
        <v>155</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153</v>
      </c>
      <c r="B55" s="1269" t="s">
        <v>154</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153</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67.150000000000006" customHeight="1">
      <c r="O60" s="473"/>
      <c r="P60" s="1229"/>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64</v>
      </c>
    </row>
    <row r="61" spans="1:45" ht="14.65" customHeight="1">
      <c r="O61" s="473"/>
      <c r="AS61" s="1081">
        <v>14</v>
      </c>
    </row>
    <row r="62" spans="1:45" ht="18.75" customHeight="1">
      <c r="O62" s="473"/>
      <c r="P62" s="1254"/>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P63" s="1254"/>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29.25" customHeight="1">
      <c r="O64" s="473"/>
      <c r="P64" s="1254"/>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398</v>
      </c>
      <c r="M6" s="473"/>
      <c r="P6" s="2188">
        <v>1</v>
      </c>
      <c r="Q6" s="1257"/>
      <c r="R6" s="292"/>
      <c r="S6" s="1262"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t="s">
        <v>429</v>
      </c>
      <c r="X40" s="2038" t="s">
        <v>430</v>
      </c>
      <c r="Y40" s="2037"/>
      <c r="Z40" s="2038" t="s">
        <v>444</v>
      </c>
      <c r="AA40" s="2043"/>
      <c r="AB40" s="2037"/>
      <c r="AC40" s="2202"/>
      <c r="AD40" s="2115" t="s">
        <v>428</v>
      </c>
      <c r="AE40" s="2193" t="s">
        <v>429</v>
      </c>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158</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158</v>
      </c>
      <c r="B44" s="1289" t="s">
        <v>159</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158</v>
      </c>
      <c r="B45" s="1289" t="s">
        <v>159</v>
      </c>
      <c r="C45" s="1289" t="s">
        <v>160</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158</v>
      </c>
      <c r="B46" s="1289" t="s">
        <v>159</v>
      </c>
      <c r="C46" s="1289" t="s">
        <v>160</v>
      </c>
      <c r="D46" s="1289" t="s">
        <v>161</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ht="49.5" customHeight="1">
      <c r="A47" s="1289" t="s">
        <v>158</v>
      </c>
      <c r="B47" s="1289" t="s">
        <v>159</v>
      </c>
      <c r="C47" s="1289" t="s">
        <v>160</v>
      </c>
      <c r="D47" s="1289" t="s">
        <v>161</v>
      </c>
      <c r="E47" s="2185"/>
      <c r="F47" s="2185"/>
      <c r="G47" s="2185"/>
      <c r="H47" s="2185"/>
      <c r="I47" s="2186" t="str">
        <f>S46&amp;".1"</f>
        <v>....1</v>
      </c>
      <c r="J47" s="1289"/>
      <c r="K47" s="1289"/>
      <c r="L47" s="1290" t="s">
        <v>398</v>
      </c>
      <c r="P47" s="2188">
        <v>1</v>
      </c>
      <c r="Q47" s="1257"/>
      <c r="R47" s="292"/>
      <c r="S47" s="1262"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158</v>
      </c>
      <c r="B48" s="1289" t="s">
        <v>159</v>
      </c>
      <c r="C48" s="1289" t="s">
        <v>160</v>
      </c>
      <c r="D48" s="1289" t="s">
        <v>161</v>
      </c>
      <c r="E48" s="2185"/>
      <c r="F48" s="2185"/>
      <c r="G48" s="2185"/>
      <c r="H48" s="2185"/>
      <c r="I48" s="2187"/>
      <c r="J48" s="2186" t="str">
        <f>I47&amp;".1"</f>
        <v>....1.1</v>
      </c>
      <c r="K48" s="1289"/>
      <c r="L48" s="1290" t="s">
        <v>401</v>
      </c>
      <c r="P48" s="2188"/>
      <c r="Q48" s="2188">
        <v>1</v>
      </c>
      <c r="R48" s="293"/>
      <c r="S48" s="1262"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158</v>
      </c>
      <c r="B49" s="1289" t="s">
        <v>159</v>
      </c>
      <c r="C49" s="1289" t="s">
        <v>160</v>
      </c>
      <c r="D49" s="1289" t="s">
        <v>161</v>
      </c>
      <c r="E49" s="2185"/>
      <c r="F49" s="2185"/>
      <c r="G49" s="2185"/>
      <c r="H49" s="2185"/>
      <c r="I49" s="2187"/>
      <c r="J49" s="2187"/>
      <c r="K49" s="2186" t="str">
        <f>J48&amp;".1"</f>
        <v>....1.1.1</v>
      </c>
      <c r="L49" s="1290" t="s">
        <v>404</v>
      </c>
      <c r="P49" s="2188"/>
      <c r="Q49" s="2188"/>
      <c r="R49" s="293">
        <v>1</v>
      </c>
      <c r="S49" s="1262"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447" t="e">
        <f ca="1">STRCHECKDATE(V50:AL50)</f>
        <v>#NAME?</v>
      </c>
      <c r="AO49" s="436"/>
      <c r="AP49" s="436" t="str">
        <f t="shared" si="1"/>
        <v/>
      </c>
      <c r="AQ49" s="436"/>
      <c r="AR49" s="436"/>
      <c r="AS49" s="1081">
        <v>21</v>
      </c>
    </row>
    <row r="50" spans="1:45" ht="1.1499999999999999" customHeight="1">
      <c r="A50" s="1289" t="s">
        <v>158</v>
      </c>
      <c r="B50" s="1289" t="s">
        <v>159</v>
      </c>
      <c r="C50" s="1289" t="s">
        <v>160</v>
      </c>
      <c r="D50" s="1289" t="s">
        <v>161</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158</v>
      </c>
      <c r="B51" s="1289" t="s">
        <v>159</v>
      </c>
      <c r="C51" s="1289" t="s">
        <v>160</v>
      </c>
      <c r="D51" s="1289" t="s">
        <v>161</v>
      </c>
      <c r="E51" s="2185"/>
      <c r="F51" s="2185"/>
      <c r="G51" s="2185"/>
      <c r="H51" s="2185"/>
      <c r="I51" s="2187"/>
      <c r="J51" s="2186"/>
      <c r="K51" s="1289"/>
      <c r="L51" s="1290"/>
      <c r="P51" s="2188"/>
      <c r="Q51" s="2188"/>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158</v>
      </c>
      <c r="B52" s="1289" t="s">
        <v>159</v>
      </c>
      <c r="C52" s="1289" t="s">
        <v>160</v>
      </c>
      <c r="D52" s="1289" t="s">
        <v>161</v>
      </c>
      <c r="E52" s="2185"/>
      <c r="F52" s="2185"/>
      <c r="G52" s="2185"/>
      <c r="H52" s="2185"/>
      <c r="I52" s="2186"/>
      <c r="J52" s="1289"/>
      <c r="K52" s="1289"/>
      <c r="L52" s="1290"/>
      <c r="P52" s="2188"/>
      <c r="Q52" s="1257"/>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158</v>
      </c>
      <c r="B53" s="1289" t="s">
        <v>159</v>
      </c>
      <c r="C53" s="1289" t="s">
        <v>160</v>
      </c>
      <c r="D53" s="1289" t="s">
        <v>161</v>
      </c>
      <c r="E53" s="2185"/>
      <c r="F53" s="2185"/>
      <c r="G53" s="2185"/>
      <c r="H53" s="2184"/>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158</v>
      </c>
      <c r="B54" s="1269" t="s">
        <v>159</v>
      </c>
      <c r="C54" s="1269" t="s">
        <v>160</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158</v>
      </c>
      <c r="B55" s="1269" t="s">
        <v>159</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158</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65.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62</v>
      </c>
    </row>
    <row r="61" spans="1:45" ht="14.65" customHeight="1">
      <c r="O61" s="473"/>
      <c r="AS61" s="1081">
        <v>14</v>
      </c>
    </row>
    <row r="62" spans="1:45" ht="18.75" customHeight="1">
      <c r="O62" s="473"/>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29.25"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0">
        <v>1</v>
      </c>
      <c r="F2" s="1193"/>
      <c r="G2" s="1193"/>
      <c r="H2" s="1193"/>
      <c r="I2" s="1193"/>
      <c r="J2" s="1193"/>
      <c r="K2" s="1193"/>
      <c r="L2" s="1236"/>
      <c r="M2" s="1536"/>
      <c r="N2" s="1536"/>
      <c r="O2" s="1536"/>
      <c r="P2" s="1516"/>
      <c r="Q2" s="296"/>
      <c r="R2" s="291"/>
      <c r="S2" s="1880" t="e">
        <f>INDEX(PT_DIFFERENTIATION_NUM_NTAR,MATCH(A2,PT_DIFFERENTIATION_NTAR_ID,0))</f>
        <v>#N/A</v>
      </c>
      <c r="T2" s="1451"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1550"/>
      <c r="AP2" s="1550" t="str">
        <f t="shared" ref="AP2:AP15" si="0">IF(T2="","",T2)</f>
        <v>Наименование тарифа</v>
      </c>
      <c r="AQ2" s="1550"/>
      <c r="AR2" s="1550"/>
      <c r="AS2" s="1557">
        <v>0</v>
      </c>
    </row>
    <row r="3" spans="1:45" ht="21" hidden="1" customHeight="1">
      <c r="A3" s="1193"/>
      <c r="B3" s="1193"/>
      <c r="C3" s="1193"/>
      <c r="D3" s="1193"/>
      <c r="E3" s="2211"/>
      <c r="F3" s="2210">
        <v>1</v>
      </c>
      <c r="G3" s="1193"/>
      <c r="H3" s="1193"/>
      <c r="I3" s="1193"/>
      <c r="J3" s="1193"/>
      <c r="K3" s="1193"/>
      <c r="L3" s="1236"/>
      <c r="M3" s="1536"/>
      <c r="N3" s="1536"/>
      <c r="O3" s="1536"/>
      <c r="P3" s="1862"/>
      <c r="Q3" s="288"/>
      <c r="R3" s="289"/>
      <c r="S3" s="1880" t="e">
        <f>INDEX(PT_DIFFERENTIATION_NUM_TER,MATCH(B3,PT_DIFFERENTIATION_TER_ID,0))</f>
        <v>#N/A</v>
      </c>
      <c r="T3" s="1448"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1550"/>
      <c r="AP3" s="1550" t="str">
        <f t="shared" si="0"/>
        <v>Территория действия тарифа</v>
      </c>
      <c r="AQ3" s="1550"/>
      <c r="AR3" s="1550"/>
      <c r="AS3" s="1557">
        <v>0</v>
      </c>
    </row>
    <row r="4" spans="1:45" ht="23.25" hidden="1" customHeight="1">
      <c r="A4" s="1193"/>
      <c r="B4" s="1193"/>
      <c r="C4" s="1193"/>
      <c r="D4" s="1193"/>
      <c r="E4" s="2211"/>
      <c r="F4" s="2211"/>
      <c r="G4" s="2210">
        <v>1</v>
      </c>
      <c r="H4" s="1193"/>
      <c r="I4" s="1193"/>
      <c r="J4" s="1193"/>
      <c r="K4" s="1193"/>
      <c r="L4" s="1236"/>
      <c r="M4" s="1536"/>
      <c r="N4" s="1536"/>
      <c r="O4" s="1536"/>
      <c r="P4" s="290"/>
      <c r="Q4" s="288"/>
      <c r="R4" s="289"/>
      <c r="S4" s="1880"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1"/>
      <c r="F5" s="2211"/>
      <c r="G5" s="2211"/>
      <c r="H5" s="2210">
        <v>1</v>
      </c>
      <c r="I5" s="1193"/>
      <c r="J5" s="1193"/>
      <c r="K5" s="1193"/>
      <c r="L5" s="1236"/>
      <c r="M5" s="1536"/>
      <c r="N5" s="1536"/>
      <c r="O5" s="1536"/>
      <c r="P5" s="290"/>
      <c r="Q5" s="288"/>
      <c r="R5" s="289"/>
      <c r="S5" s="1880"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1550"/>
      <c r="AP5" s="1550" t="str">
        <f t="shared" si="0"/>
        <v xml:space="preserve">Источник тепловой энергии  </v>
      </c>
      <c r="AQ5" s="1550"/>
      <c r="AR5" s="1550"/>
      <c r="AS5" s="1557">
        <v>0</v>
      </c>
    </row>
    <row r="6" spans="1:45" ht="47.25" hidden="1" customHeight="1">
      <c r="A6" s="1193"/>
      <c r="B6" s="1193"/>
      <c r="C6" s="1193"/>
      <c r="D6" s="1193"/>
      <c r="E6" s="2211"/>
      <c r="F6" s="2211"/>
      <c r="G6" s="2211"/>
      <c r="H6" s="2211"/>
      <c r="I6" s="2056" t="e">
        <f>S5&amp;".1"</f>
        <v>#N/A</v>
      </c>
      <c r="J6" s="1193"/>
      <c r="K6" s="1193"/>
      <c r="L6" s="1236" t="s">
        <v>398</v>
      </c>
      <c r="M6" s="1561"/>
      <c r="P6" s="2188">
        <v>1</v>
      </c>
      <c r="Q6" s="1876"/>
      <c r="R6" s="292"/>
      <c r="S6" s="1880"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1"/>
      <c r="F7" s="2211"/>
      <c r="G7" s="2211"/>
      <c r="H7" s="2211"/>
      <c r="I7" s="2038"/>
      <c r="J7" s="2056" t="e">
        <f>I6&amp;".1"</f>
        <v>#N/A</v>
      </c>
      <c r="K7" s="1193"/>
      <c r="L7" s="1236" t="s">
        <v>401</v>
      </c>
      <c r="M7" s="1561"/>
      <c r="N7" s="1557"/>
      <c r="P7" s="2188"/>
      <c r="Q7" s="2188">
        <v>1</v>
      </c>
      <c r="R7" s="293"/>
      <c r="S7" s="1880"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1550"/>
      <c r="AP7" s="1550" t="str">
        <f t="shared" si="0"/>
        <v>Группа потребителей</v>
      </c>
      <c r="AQ7" s="1550"/>
      <c r="AR7" s="1550"/>
      <c r="AS7" s="1557">
        <v>0</v>
      </c>
    </row>
    <row r="8" spans="1:45" ht="21" hidden="1" customHeight="1">
      <c r="A8" s="1193"/>
      <c r="B8" s="1193"/>
      <c r="C8" s="1193"/>
      <c r="D8" s="1193"/>
      <c r="E8" s="2211"/>
      <c r="F8" s="2211"/>
      <c r="G8" s="2211"/>
      <c r="H8" s="2211"/>
      <c r="I8" s="2038"/>
      <c r="J8" s="2038"/>
      <c r="K8" s="2056" t="e">
        <f>J7&amp;".1"</f>
        <v>#N/A</v>
      </c>
      <c r="L8" s="1236" t="s">
        <v>404</v>
      </c>
      <c r="M8" s="1561"/>
      <c r="N8" s="1557"/>
      <c r="O8" s="1557"/>
      <c r="P8" s="2188"/>
      <c r="Q8" s="2188"/>
      <c r="R8" s="293">
        <v>1</v>
      </c>
      <c r="S8" s="1880"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1562" t="e">
        <f ca="1">STRCHECKDATE(V9:AL9)</f>
        <v>#NAME?</v>
      </c>
      <c r="AO8" s="1550"/>
      <c r="AP8" s="1550" t="str">
        <f t="shared" si="0"/>
        <v/>
      </c>
      <c r="AQ8" s="1550"/>
      <c r="AR8" s="1550"/>
      <c r="AS8" s="1557">
        <v>0</v>
      </c>
    </row>
    <row r="9" spans="1:45" ht="0.75" hidden="1" customHeight="1">
      <c r="A9" s="1193"/>
      <c r="B9" s="1193"/>
      <c r="C9" s="1193"/>
      <c r="D9" s="1193"/>
      <c r="E9" s="2211"/>
      <c r="F9" s="2211"/>
      <c r="G9" s="2211"/>
      <c r="H9" s="2211"/>
      <c r="I9" s="2038"/>
      <c r="J9" s="2038"/>
      <c r="K9" s="2056"/>
      <c r="L9" s="1236"/>
      <c r="M9" s="1561"/>
      <c r="N9" s="1557"/>
      <c r="O9" s="1557"/>
      <c r="P9" s="2188"/>
      <c r="Q9" s="2188"/>
      <c r="R9" s="293"/>
      <c r="S9" s="1889"/>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50"/>
      <c r="AP9" s="1550" t="str">
        <f t="shared" si="0"/>
        <v/>
      </c>
      <c r="AQ9" s="1550"/>
      <c r="AR9" s="1550"/>
      <c r="AS9" s="1557">
        <v>0</v>
      </c>
    </row>
    <row r="10" spans="1:45" ht="15" hidden="1" customHeight="1">
      <c r="A10" s="1193"/>
      <c r="B10" s="1193"/>
      <c r="C10" s="1193"/>
      <c r="D10" s="1193"/>
      <c r="E10" s="2211"/>
      <c r="F10" s="2211"/>
      <c r="G10" s="2211"/>
      <c r="H10" s="2211"/>
      <c r="I10" s="2038"/>
      <c r="J10" s="2056"/>
      <c r="K10" s="1193"/>
      <c r="L10" s="1236"/>
      <c r="M10" s="1561"/>
      <c r="N10" s="1557"/>
      <c r="P10" s="2188"/>
      <c r="Q10" s="2188"/>
      <c r="R10" s="292"/>
      <c r="S10" s="1204"/>
      <c r="T10" s="225" t="s">
        <v>406</v>
      </c>
      <c r="U10" s="536"/>
      <c r="V10" s="536"/>
      <c r="W10" s="536"/>
      <c r="X10" s="536"/>
      <c r="Y10" s="536"/>
      <c r="Z10" s="536"/>
      <c r="AA10" s="536"/>
      <c r="AB10" s="536"/>
      <c r="AC10" s="536"/>
      <c r="AD10" s="536"/>
      <c r="AE10" s="536"/>
      <c r="AF10" s="536"/>
      <c r="AG10" s="536"/>
      <c r="AH10" s="536"/>
      <c r="AI10" s="536"/>
      <c r="AJ10" s="536"/>
      <c r="AK10" s="536"/>
      <c r="AL10" s="261"/>
      <c r="AM10" s="220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1"/>
      <c r="F11" s="2211"/>
      <c r="G11" s="2211"/>
      <c r="H11" s="2211"/>
      <c r="I11" s="2056"/>
      <c r="J11" s="1193"/>
      <c r="K11" s="1193"/>
      <c r="L11" s="1236"/>
      <c r="M11" s="1561"/>
      <c r="P11" s="2188"/>
      <c r="Q11" s="1876"/>
      <c r="R11" s="292"/>
      <c r="S11" s="1204"/>
      <c r="T11" s="224" t="s">
        <v>407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1"/>
      <c r="F12" s="2211"/>
      <c r="G12" s="2211"/>
      <c r="H12" s="2210"/>
      <c r="I12" s="1193"/>
      <c r="J12" s="1193"/>
      <c r="K12" s="1193"/>
      <c r="L12" s="1236"/>
      <c r="M12" s="1536"/>
      <c r="N12" s="1536"/>
      <c r="O12" s="1561"/>
      <c r="P12" s="296"/>
      <c r="Q12" s="311"/>
      <c r="R12" s="291"/>
      <c r="S12" s="1204"/>
      <c r="T12" s="301" t="s">
        <v>408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1"/>
      <c r="F13" s="2211"/>
      <c r="G13" s="2210"/>
      <c r="H13" s="1300"/>
      <c r="I13" s="1300"/>
      <c r="J13" s="1300"/>
      <c r="K13" s="1300"/>
      <c r="L13" s="1303"/>
      <c r="M13" s="1304"/>
      <c r="N13" s="1304"/>
      <c r="O13" s="287"/>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1"/>
      <c r="F14" s="2210"/>
      <c r="G14" s="1300"/>
      <c r="H14" s="1300"/>
      <c r="I14" s="1300"/>
      <c r="J14" s="1300"/>
      <c r="K14" s="1300"/>
      <c r="L14" s="1303"/>
      <c r="M14" s="1305"/>
      <c r="N14" s="1305"/>
      <c r="O14" s="28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0"/>
      <c r="F15" s="1300"/>
      <c r="G15" s="1300"/>
      <c r="H15" s="1300"/>
      <c r="I15" s="1300"/>
      <c r="J15" s="1300"/>
      <c r="K15" s="1300"/>
      <c r="L15" s="1303"/>
      <c r="M15" s="1305"/>
      <c r="N15" s="1305"/>
      <c r="O15" s="28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2"/>
      <c r="AI17" s="2181" t="s">
        <v>66</v>
      </c>
      <c r="AJ17" s="2182"/>
      <c r="AK17" s="2181" t="s">
        <v>66</v>
      </c>
      <c r="AS17" s="1557">
        <v>0</v>
      </c>
    </row>
    <row r="18" spans="1:45" ht="14.25" hidden="1" customHeight="1">
      <c r="AD18" s="1286"/>
      <c r="AE18" s="1286"/>
      <c r="AF18" s="1286"/>
      <c r="AG18" s="265" t="str">
        <f>AH17&amp;"-"&amp;AJ17</f>
        <v>-</v>
      </c>
      <c r="AH18" s="2181"/>
      <c r="AI18" s="2181"/>
      <c r="AJ18" s="2181"/>
      <c r="AK18" s="218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413</v>
      </c>
      <c r="P22" s="1288"/>
      <c r="Q22" s="1297"/>
      <c r="R22" s="1297"/>
      <c r="S22" s="665"/>
      <c r="T22" s="1292" t="s">
        <v>414</v>
      </c>
      <c r="AA22" s="531" t="s">
        <v>415</v>
      </c>
      <c r="AC22" s="531" t="s">
        <v>416</v>
      </c>
      <c r="AD22" s="1292" t="s">
        <v>414</v>
      </c>
      <c r="AI22" s="531" t="s">
        <v>417</v>
      </c>
      <c r="AK22" s="531" t="s">
        <v>416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557">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5" t="s">
        <v>42</v>
      </c>
      <c r="T29" s="2175"/>
      <c r="U29" s="1298"/>
      <c r="V29" s="2177" t="str">
        <f>IF(TITLE_NAME_OR_PR_CHANGE="",IF(TITLE_NAME_OR_PR="","",TITLE_NAME_OR_PR),TITLE_NAME_OR_PR_CHANGE)</f>
        <v/>
      </c>
      <c r="W29" s="2177"/>
      <c r="X29" s="2177"/>
      <c r="Y29" s="2177"/>
      <c r="Z29" s="2177"/>
      <c r="AA29" s="2177"/>
      <c r="AB29" s="2177"/>
      <c r="AC29" s="1561"/>
      <c r="AD29" s="2177" t="str">
        <f>IF(TITLE_NAME_OR_PR_CHANGE="",IF(TITLE_NAME_OR_PR="","",TITLE_NAME_OR_PR),TITLE_NAME_OR_PR_CHANGE)</f>
        <v/>
      </c>
      <c r="AE29" s="2177"/>
      <c r="AF29" s="2177"/>
      <c r="AG29" s="2177"/>
      <c r="AH29" s="2177"/>
      <c r="AI29" s="2177"/>
      <c r="AJ29" s="217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5" t="s">
        <v>418</v>
      </c>
      <c r="T30" s="2175"/>
      <c r="U30" s="1298"/>
      <c r="V30" s="2176" t="str">
        <f>IF(TITLE_DATE_PR_CHANGE="",IF(TITLE_DATE_PR="","",TITLE_DATE_PR),TITLE_DATE_PR_CHANGE)</f>
        <v/>
      </c>
      <c r="W30" s="2176"/>
      <c r="X30" s="2176"/>
      <c r="Y30" s="2176"/>
      <c r="Z30" s="2176"/>
      <c r="AA30" s="2176"/>
      <c r="AB30" s="2176"/>
      <c r="AC30" s="1561"/>
      <c r="AD30" s="2176" t="str">
        <f>IF(TITLE_DATE_PR_CHANGE="",IF(TITLE_DATE_PR="","",TITLE_DATE_PR),TITLE_DATE_PR_CHANGE)</f>
        <v/>
      </c>
      <c r="AE30" s="2176"/>
      <c r="AF30" s="2176"/>
      <c r="AG30" s="2176"/>
      <c r="AH30" s="2176"/>
      <c r="AI30" s="2176"/>
      <c r="AJ30" s="217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5" t="s">
        <v>419</v>
      </c>
      <c r="T31" s="2175"/>
      <c r="U31" s="1298"/>
      <c r="V31" s="2177" t="str">
        <f>IF(TITLE_NUMBER_PR_CHANGE="",IF(TITLE_NUMBER_PR="","",TITLE_NUMBER_PR),TITLE_NUMBER_PR_CHANGE)</f>
        <v/>
      </c>
      <c r="W31" s="2177"/>
      <c r="X31" s="2177"/>
      <c r="Y31" s="2177"/>
      <c r="Z31" s="2177"/>
      <c r="AA31" s="2177"/>
      <c r="AB31" s="2177"/>
      <c r="AC31" s="1561"/>
      <c r="AD31" s="2177" t="str">
        <f>IF(TITLE_NUMBER_PR_CHANGE="",IF(TITLE_NUMBER_PR="","",TITLE_NUMBER_PR),TITLE_NUMBER_PR_CHANGE)</f>
        <v/>
      </c>
      <c r="AE31" s="2177"/>
      <c r="AF31" s="2177"/>
      <c r="AG31" s="2177"/>
      <c r="AH31" s="2177"/>
      <c r="AI31" s="2177"/>
      <c r="AJ31" s="217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5" t="s">
        <v>43</v>
      </c>
      <c r="T32" s="2175"/>
      <c r="U32" s="1298"/>
      <c r="V32" s="2177" t="str">
        <f>IF(TITLE_IST_PUB_CHANGE="",IF(TITLE_IST_PUB="","",TITLE_IST_PUB),TITLE_IST_PUB_CHANGE)</f>
        <v/>
      </c>
      <c r="W32" s="2177"/>
      <c r="X32" s="2177"/>
      <c r="Y32" s="2177"/>
      <c r="Z32" s="2177"/>
      <c r="AA32" s="2177"/>
      <c r="AB32" s="2177"/>
      <c r="AC32" s="1561"/>
      <c r="AD32" s="2177" t="str">
        <f>IF(TITLE_IST_PUB_CHANGE="",IF(TITLE_IST_PUB="","",TITLE_IST_PUB),TITLE_IST_PUB_CHANGE)</f>
        <v/>
      </c>
      <c r="AE32" s="2177"/>
      <c r="AF32" s="2177"/>
      <c r="AG32" s="2177"/>
      <c r="AH32" s="2177"/>
      <c r="AI32" s="2177"/>
      <c r="AJ32" s="217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5" t="s">
        <v>420</v>
      </c>
      <c r="T34" s="2175"/>
      <c r="U34" s="1298"/>
      <c r="V34" s="2176" t="str">
        <f>IF(TITLE_DATE_PR_CHANGE="",IF(TITLE_DATE_PR="","",TITLE_DATE_PR),TITLE_DATE_PR_CHANGE)</f>
        <v/>
      </c>
      <c r="W34" s="2176"/>
      <c r="X34" s="2176"/>
      <c r="Y34" s="2176"/>
      <c r="Z34" s="2176"/>
      <c r="AA34" s="2176"/>
      <c r="AB34" s="2176"/>
      <c r="AC34" s="1561"/>
      <c r="AD34" s="2176" t="str">
        <f>IF(TITLE_DATE_PR_CHANGE="",IF(TITLE_DATE_PR="","",TITLE_DATE_PR),TITLE_DATE_PR_CHANGE)</f>
        <v/>
      </c>
      <c r="AE34" s="2176"/>
      <c r="AF34" s="2176"/>
      <c r="AG34" s="2176"/>
      <c r="AH34" s="2176"/>
      <c r="AI34" s="2176"/>
      <c r="AJ34" s="217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5" t="s">
        <v>421</v>
      </c>
      <c r="T35" s="2175"/>
      <c r="U35" s="1298"/>
      <c r="V35" s="2177" t="str">
        <f>IF(TITLE_NUMBER_PR_CHANGE="",IF(TITLE_NUMBER_PR="","",TITLE_NUMBER_PR),TITLE_NUMBER_PR_CHANGE)</f>
        <v/>
      </c>
      <c r="W35" s="2177"/>
      <c r="X35" s="2177"/>
      <c r="Y35" s="2177"/>
      <c r="Z35" s="2177"/>
      <c r="AA35" s="2177"/>
      <c r="AB35" s="2177"/>
      <c r="AC35" s="1561"/>
      <c r="AD35" s="2177" t="str">
        <f>IF(TITLE_NUMBER_PR_CHANGE="",IF(TITLE_NUMBER_PR="","",TITLE_NUMBER_PR),TITLE_NUMBER_PR_CHANGE)</f>
        <v/>
      </c>
      <c r="AE35" s="2177"/>
      <c r="AF35" s="2177"/>
      <c r="AG35" s="2177"/>
      <c r="AH35" s="2177"/>
      <c r="AI35" s="2177"/>
      <c r="AJ35" s="217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422</v>
      </c>
      <c r="AD36" s="1561"/>
      <c r="AE36" s="1561"/>
      <c r="AF36" s="1561"/>
      <c r="AG36" s="1561"/>
      <c r="AH36" s="1561"/>
      <c r="AI36" s="1561"/>
      <c r="AJ36" s="1561"/>
      <c r="AK36" s="1568" t="s">
        <v>422</v>
      </c>
      <c r="AN36" s="304"/>
      <c r="AO36" s="304"/>
      <c r="AP36" s="304"/>
      <c r="AQ36" s="304"/>
      <c r="AR36" s="304"/>
      <c r="AS36" s="354">
        <v>0</v>
      </c>
    </row>
    <row r="37" spans="1:45" ht="14.65" customHeight="1">
      <c r="Q37" s="312"/>
      <c r="R37" s="312"/>
      <c r="S37" s="1201"/>
      <c r="T37" s="393"/>
      <c r="U37" s="1170"/>
      <c r="V37" s="2196"/>
      <c r="W37" s="2196"/>
      <c r="X37" s="2196"/>
      <c r="Y37" s="2196"/>
      <c r="Z37" s="2196"/>
      <c r="AA37" s="2196"/>
      <c r="AB37" s="2196"/>
      <c r="AC37" s="2196"/>
      <c r="AD37" s="2196"/>
      <c r="AE37" s="2196"/>
      <c r="AF37" s="2196"/>
      <c r="AG37" s="2196"/>
      <c r="AH37" s="2196"/>
      <c r="AI37" s="2196"/>
      <c r="AJ37" s="2196"/>
      <c r="AK37" s="2196"/>
      <c r="AS37" s="1557">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557">
        <v>14</v>
      </c>
    </row>
    <row r="39" spans="1:45" ht="14.65" customHeight="1">
      <c r="Q39" s="312"/>
      <c r="R39" s="312"/>
      <c r="S39" s="2197" t="s">
        <v>84</v>
      </c>
      <c r="T39" s="2145" t="s">
        <v>423</v>
      </c>
      <c r="U39" s="274"/>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557">
        <v>14</v>
      </c>
    </row>
    <row r="40" spans="1:45" ht="35.65" customHeight="1">
      <c r="Q40" s="312"/>
      <c r="R40" s="312"/>
      <c r="S40" s="2197"/>
      <c r="T40" s="2145"/>
      <c r="U40" s="960"/>
      <c r="V40" s="2115" t="s">
        <v>428</v>
      </c>
      <c r="W40" s="2193" t="s">
        <v>429</v>
      </c>
      <c r="X40" s="2038" t="s">
        <v>430</v>
      </c>
      <c r="Y40" s="2037"/>
      <c r="Z40" s="2038" t="s">
        <v>444</v>
      </c>
      <c r="AA40" s="2043"/>
      <c r="AB40" s="2037"/>
      <c r="AC40" s="2202"/>
      <c r="AD40" s="2115" t="s">
        <v>428</v>
      </c>
      <c r="AE40" s="2193" t="s">
        <v>429</v>
      </c>
      <c r="AF40" s="2038" t="s">
        <v>430</v>
      </c>
      <c r="AG40" s="2037"/>
      <c r="AH40" s="2038" t="s">
        <v>431</v>
      </c>
      <c r="AI40" s="2043"/>
      <c r="AJ40" s="2037"/>
      <c r="AK40" s="2202"/>
      <c r="AL40" s="2205"/>
      <c r="AM40" s="2056"/>
      <c r="AS40" s="1557">
        <v>34</v>
      </c>
    </row>
    <row r="41" spans="1:45" ht="35.65" customHeight="1">
      <c r="A41" s="1192"/>
      <c r="B41" s="1192" t="s">
        <v>132</v>
      </c>
      <c r="C41" s="1192" t="s">
        <v>133</v>
      </c>
      <c r="D41" s="1192" t="s">
        <v>134</v>
      </c>
      <c r="E41" s="1236" t="s">
        <v>432</v>
      </c>
      <c r="F41" s="1236" t="s">
        <v>433</v>
      </c>
      <c r="G41" s="1236" t="s">
        <v>434</v>
      </c>
      <c r="H41" s="1236" t="s">
        <v>435</v>
      </c>
      <c r="I41" s="1236" t="s">
        <v>436</v>
      </c>
      <c r="J41" s="1236" t="s">
        <v>437</v>
      </c>
      <c r="K41" s="1236" t="s">
        <v>438</v>
      </c>
      <c r="L41" s="1236" t="s">
        <v>413</v>
      </c>
      <c r="Q41" s="312"/>
      <c r="R41" s="312"/>
      <c r="S41" s="2197"/>
      <c r="T41" s="2145"/>
      <c r="U41" s="239"/>
      <c r="V41" s="2170"/>
      <c r="W41" s="2194"/>
      <c r="X41" s="1860" t="s">
        <v>439</v>
      </c>
      <c r="Y41" s="1860" t="s">
        <v>440</v>
      </c>
      <c r="Z41" s="1860" t="s">
        <v>441</v>
      </c>
      <c r="AA41" s="2150" t="s">
        <v>442</v>
      </c>
      <c r="AB41" s="2164"/>
      <c r="AC41" s="2203"/>
      <c r="AD41" s="2170"/>
      <c r="AE41" s="2194"/>
      <c r="AF41" s="1860" t="s">
        <v>439</v>
      </c>
      <c r="AG41" s="1860" t="s">
        <v>440</v>
      </c>
      <c r="AH41" s="1860" t="s">
        <v>441</v>
      </c>
      <c r="AI41" s="2150" t="s">
        <v>442</v>
      </c>
      <c r="AJ41" s="2164"/>
      <c r="AK41" s="2203"/>
      <c r="AL41" s="2206"/>
      <c r="AM41" s="205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105</v>
      </c>
      <c r="T42" s="1181" t="s">
        <v>106</v>
      </c>
      <c r="U42" s="1171" t="str">
        <f ca="1">OFFSET(U42,0,-1)</f>
        <v>2</v>
      </c>
      <c r="V42" s="1878">
        <f ca="1">OFFSET(V42,0,-1)+1</f>
        <v>3</v>
      </c>
      <c r="W42" s="1878"/>
      <c r="X42" s="1878">
        <f ca="1">OFFSET(X42,0,-1)+1</f>
        <v>1</v>
      </c>
      <c r="Y42" s="1878">
        <f ca="1">OFFSET(Y42,0,-1)+1</f>
        <v>2</v>
      </c>
      <c r="Z42" s="1878">
        <f ca="1">OFFSET(Z42,0,-1)+1</f>
        <v>3</v>
      </c>
      <c r="AA42" s="2195">
        <f ca="1">OFFSET(AA42,0,-1)+1</f>
        <v>4</v>
      </c>
      <c r="AB42" s="2195"/>
      <c r="AC42" s="1878">
        <f ca="1">OFFSET(AC42,0,-2)+1</f>
        <v>5</v>
      </c>
      <c r="AD42" s="1878">
        <f ca="1">OFFSET(AD42,0,-1)+1</f>
        <v>6</v>
      </c>
      <c r="AE42" s="1878"/>
      <c r="AF42" s="1878">
        <f ca="1">OFFSET(AF42,0,-1)+1</f>
        <v>1</v>
      </c>
      <c r="AG42" s="1878">
        <f ca="1">OFFSET(AG42,0,-1)+1</f>
        <v>2</v>
      </c>
      <c r="AH42" s="1878">
        <f ca="1">OFFSET(AH42,0,-1)+1</f>
        <v>3</v>
      </c>
      <c r="AI42" s="2195">
        <f ca="1">OFFSET(AI42,0,-1)+1</f>
        <v>4</v>
      </c>
      <c r="AJ42" s="2195"/>
      <c r="AK42" s="1878">
        <f ca="1">OFFSET(AK42,0,-2)+1</f>
        <v>5</v>
      </c>
      <c r="AL42" s="1171">
        <f ca="1">OFFSET(AL42,0,-1)</f>
        <v>5</v>
      </c>
      <c r="AM42" s="1878">
        <f ca="1">OFFSET(AM42,0,-1)+1</f>
        <v>6</v>
      </c>
      <c r="AN42" s="1562"/>
      <c r="AO42" s="1562"/>
      <c r="AP42" s="1562"/>
      <c r="AQ42" s="1562"/>
      <c r="AR42" s="1562"/>
      <c r="AS42" s="1567">
        <v>0</v>
      </c>
    </row>
    <row r="43" spans="1:45" ht="21.95" customHeight="1">
      <c r="A43" s="1193" t="s">
        <v>207</v>
      </c>
      <c r="B43" s="1193"/>
      <c r="C43" s="1193"/>
      <c r="D43" s="1193"/>
      <c r="E43" s="221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207</v>
      </c>
      <c r="B44" s="1193" t="s">
        <v>208</v>
      </c>
      <c r="C44" s="1193"/>
      <c r="D44" s="1193"/>
      <c r="E44" s="2211"/>
      <c r="F44" s="2210">
        <v>1</v>
      </c>
      <c r="G44" s="1193"/>
      <c r="H44" s="1193"/>
      <c r="I44" s="1193"/>
      <c r="J44" s="1193"/>
      <c r="K44" s="1193"/>
      <c r="L44" s="1236"/>
      <c r="M44" s="1536"/>
      <c r="N44" s="1536"/>
      <c r="O44" s="1536"/>
      <c r="P44" s="1862"/>
      <c r="Q44" s="288"/>
      <c r="R44" s="289"/>
      <c r="S44" s="1880" t="str">
        <f>INDEX(PT_DIFFERENTIATION_NUM_TER,MATCH(B44,PT_DIFFERENTIATION_TER_ID,0))</f>
        <v>.</v>
      </c>
      <c r="T44" s="1448"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1550"/>
      <c r="AP44" s="1550" t="str">
        <f t="shared" si="1"/>
        <v>Территория действия тарифа</v>
      </c>
      <c r="AQ44" s="1550"/>
      <c r="AR44" s="1550"/>
      <c r="AS44" s="1557">
        <v>21</v>
      </c>
    </row>
    <row r="45" spans="1:45" ht="24" customHeight="1">
      <c r="A45" s="1193" t="s">
        <v>207</v>
      </c>
      <c r="B45" s="1193" t="s">
        <v>208</v>
      </c>
      <c r="C45" s="1193" t="s">
        <v>209</v>
      </c>
      <c r="D45" s="1193"/>
      <c r="E45" s="2211"/>
      <c r="F45" s="2211"/>
      <c r="G45" s="2210">
        <v>1</v>
      </c>
      <c r="H45" s="1193"/>
      <c r="I45" s="1193"/>
      <c r="J45" s="1193"/>
      <c r="K45" s="1193"/>
      <c r="L45" s="1236"/>
      <c r="M45" s="1536"/>
      <c r="N45" s="1536"/>
      <c r="O45" s="1536"/>
      <c r="P45" s="290"/>
      <c r="Q45" s="288"/>
      <c r="R45" s="289"/>
      <c r="S45" s="1880"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1550"/>
      <c r="AP45" s="1550" t="str">
        <f t="shared" si="1"/>
        <v xml:space="preserve">Наименование системы теплоснабжения </v>
      </c>
      <c r="AQ45" s="1550"/>
      <c r="AR45" s="1550"/>
      <c r="AS45" s="1557">
        <v>23</v>
      </c>
    </row>
    <row r="46" spans="1:45" ht="21.95" customHeight="1">
      <c r="A46" s="1193" t="s">
        <v>207</v>
      </c>
      <c r="B46" s="1193" t="s">
        <v>208</v>
      </c>
      <c r="C46" s="1193" t="s">
        <v>209</v>
      </c>
      <c r="D46" s="1193" t="s">
        <v>210</v>
      </c>
      <c r="E46" s="2211"/>
      <c r="F46" s="2211"/>
      <c r="G46" s="2211"/>
      <c r="H46" s="2210">
        <v>1</v>
      </c>
      <c r="I46" s="1193"/>
      <c r="J46" s="1193"/>
      <c r="K46" s="1193"/>
      <c r="L46" s="1236"/>
      <c r="M46" s="1536"/>
      <c r="N46" s="1536"/>
      <c r="O46" s="1536"/>
      <c r="P46" s="290"/>
      <c r="Q46" s="288"/>
      <c r="R46" s="289"/>
      <c r="S46" s="1880"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1550"/>
      <c r="AP46" s="1550" t="str">
        <f t="shared" si="1"/>
        <v xml:space="preserve">Источник тепловой энергии  </v>
      </c>
      <c r="AQ46" s="1550"/>
      <c r="AR46" s="1550"/>
      <c r="AS46" s="1557">
        <v>21</v>
      </c>
    </row>
    <row r="47" spans="1:45" ht="49.5" customHeight="1">
      <c r="A47" s="1193" t="s">
        <v>207</v>
      </c>
      <c r="B47" s="1193" t="s">
        <v>208</v>
      </c>
      <c r="C47" s="1193" t="s">
        <v>209</v>
      </c>
      <c r="D47" s="1193" t="s">
        <v>210</v>
      </c>
      <c r="E47" s="2211"/>
      <c r="F47" s="2211"/>
      <c r="G47" s="2211"/>
      <c r="H47" s="2211"/>
      <c r="I47" s="2056" t="str">
        <f>S46&amp;".1"</f>
        <v>....1</v>
      </c>
      <c r="J47" s="1193"/>
      <c r="K47" s="1193"/>
      <c r="L47" s="1236" t="s">
        <v>398</v>
      </c>
      <c r="P47" s="2188">
        <v>1</v>
      </c>
      <c r="Q47" s="1876"/>
      <c r="R47" s="292"/>
      <c r="S47" s="1880"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207</v>
      </c>
      <c r="B48" s="1193" t="s">
        <v>208</v>
      </c>
      <c r="C48" s="1193" t="s">
        <v>209</v>
      </c>
      <c r="D48" s="1193" t="s">
        <v>210</v>
      </c>
      <c r="E48" s="2211"/>
      <c r="F48" s="2211"/>
      <c r="G48" s="2211"/>
      <c r="H48" s="2211"/>
      <c r="I48" s="2038"/>
      <c r="J48" s="2056" t="str">
        <f>I47&amp;".1"</f>
        <v>....1.1</v>
      </c>
      <c r="K48" s="1193"/>
      <c r="L48" s="1236" t="s">
        <v>401</v>
      </c>
      <c r="P48" s="2188"/>
      <c r="Q48" s="2188">
        <v>1</v>
      </c>
      <c r="R48" s="293"/>
      <c r="S48" s="1880"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1550"/>
      <c r="AP48" s="1550" t="str">
        <f t="shared" si="1"/>
        <v>Группа потребителей</v>
      </c>
      <c r="AQ48" s="1550"/>
      <c r="AR48" s="1550"/>
      <c r="AS48" s="1557">
        <v>21</v>
      </c>
    </row>
    <row r="49" spans="1:45" ht="21.95" customHeight="1">
      <c r="A49" s="1193" t="s">
        <v>207</v>
      </c>
      <c r="B49" s="1193" t="s">
        <v>208</v>
      </c>
      <c r="C49" s="1193" t="s">
        <v>209</v>
      </c>
      <c r="D49" s="1193" t="s">
        <v>210</v>
      </c>
      <c r="E49" s="2211"/>
      <c r="F49" s="2211"/>
      <c r="G49" s="2211"/>
      <c r="H49" s="2211"/>
      <c r="I49" s="2038"/>
      <c r="J49" s="2038"/>
      <c r="K49" s="2056" t="str">
        <f>J48&amp;".1"</f>
        <v>....1.1.1</v>
      </c>
      <c r="L49" s="1236" t="s">
        <v>404</v>
      </c>
      <c r="P49" s="2188"/>
      <c r="Q49" s="2188"/>
      <c r="R49" s="293">
        <v>1</v>
      </c>
      <c r="S49" s="1880"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1562" t="e">
        <f ca="1">STRCHECKDATE(V50:AL50)</f>
        <v>#NAME?</v>
      </c>
      <c r="AO49" s="1550"/>
      <c r="AP49" s="1550" t="str">
        <f t="shared" si="1"/>
        <v/>
      </c>
      <c r="AQ49" s="1550"/>
      <c r="AR49" s="1550"/>
      <c r="AS49" s="1557">
        <v>21</v>
      </c>
    </row>
    <row r="50" spans="1:45" ht="1.1499999999999999" customHeight="1">
      <c r="A50" s="1193" t="s">
        <v>207</v>
      </c>
      <c r="B50" s="1193" t="s">
        <v>208</v>
      </c>
      <c r="C50" s="1193" t="s">
        <v>209</v>
      </c>
      <c r="D50" s="1193" t="s">
        <v>210</v>
      </c>
      <c r="E50" s="2211"/>
      <c r="F50" s="2211"/>
      <c r="G50" s="2211"/>
      <c r="H50" s="2211"/>
      <c r="I50" s="2038"/>
      <c r="J50" s="2038"/>
      <c r="K50" s="2056"/>
      <c r="L50" s="1236"/>
      <c r="P50" s="2188"/>
      <c r="Q50" s="2188"/>
      <c r="R50" s="293"/>
      <c r="S50" s="188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1550"/>
      <c r="AP50" s="1550" t="str">
        <f t="shared" si="1"/>
        <v/>
      </c>
      <c r="AQ50" s="1550"/>
      <c r="AR50" s="1550"/>
      <c r="AS50" s="1557">
        <v>1</v>
      </c>
    </row>
    <row r="51" spans="1:45" ht="11.45" customHeight="1">
      <c r="A51" s="1193" t="s">
        <v>207</v>
      </c>
      <c r="B51" s="1193" t="s">
        <v>208</v>
      </c>
      <c r="C51" s="1193" t="s">
        <v>209</v>
      </c>
      <c r="D51" s="1193" t="s">
        <v>210</v>
      </c>
      <c r="E51" s="2211"/>
      <c r="F51" s="2211"/>
      <c r="G51" s="2211"/>
      <c r="H51" s="2211"/>
      <c r="I51" s="2038"/>
      <c r="J51" s="2056"/>
      <c r="K51" s="1193"/>
      <c r="L51" s="1236"/>
      <c r="P51" s="2188"/>
      <c r="Q51" s="2188"/>
      <c r="R51" s="292"/>
      <c r="S51" s="1204"/>
      <c r="T51" s="225" t="s">
        <v>406</v>
      </c>
      <c r="U51" s="536"/>
      <c r="V51" s="536"/>
      <c r="W51" s="536"/>
      <c r="X51" s="536"/>
      <c r="Y51" s="536"/>
      <c r="Z51" s="536"/>
      <c r="AA51" s="536"/>
      <c r="AB51" s="536"/>
      <c r="AC51" s="536"/>
      <c r="AD51" s="536"/>
      <c r="AE51" s="536"/>
      <c r="AF51" s="536"/>
      <c r="AG51" s="536"/>
      <c r="AH51" s="536"/>
      <c r="AI51" s="536"/>
      <c r="AJ51" s="536"/>
      <c r="AK51" s="536"/>
      <c r="AL51" s="261"/>
      <c r="AM51" s="2209"/>
      <c r="AO51" s="1550"/>
      <c r="AP51" s="1550" t="str">
        <f t="shared" si="1"/>
        <v>Добавить вид теплоносителя (параметры теплоносителя)</v>
      </c>
      <c r="AQ51" s="1550"/>
      <c r="AR51" s="1550"/>
      <c r="AS51" s="1557">
        <v>11</v>
      </c>
    </row>
    <row r="52" spans="1:45" ht="11.45" customHeight="1">
      <c r="A52" s="1193" t="s">
        <v>207</v>
      </c>
      <c r="B52" s="1193" t="s">
        <v>208</v>
      </c>
      <c r="C52" s="1193" t="s">
        <v>209</v>
      </c>
      <c r="D52" s="1193" t="s">
        <v>210</v>
      </c>
      <c r="E52" s="2211"/>
      <c r="F52" s="2211"/>
      <c r="G52" s="2211"/>
      <c r="H52" s="2211"/>
      <c r="I52" s="2056"/>
      <c r="J52" s="1193"/>
      <c r="K52" s="1193"/>
      <c r="L52" s="1236"/>
      <c r="P52" s="2188"/>
      <c r="Q52" s="1876"/>
      <c r="R52" s="292"/>
      <c r="S52" s="1204"/>
      <c r="T52" s="224" t="s">
        <v>407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207</v>
      </c>
      <c r="B53" s="1193" t="s">
        <v>208</v>
      </c>
      <c r="C53" s="1193" t="s">
        <v>209</v>
      </c>
      <c r="D53" s="1193" t="s">
        <v>210</v>
      </c>
      <c r="E53" s="2211"/>
      <c r="F53" s="2211"/>
      <c r="G53" s="2211"/>
      <c r="H53" s="2210"/>
      <c r="I53" s="1193"/>
      <c r="J53" s="1193"/>
      <c r="K53" s="1193"/>
      <c r="L53" s="1236"/>
      <c r="M53" s="1536"/>
      <c r="N53" s="1536"/>
      <c r="O53" s="1561"/>
      <c r="P53" s="296"/>
      <c r="Q53" s="311"/>
      <c r="R53" s="291"/>
      <c r="S53" s="1204"/>
      <c r="T53" s="301" t="s">
        <v>408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207</v>
      </c>
      <c r="B54" s="1301" t="s">
        <v>208</v>
      </c>
      <c r="C54" s="1301" t="s">
        <v>209</v>
      </c>
      <c r="D54" s="1300"/>
      <c r="E54" s="2211"/>
      <c r="F54" s="2211"/>
      <c r="G54" s="2210"/>
      <c r="H54" s="1300"/>
      <c r="I54" s="1300"/>
      <c r="J54" s="1300"/>
      <c r="K54" s="1300"/>
      <c r="L54" s="1303"/>
      <c r="M54" s="1304"/>
      <c r="N54" s="1304"/>
      <c r="O54" s="287"/>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207</v>
      </c>
      <c r="B55" s="1301" t="s">
        <v>208</v>
      </c>
      <c r="C55" s="1300"/>
      <c r="D55" s="1300"/>
      <c r="E55" s="2211"/>
      <c r="F55" s="2210"/>
      <c r="G55" s="1300"/>
      <c r="H55" s="1300"/>
      <c r="I55" s="1300"/>
      <c r="J55" s="1300"/>
      <c r="K55" s="1300"/>
      <c r="L55" s="1303"/>
      <c r="M55" s="1305"/>
      <c r="N55" s="1305"/>
      <c r="O55" s="28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207</v>
      </c>
      <c r="B56" s="1301"/>
      <c r="C56" s="1301"/>
      <c r="D56" s="1301"/>
      <c r="E56" s="2210"/>
      <c r="F56" s="1301"/>
      <c r="G56" s="1301"/>
      <c r="H56" s="1301"/>
      <c r="I56" s="1301"/>
      <c r="J56" s="1301"/>
      <c r="K56" s="1301"/>
      <c r="L56" s="1307"/>
      <c r="M56" s="1305"/>
      <c r="N56" s="1305"/>
      <c r="O56" s="287"/>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7">
        <v>27</v>
      </c>
    </row>
    <row r="60" spans="1:45" ht="65.25" customHeight="1">
      <c r="O60" s="156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7">
        <v>62</v>
      </c>
    </row>
    <row r="61" spans="1:45" ht="14.65" customHeight="1">
      <c r="O61" s="1561"/>
      <c r="AS61" s="1557">
        <v>14</v>
      </c>
    </row>
    <row r="62" spans="1:45" ht="18.75" customHeight="1">
      <c r="O62" s="1561"/>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7">
        <v>18</v>
      </c>
    </row>
    <row r="63" spans="1:45" ht="18.75" customHeight="1">
      <c r="O63" s="1561"/>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7">
        <v>18</v>
      </c>
    </row>
    <row r="64" spans="1:45" ht="29.25" customHeight="1">
      <c r="O64" s="1561"/>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7">
        <v>28</v>
      </c>
    </row>
    <row r="65" spans="1:45" ht="22.5" hidden="1" customHeight="1">
      <c r="A65" s="1557" t="s">
        <v>78</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0">
        <v>1</v>
      </c>
      <c r="F2" s="1193"/>
      <c r="G2" s="1193"/>
      <c r="H2" s="1193"/>
      <c r="I2" s="1193"/>
      <c r="J2" s="1193"/>
      <c r="K2" s="1193"/>
      <c r="L2" s="1236"/>
      <c r="M2" s="1536"/>
      <c r="N2" s="1536"/>
      <c r="O2" s="1536"/>
      <c r="P2" s="1516"/>
      <c r="Q2" s="296"/>
      <c r="R2" s="291"/>
      <c r="S2" s="1880" t="e">
        <f>INDEX(PT_DIFFERENTIATION_NUM_NTAR,MATCH(A2,PT_DIFFERENTIATION_NTAR_ID,0))</f>
        <v>#N/A</v>
      </c>
      <c r="T2" s="1451"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1550"/>
      <c r="AP2" s="1550" t="str">
        <f t="shared" ref="AP2:AP15" si="0">IF(T2="","",T2)</f>
        <v>Наименование тарифа</v>
      </c>
      <c r="AQ2" s="1550"/>
      <c r="AR2" s="1550"/>
      <c r="AS2" s="1557">
        <v>0</v>
      </c>
    </row>
    <row r="3" spans="1:45" ht="21" hidden="1" customHeight="1">
      <c r="A3" s="1193"/>
      <c r="B3" s="1193"/>
      <c r="C3" s="1193"/>
      <c r="D3" s="1193"/>
      <c r="E3" s="2211"/>
      <c r="F3" s="2210">
        <v>1</v>
      </c>
      <c r="G3" s="1193"/>
      <c r="H3" s="1193"/>
      <c r="I3" s="1193"/>
      <c r="J3" s="1193"/>
      <c r="K3" s="1193"/>
      <c r="L3" s="1236"/>
      <c r="M3" s="1536"/>
      <c r="N3" s="1536"/>
      <c r="O3" s="1536"/>
      <c r="P3" s="1862"/>
      <c r="Q3" s="288"/>
      <c r="R3" s="289"/>
      <c r="S3" s="1880" t="e">
        <f>INDEX(PT_DIFFERENTIATION_NUM_TER,MATCH(B3,PT_DIFFERENTIATION_TER_ID,0))</f>
        <v>#N/A</v>
      </c>
      <c r="T3" s="1448"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1550"/>
      <c r="AP3" s="1550" t="str">
        <f t="shared" si="0"/>
        <v>Территория действия тарифа</v>
      </c>
      <c r="AQ3" s="1550"/>
      <c r="AR3" s="1550"/>
      <c r="AS3" s="1557">
        <v>0</v>
      </c>
    </row>
    <row r="4" spans="1:45" ht="23.25" hidden="1" customHeight="1">
      <c r="A4" s="1193"/>
      <c r="B4" s="1193"/>
      <c r="C4" s="1193"/>
      <c r="D4" s="1193"/>
      <c r="E4" s="2211"/>
      <c r="F4" s="2211"/>
      <c r="G4" s="2210">
        <v>1</v>
      </c>
      <c r="H4" s="1193"/>
      <c r="I4" s="1193"/>
      <c r="J4" s="1193"/>
      <c r="K4" s="1193"/>
      <c r="L4" s="1236"/>
      <c r="M4" s="1536"/>
      <c r="N4" s="1536"/>
      <c r="O4" s="1536"/>
      <c r="P4" s="290"/>
      <c r="Q4" s="288"/>
      <c r="R4" s="289"/>
      <c r="S4" s="1880"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1"/>
      <c r="F5" s="2211"/>
      <c r="G5" s="2211"/>
      <c r="H5" s="2210">
        <v>1</v>
      </c>
      <c r="I5" s="1193"/>
      <c r="J5" s="1193"/>
      <c r="K5" s="1193"/>
      <c r="L5" s="1236"/>
      <c r="M5" s="1536"/>
      <c r="N5" s="1536"/>
      <c r="O5" s="1536"/>
      <c r="P5" s="290"/>
      <c r="Q5" s="288"/>
      <c r="R5" s="289"/>
      <c r="S5" s="1880"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1550"/>
      <c r="AP5" s="1550" t="str">
        <f t="shared" si="0"/>
        <v xml:space="preserve">Источник тепловой энергии  </v>
      </c>
      <c r="AQ5" s="1550"/>
      <c r="AR5" s="1550"/>
      <c r="AS5" s="1557">
        <v>0</v>
      </c>
    </row>
    <row r="6" spans="1:45" ht="47.25" hidden="1" customHeight="1">
      <c r="A6" s="1193"/>
      <c r="B6" s="1193"/>
      <c r="C6" s="1193"/>
      <c r="D6" s="1193"/>
      <c r="E6" s="2211"/>
      <c r="F6" s="2211"/>
      <c r="G6" s="2211"/>
      <c r="H6" s="2211"/>
      <c r="I6" s="2056" t="e">
        <f>S5&amp;".1"</f>
        <v>#N/A</v>
      </c>
      <c r="J6" s="1193"/>
      <c r="K6" s="1193"/>
      <c r="L6" s="1236" t="s">
        <v>398</v>
      </c>
      <c r="M6" s="1561"/>
      <c r="P6" s="2188">
        <v>1</v>
      </c>
      <c r="Q6" s="1876"/>
      <c r="R6" s="292"/>
      <c r="S6" s="1880"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1"/>
      <c r="F7" s="2211"/>
      <c r="G7" s="2211"/>
      <c r="H7" s="2211"/>
      <c r="I7" s="2038"/>
      <c r="J7" s="2056" t="e">
        <f>I6&amp;".1"</f>
        <v>#N/A</v>
      </c>
      <c r="K7" s="1193"/>
      <c r="L7" s="1236" t="s">
        <v>401</v>
      </c>
      <c r="M7" s="1561"/>
      <c r="N7" s="1557"/>
      <c r="P7" s="2188"/>
      <c r="Q7" s="2188">
        <v>1</v>
      </c>
      <c r="R7" s="293"/>
      <c r="S7" s="1880"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1550"/>
      <c r="AP7" s="1550" t="str">
        <f t="shared" si="0"/>
        <v>Группа потребителей</v>
      </c>
      <c r="AQ7" s="1550"/>
      <c r="AR7" s="1550"/>
      <c r="AS7" s="1557">
        <v>0</v>
      </c>
    </row>
    <row r="8" spans="1:45" ht="21" hidden="1" customHeight="1">
      <c r="A8" s="1193"/>
      <c r="B8" s="1193"/>
      <c r="C8" s="1193"/>
      <c r="D8" s="1193"/>
      <c r="E8" s="2211"/>
      <c r="F8" s="2211"/>
      <c r="G8" s="2211"/>
      <c r="H8" s="2211"/>
      <c r="I8" s="2038"/>
      <c r="J8" s="2038"/>
      <c r="K8" s="2056" t="e">
        <f>J7&amp;".1"</f>
        <v>#N/A</v>
      </c>
      <c r="L8" s="1236" t="s">
        <v>404</v>
      </c>
      <c r="M8" s="1561"/>
      <c r="N8" s="1557"/>
      <c r="O8" s="1557"/>
      <c r="P8" s="2188"/>
      <c r="Q8" s="2188"/>
      <c r="R8" s="293">
        <v>1</v>
      </c>
      <c r="S8" s="1880"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1562" t="e">
        <f ca="1">STRCHECKDATE(V9:AL9)</f>
        <v>#NAME?</v>
      </c>
      <c r="AO8" s="1550"/>
      <c r="AP8" s="1550" t="str">
        <f t="shared" si="0"/>
        <v/>
      </c>
      <c r="AQ8" s="1550"/>
      <c r="AR8" s="1550"/>
      <c r="AS8" s="1557">
        <v>0</v>
      </c>
    </row>
    <row r="9" spans="1:45" ht="0.75" hidden="1" customHeight="1">
      <c r="A9" s="1193"/>
      <c r="B9" s="1193"/>
      <c r="C9" s="1193"/>
      <c r="D9" s="1193"/>
      <c r="E9" s="2211"/>
      <c r="F9" s="2211"/>
      <c r="G9" s="2211"/>
      <c r="H9" s="2211"/>
      <c r="I9" s="2038"/>
      <c r="J9" s="2038"/>
      <c r="K9" s="2056"/>
      <c r="L9" s="1236"/>
      <c r="M9" s="1561"/>
      <c r="N9" s="1557"/>
      <c r="O9" s="1557"/>
      <c r="P9" s="2188"/>
      <c r="Q9" s="2188"/>
      <c r="R9" s="293"/>
      <c r="S9" s="1889"/>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50"/>
      <c r="AP9" s="1550" t="str">
        <f t="shared" si="0"/>
        <v/>
      </c>
      <c r="AQ9" s="1550"/>
      <c r="AR9" s="1550"/>
      <c r="AS9" s="1557">
        <v>0</v>
      </c>
    </row>
    <row r="10" spans="1:45" ht="15" hidden="1" customHeight="1">
      <c r="A10" s="1193"/>
      <c r="B10" s="1193"/>
      <c r="C10" s="1193"/>
      <c r="D10" s="1193"/>
      <c r="E10" s="2211"/>
      <c r="F10" s="2211"/>
      <c r="G10" s="2211"/>
      <c r="H10" s="2211"/>
      <c r="I10" s="2038"/>
      <c r="J10" s="2056"/>
      <c r="K10" s="1193"/>
      <c r="L10" s="1236"/>
      <c r="M10" s="1561"/>
      <c r="N10" s="1557"/>
      <c r="P10" s="2188"/>
      <c r="Q10" s="2188"/>
      <c r="R10" s="292"/>
      <c r="S10" s="1204"/>
      <c r="T10" s="225" t="s">
        <v>406</v>
      </c>
      <c r="U10" s="536"/>
      <c r="V10" s="536"/>
      <c r="W10" s="536"/>
      <c r="X10" s="536"/>
      <c r="Y10" s="536"/>
      <c r="Z10" s="536"/>
      <c r="AA10" s="536"/>
      <c r="AB10" s="536"/>
      <c r="AC10" s="536"/>
      <c r="AD10" s="536"/>
      <c r="AE10" s="536"/>
      <c r="AF10" s="536"/>
      <c r="AG10" s="536"/>
      <c r="AH10" s="536"/>
      <c r="AI10" s="536"/>
      <c r="AJ10" s="536"/>
      <c r="AK10" s="536"/>
      <c r="AL10" s="261"/>
      <c r="AM10" s="220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1"/>
      <c r="F11" s="2211"/>
      <c r="G11" s="2211"/>
      <c r="H11" s="2211"/>
      <c r="I11" s="2056"/>
      <c r="J11" s="1193"/>
      <c r="K11" s="1193"/>
      <c r="L11" s="1236"/>
      <c r="M11" s="1561"/>
      <c r="P11" s="2188"/>
      <c r="Q11" s="1876"/>
      <c r="R11" s="292"/>
      <c r="S11" s="1204"/>
      <c r="T11" s="224" t="s">
        <v>407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1"/>
      <c r="F12" s="2211"/>
      <c r="G12" s="2211"/>
      <c r="H12" s="2210"/>
      <c r="I12" s="1193"/>
      <c r="J12" s="1193"/>
      <c r="K12" s="1193"/>
      <c r="L12" s="1236"/>
      <c r="M12" s="1536"/>
      <c r="N12" s="1536"/>
      <c r="O12" s="1561"/>
      <c r="P12" s="296"/>
      <c r="Q12" s="311"/>
      <c r="R12" s="291"/>
      <c r="S12" s="1204"/>
      <c r="T12" s="301" t="s">
        <v>408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1"/>
      <c r="F13" s="2211"/>
      <c r="G13" s="2210"/>
      <c r="H13" s="1896"/>
      <c r="I13" s="1896"/>
      <c r="J13" s="1896"/>
      <c r="K13" s="1896"/>
      <c r="L13" s="1306"/>
      <c r="M13" s="1536"/>
      <c r="N13" s="1536"/>
      <c r="O13" s="156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1"/>
      <c r="F14" s="2210"/>
      <c r="G14" s="1896"/>
      <c r="H14" s="1896"/>
      <c r="I14" s="1896"/>
      <c r="J14" s="1896"/>
      <c r="K14" s="1896"/>
      <c r="L14" s="1306"/>
      <c r="M14" s="1897"/>
      <c r="N14" s="1897"/>
      <c r="O14" s="1561"/>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0"/>
      <c r="F15" s="1896"/>
      <c r="G15" s="1896"/>
      <c r="H15" s="1896"/>
      <c r="I15" s="1896"/>
      <c r="J15" s="1896"/>
      <c r="K15" s="1896"/>
      <c r="L15" s="1306"/>
      <c r="M15" s="1897"/>
      <c r="N15" s="1897"/>
      <c r="O15" s="1561"/>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2"/>
      <c r="AI17" s="2181" t="s">
        <v>66</v>
      </c>
      <c r="AJ17" s="2182"/>
      <c r="AK17" s="2181" t="s">
        <v>66</v>
      </c>
      <c r="AS17" s="1557">
        <v>0</v>
      </c>
    </row>
    <row r="18" spans="1:45" ht="14.25" hidden="1" customHeight="1">
      <c r="AD18" s="1286"/>
      <c r="AE18" s="1286"/>
      <c r="AF18" s="1286"/>
      <c r="AG18" s="265" t="str">
        <f>AH17&amp;"-"&amp;AJ17</f>
        <v>-</v>
      </c>
      <c r="AH18" s="2181"/>
      <c r="AI18" s="2181"/>
      <c r="AJ18" s="2181"/>
      <c r="AK18" s="218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413</v>
      </c>
      <c r="P22" s="1288"/>
      <c r="Q22" s="1297"/>
      <c r="R22" s="1297"/>
      <c r="S22" s="665"/>
      <c r="T22" s="1292" t="s">
        <v>414</v>
      </c>
      <c r="AA22" s="531" t="s">
        <v>415</v>
      </c>
      <c r="AC22" s="531" t="s">
        <v>416</v>
      </c>
      <c r="AD22" s="1292" t="s">
        <v>414</v>
      </c>
      <c r="AI22" s="531" t="s">
        <v>417</v>
      </c>
      <c r="AK22" s="531" t="s">
        <v>416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557">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5" t="s">
        <v>42</v>
      </c>
      <c r="T29" s="2175"/>
      <c r="U29" s="1298"/>
      <c r="V29" s="2177" t="str">
        <f>IF(TITLE_NAME_OR_PR_CHANGE="",IF(TITLE_NAME_OR_PR="","",TITLE_NAME_OR_PR),TITLE_NAME_OR_PR_CHANGE)</f>
        <v/>
      </c>
      <c r="W29" s="2177"/>
      <c r="X29" s="2177"/>
      <c r="Y29" s="2177"/>
      <c r="Z29" s="2177"/>
      <c r="AA29" s="2177"/>
      <c r="AB29" s="2177"/>
      <c r="AC29" s="1561"/>
      <c r="AD29" s="2177" t="str">
        <f>IF(TITLE_NAME_OR_PR_CHANGE="",IF(TITLE_NAME_OR_PR="","",TITLE_NAME_OR_PR),TITLE_NAME_OR_PR_CHANGE)</f>
        <v/>
      </c>
      <c r="AE29" s="2177"/>
      <c r="AF29" s="2177"/>
      <c r="AG29" s="2177"/>
      <c r="AH29" s="2177"/>
      <c r="AI29" s="2177"/>
      <c r="AJ29" s="217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5" t="s">
        <v>418</v>
      </c>
      <c r="T30" s="2175"/>
      <c r="U30" s="1298"/>
      <c r="V30" s="2176" t="str">
        <f>IF(TITLE_DATE_PR_CHANGE="",IF(TITLE_DATE_PR="","",TITLE_DATE_PR),TITLE_DATE_PR_CHANGE)</f>
        <v/>
      </c>
      <c r="W30" s="2176"/>
      <c r="X30" s="2176"/>
      <c r="Y30" s="2176"/>
      <c r="Z30" s="2176"/>
      <c r="AA30" s="2176"/>
      <c r="AB30" s="2176"/>
      <c r="AC30" s="1561"/>
      <c r="AD30" s="2176" t="str">
        <f>IF(TITLE_DATE_PR_CHANGE="",IF(TITLE_DATE_PR="","",TITLE_DATE_PR),TITLE_DATE_PR_CHANGE)</f>
        <v/>
      </c>
      <c r="AE30" s="2176"/>
      <c r="AF30" s="2176"/>
      <c r="AG30" s="2176"/>
      <c r="AH30" s="2176"/>
      <c r="AI30" s="2176"/>
      <c r="AJ30" s="217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5" t="s">
        <v>419</v>
      </c>
      <c r="T31" s="2175"/>
      <c r="U31" s="1298"/>
      <c r="V31" s="2177" t="str">
        <f>IF(TITLE_NUMBER_PR_CHANGE="",IF(TITLE_NUMBER_PR="","",TITLE_NUMBER_PR),TITLE_NUMBER_PR_CHANGE)</f>
        <v/>
      </c>
      <c r="W31" s="2177"/>
      <c r="X31" s="2177"/>
      <c r="Y31" s="2177"/>
      <c r="Z31" s="2177"/>
      <c r="AA31" s="2177"/>
      <c r="AB31" s="2177"/>
      <c r="AC31" s="1561"/>
      <c r="AD31" s="2177" t="str">
        <f>IF(TITLE_NUMBER_PR_CHANGE="",IF(TITLE_NUMBER_PR="","",TITLE_NUMBER_PR),TITLE_NUMBER_PR_CHANGE)</f>
        <v/>
      </c>
      <c r="AE31" s="2177"/>
      <c r="AF31" s="2177"/>
      <c r="AG31" s="2177"/>
      <c r="AH31" s="2177"/>
      <c r="AI31" s="2177"/>
      <c r="AJ31" s="217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5" t="s">
        <v>43</v>
      </c>
      <c r="T32" s="2175"/>
      <c r="U32" s="1298"/>
      <c r="V32" s="2177" t="str">
        <f>IF(TITLE_IST_PUB_CHANGE="",IF(TITLE_IST_PUB="","",TITLE_IST_PUB),TITLE_IST_PUB_CHANGE)</f>
        <v/>
      </c>
      <c r="W32" s="2177"/>
      <c r="X32" s="2177"/>
      <c r="Y32" s="2177"/>
      <c r="Z32" s="2177"/>
      <c r="AA32" s="2177"/>
      <c r="AB32" s="2177"/>
      <c r="AC32" s="1561"/>
      <c r="AD32" s="2177" t="str">
        <f>IF(TITLE_IST_PUB_CHANGE="",IF(TITLE_IST_PUB="","",TITLE_IST_PUB),TITLE_IST_PUB_CHANGE)</f>
        <v/>
      </c>
      <c r="AE32" s="2177"/>
      <c r="AF32" s="2177"/>
      <c r="AG32" s="2177"/>
      <c r="AH32" s="2177"/>
      <c r="AI32" s="2177"/>
      <c r="AJ32" s="217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5" t="s">
        <v>420</v>
      </c>
      <c r="T34" s="2175"/>
      <c r="U34" s="1298"/>
      <c r="V34" s="2176" t="str">
        <f>IF(TITLE_DATE_PR_CHANGE="",IF(TITLE_DATE_PR="","",TITLE_DATE_PR),TITLE_DATE_PR_CHANGE)</f>
        <v/>
      </c>
      <c r="W34" s="2176"/>
      <c r="X34" s="2176"/>
      <c r="Y34" s="2176"/>
      <c r="Z34" s="2176"/>
      <c r="AA34" s="2176"/>
      <c r="AB34" s="2176"/>
      <c r="AC34" s="1561"/>
      <c r="AD34" s="2176" t="str">
        <f>IF(TITLE_DATE_PR_CHANGE="",IF(TITLE_DATE_PR="","",TITLE_DATE_PR),TITLE_DATE_PR_CHANGE)</f>
        <v/>
      </c>
      <c r="AE34" s="2176"/>
      <c r="AF34" s="2176"/>
      <c r="AG34" s="2176"/>
      <c r="AH34" s="2176"/>
      <c r="AI34" s="2176"/>
      <c r="AJ34" s="217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5" t="s">
        <v>421</v>
      </c>
      <c r="T35" s="2175"/>
      <c r="U35" s="1298"/>
      <c r="V35" s="2177" t="str">
        <f>IF(TITLE_NUMBER_PR_CHANGE="",IF(TITLE_NUMBER_PR="","",TITLE_NUMBER_PR),TITLE_NUMBER_PR_CHANGE)</f>
        <v/>
      </c>
      <c r="W35" s="2177"/>
      <c r="X35" s="2177"/>
      <c r="Y35" s="2177"/>
      <c r="Z35" s="2177"/>
      <c r="AA35" s="2177"/>
      <c r="AB35" s="2177"/>
      <c r="AC35" s="1561"/>
      <c r="AD35" s="2177" t="str">
        <f>IF(TITLE_NUMBER_PR_CHANGE="",IF(TITLE_NUMBER_PR="","",TITLE_NUMBER_PR),TITLE_NUMBER_PR_CHANGE)</f>
        <v/>
      </c>
      <c r="AE35" s="2177"/>
      <c r="AF35" s="2177"/>
      <c r="AG35" s="2177"/>
      <c r="AH35" s="2177"/>
      <c r="AI35" s="2177"/>
      <c r="AJ35" s="217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422</v>
      </c>
      <c r="AD36" s="1561"/>
      <c r="AE36" s="1561"/>
      <c r="AF36" s="1561"/>
      <c r="AG36" s="1561"/>
      <c r="AH36" s="1561"/>
      <c r="AI36" s="1561"/>
      <c r="AJ36" s="1561"/>
      <c r="AK36" s="1568" t="s">
        <v>422</v>
      </c>
      <c r="AN36" s="304"/>
      <c r="AO36" s="304"/>
      <c r="AP36" s="304"/>
      <c r="AQ36" s="304"/>
      <c r="AR36" s="304"/>
      <c r="AS36" s="354">
        <v>0</v>
      </c>
    </row>
    <row r="37" spans="1:45" ht="14.65" customHeight="1">
      <c r="Q37" s="312"/>
      <c r="R37" s="312"/>
      <c r="S37" s="1201"/>
      <c r="T37" s="393"/>
      <c r="U37" s="1170"/>
      <c r="V37" s="2196"/>
      <c r="W37" s="2196"/>
      <c r="X37" s="2196"/>
      <c r="Y37" s="2196"/>
      <c r="Z37" s="2196"/>
      <c r="AA37" s="2196"/>
      <c r="AB37" s="2196"/>
      <c r="AC37" s="2196"/>
      <c r="AD37" s="2196"/>
      <c r="AE37" s="2196"/>
      <c r="AF37" s="2196"/>
      <c r="AG37" s="2196"/>
      <c r="AH37" s="2196"/>
      <c r="AI37" s="2196"/>
      <c r="AJ37" s="2196"/>
      <c r="AK37" s="2196"/>
      <c r="AS37" s="1557">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557">
        <v>14</v>
      </c>
    </row>
    <row r="39" spans="1:45" ht="14.65" customHeight="1">
      <c r="Q39" s="312"/>
      <c r="R39" s="312"/>
      <c r="S39" s="2197" t="s">
        <v>84</v>
      </c>
      <c r="T39" s="2145" t="s">
        <v>423</v>
      </c>
      <c r="U39" s="274"/>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557">
        <v>14</v>
      </c>
    </row>
    <row r="40" spans="1:45" ht="35.65" customHeight="1">
      <c r="Q40" s="312"/>
      <c r="R40" s="312"/>
      <c r="S40" s="2197"/>
      <c r="T40" s="2145"/>
      <c r="U40" s="960"/>
      <c r="V40" s="2115" t="s">
        <v>428</v>
      </c>
      <c r="W40" s="2193" t="s">
        <v>429</v>
      </c>
      <c r="X40" s="2038" t="s">
        <v>430</v>
      </c>
      <c r="Y40" s="2037"/>
      <c r="Z40" s="2038" t="s">
        <v>444</v>
      </c>
      <c r="AA40" s="2043"/>
      <c r="AB40" s="2037"/>
      <c r="AC40" s="2202"/>
      <c r="AD40" s="2115" t="s">
        <v>428</v>
      </c>
      <c r="AE40" s="2193" t="s">
        <v>429</v>
      </c>
      <c r="AF40" s="2038" t="s">
        <v>430</v>
      </c>
      <c r="AG40" s="2037"/>
      <c r="AH40" s="2038" t="s">
        <v>431</v>
      </c>
      <c r="AI40" s="2043"/>
      <c r="AJ40" s="2037"/>
      <c r="AK40" s="2202"/>
      <c r="AL40" s="2205"/>
      <c r="AM40" s="2056"/>
      <c r="AS40" s="1557">
        <v>34</v>
      </c>
    </row>
    <row r="41" spans="1:45" ht="35.65" customHeight="1">
      <c r="A41" s="1192"/>
      <c r="B41" s="1192" t="s">
        <v>132</v>
      </c>
      <c r="C41" s="1192" t="s">
        <v>133</v>
      </c>
      <c r="D41" s="1192" t="s">
        <v>134</v>
      </c>
      <c r="E41" s="1236" t="s">
        <v>432</v>
      </c>
      <c r="F41" s="1236" t="s">
        <v>433</v>
      </c>
      <c r="G41" s="1236" t="s">
        <v>434</v>
      </c>
      <c r="H41" s="1236" t="s">
        <v>435</v>
      </c>
      <c r="I41" s="1236" t="s">
        <v>436</v>
      </c>
      <c r="J41" s="1236" t="s">
        <v>437</v>
      </c>
      <c r="K41" s="1236" t="s">
        <v>438</v>
      </c>
      <c r="L41" s="1236" t="s">
        <v>413</v>
      </c>
      <c r="Q41" s="312"/>
      <c r="R41" s="312"/>
      <c r="S41" s="2197"/>
      <c r="T41" s="2145"/>
      <c r="U41" s="239"/>
      <c r="V41" s="2170"/>
      <c r="W41" s="2194"/>
      <c r="X41" s="1860" t="s">
        <v>439</v>
      </c>
      <c r="Y41" s="1860" t="s">
        <v>440</v>
      </c>
      <c r="Z41" s="1860" t="s">
        <v>441</v>
      </c>
      <c r="AA41" s="2150" t="s">
        <v>442</v>
      </c>
      <c r="AB41" s="2164"/>
      <c r="AC41" s="2203"/>
      <c r="AD41" s="2170"/>
      <c r="AE41" s="2194"/>
      <c r="AF41" s="1860" t="s">
        <v>439</v>
      </c>
      <c r="AG41" s="1860" t="s">
        <v>440</v>
      </c>
      <c r="AH41" s="1860" t="s">
        <v>441</v>
      </c>
      <c r="AI41" s="2150" t="s">
        <v>442</v>
      </c>
      <c r="AJ41" s="2164"/>
      <c r="AK41" s="2203"/>
      <c r="AL41" s="2206"/>
      <c r="AM41" s="205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105</v>
      </c>
      <c r="T42" s="1181" t="s">
        <v>106</v>
      </c>
      <c r="U42" s="1171" t="str">
        <f ca="1">OFFSET(U42,0,-1)</f>
        <v>2</v>
      </c>
      <c r="V42" s="1878">
        <f ca="1">OFFSET(V42,0,-1)+1</f>
        <v>3</v>
      </c>
      <c r="W42" s="1878"/>
      <c r="X42" s="1878">
        <f ca="1">OFFSET(X42,0,-1)+1</f>
        <v>1</v>
      </c>
      <c r="Y42" s="1878">
        <f ca="1">OFFSET(Y42,0,-1)+1</f>
        <v>2</v>
      </c>
      <c r="Z42" s="1878">
        <f ca="1">OFFSET(Z42,0,-1)+1</f>
        <v>3</v>
      </c>
      <c r="AA42" s="2195">
        <f ca="1">OFFSET(AA42,0,-1)+1</f>
        <v>4</v>
      </c>
      <c r="AB42" s="2195"/>
      <c r="AC42" s="1878">
        <f ca="1">OFFSET(AC42,0,-2)+1</f>
        <v>5</v>
      </c>
      <c r="AD42" s="1878">
        <f ca="1">OFFSET(AD42,0,-1)+1</f>
        <v>6</v>
      </c>
      <c r="AE42" s="1878"/>
      <c r="AF42" s="1878">
        <f ca="1">OFFSET(AF42,0,-1)+1</f>
        <v>1</v>
      </c>
      <c r="AG42" s="1878">
        <f ca="1">OFFSET(AG42,0,-1)+1</f>
        <v>2</v>
      </c>
      <c r="AH42" s="1878">
        <f ca="1">OFFSET(AH42,0,-1)+1</f>
        <v>3</v>
      </c>
      <c r="AI42" s="2195">
        <f ca="1">OFFSET(AI42,0,-1)+1</f>
        <v>4</v>
      </c>
      <c r="AJ42" s="2195"/>
      <c r="AK42" s="1878">
        <f ca="1">OFFSET(AK42,0,-2)+1</f>
        <v>5</v>
      </c>
      <c r="AL42" s="1171">
        <f ca="1">OFFSET(AL42,0,-1)</f>
        <v>5</v>
      </c>
      <c r="AM42" s="1878">
        <f ca="1">OFFSET(AM42,0,-1)+1</f>
        <v>6</v>
      </c>
      <c r="AN42" s="1562"/>
      <c r="AO42" s="1562"/>
      <c r="AP42" s="1562"/>
      <c r="AQ42" s="1562"/>
      <c r="AR42" s="1562"/>
      <c r="AS42" s="1567">
        <v>0</v>
      </c>
    </row>
    <row r="43" spans="1:45" ht="21.95" customHeight="1">
      <c r="A43" s="1193" t="s">
        <v>207</v>
      </c>
      <c r="B43" s="1193"/>
      <c r="C43" s="1193"/>
      <c r="D43" s="1193"/>
      <c r="E43" s="221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207</v>
      </c>
      <c r="B44" s="1193" t="s">
        <v>208</v>
      </c>
      <c r="C44" s="1193"/>
      <c r="D44" s="1193"/>
      <c r="E44" s="2211"/>
      <c r="F44" s="2210">
        <v>1</v>
      </c>
      <c r="G44" s="1193"/>
      <c r="H44" s="1193"/>
      <c r="I44" s="1193"/>
      <c r="J44" s="1193"/>
      <c r="K44" s="1193"/>
      <c r="L44" s="1236"/>
      <c r="M44" s="1536"/>
      <c r="N44" s="1536"/>
      <c r="O44" s="1536"/>
      <c r="P44" s="1862"/>
      <c r="Q44" s="288"/>
      <c r="R44" s="289"/>
      <c r="S44" s="1880" t="str">
        <f>INDEX(PT_DIFFERENTIATION_NUM_TER,MATCH(B44,PT_DIFFERENTIATION_TER_ID,0))</f>
        <v>.</v>
      </c>
      <c r="T44" s="1448"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1550"/>
      <c r="AP44" s="1550" t="str">
        <f t="shared" si="1"/>
        <v>Территория действия тарифа</v>
      </c>
      <c r="AQ44" s="1550"/>
      <c r="AR44" s="1550"/>
      <c r="AS44" s="1557">
        <v>21</v>
      </c>
    </row>
    <row r="45" spans="1:45" ht="24" customHeight="1">
      <c r="A45" s="1193" t="s">
        <v>207</v>
      </c>
      <c r="B45" s="1193" t="s">
        <v>208</v>
      </c>
      <c r="C45" s="1193" t="s">
        <v>209</v>
      </c>
      <c r="D45" s="1193"/>
      <c r="E45" s="2211"/>
      <c r="F45" s="2211"/>
      <c r="G45" s="2210">
        <v>1</v>
      </c>
      <c r="H45" s="1193"/>
      <c r="I45" s="1193"/>
      <c r="J45" s="1193"/>
      <c r="K45" s="1193"/>
      <c r="L45" s="1236"/>
      <c r="M45" s="1536"/>
      <c r="N45" s="1536"/>
      <c r="O45" s="1536"/>
      <c r="P45" s="290"/>
      <c r="Q45" s="288"/>
      <c r="R45" s="289"/>
      <c r="S45" s="1880"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1550"/>
      <c r="AP45" s="1550" t="str">
        <f t="shared" si="1"/>
        <v xml:space="preserve">Наименование системы теплоснабжения </v>
      </c>
      <c r="AQ45" s="1550"/>
      <c r="AR45" s="1550"/>
      <c r="AS45" s="1557">
        <v>23</v>
      </c>
    </row>
    <row r="46" spans="1:45" ht="21.95" customHeight="1">
      <c r="A46" s="1193" t="s">
        <v>207</v>
      </c>
      <c r="B46" s="1193" t="s">
        <v>208</v>
      </c>
      <c r="C46" s="1193" t="s">
        <v>209</v>
      </c>
      <c r="D46" s="1193" t="s">
        <v>210</v>
      </c>
      <c r="E46" s="2211"/>
      <c r="F46" s="2211"/>
      <c r="G46" s="2211"/>
      <c r="H46" s="2210">
        <v>1</v>
      </c>
      <c r="I46" s="1193"/>
      <c r="J46" s="1193"/>
      <c r="K46" s="1193"/>
      <c r="L46" s="1236"/>
      <c r="M46" s="1536"/>
      <c r="N46" s="1536"/>
      <c r="O46" s="1536"/>
      <c r="P46" s="290"/>
      <c r="Q46" s="288"/>
      <c r="R46" s="289"/>
      <c r="S46" s="1880"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1550"/>
      <c r="AP46" s="1550" t="str">
        <f t="shared" si="1"/>
        <v xml:space="preserve">Источник тепловой энергии  </v>
      </c>
      <c r="AQ46" s="1550"/>
      <c r="AR46" s="1550"/>
      <c r="AS46" s="1557">
        <v>21</v>
      </c>
    </row>
    <row r="47" spans="1:45" ht="49.5" customHeight="1">
      <c r="A47" s="1193" t="s">
        <v>207</v>
      </c>
      <c r="B47" s="1193" t="s">
        <v>208</v>
      </c>
      <c r="C47" s="1193" t="s">
        <v>209</v>
      </c>
      <c r="D47" s="1193" t="s">
        <v>210</v>
      </c>
      <c r="E47" s="2211"/>
      <c r="F47" s="2211"/>
      <c r="G47" s="2211"/>
      <c r="H47" s="2211"/>
      <c r="I47" s="2056" t="str">
        <f>S46&amp;".1"</f>
        <v>....1</v>
      </c>
      <c r="J47" s="1193"/>
      <c r="K47" s="1193"/>
      <c r="L47" s="1236" t="s">
        <v>398</v>
      </c>
      <c r="P47" s="2188">
        <v>1</v>
      </c>
      <c r="Q47" s="1876"/>
      <c r="R47" s="292"/>
      <c r="S47" s="1880"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207</v>
      </c>
      <c r="B48" s="1193" t="s">
        <v>208</v>
      </c>
      <c r="C48" s="1193" t="s">
        <v>209</v>
      </c>
      <c r="D48" s="1193" t="s">
        <v>210</v>
      </c>
      <c r="E48" s="2211"/>
      <c r="F48" s="2211"/>
      <c r="G48" s="2211"/>
      <c r="H48" s="2211"/>
      <c r="I48" s="2038"/>
      <c r="J48" s="2056" t="str">
        <f>I47&amp;".1"</f>
        <v>....1.1</v>
      </c>
      <c r="K48" s="1193"/>
      <c r="L48" s="1236" t="s">
        <v>401</v>
      </c>
      <c r="P48" s="2188"/>
      <c r="Q48" s="2188">
        <v>1</v>
      </c>
      <c r="R48" s="293"/>
      <c r="S48" s="1880"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1550"/>
      <c r="AP48" s="1550" t="str">
        <f t="shared" si="1"/>
        <v>Группа потребителей</v>
      </c>
      <c r="AQ48" s="1550"/>
      <c r="AR48" s="1550"/>
      <c r="AS48" s="1557">
        <v>21</v>
      </c>
    </row>
    <row r="49" spans="1:45" ht="21.95" customHeight="1">
      <c r="A49" s="1193" t="s">
        <v>207</v>
      </c>
      <c r="B49" s="1193" t="s">
        <v>208</v>
      </c>
      <c r="C49" s="1193" t="s">
        <v>209</v>
      </c>
      <c r="D49" s="1193" t="s">
        <v>210</v>
      </c>
      <c r="E49" s="2211"/>
      <c r="F49" s="2211"/>
      <c r="G49" s="2211"/>
      <c r="H49" s="2211"/>
      <c r="I49" s="2038"/>
      <c r="J49" s="2038"/>
      <c r="K49" s="2056" t="str">
        <f>J48&amp;".1"</f>
        <v>....1.1.1</v>
      </c>
      <c r="L49" s="1236" t="s">
        <v>404</v>
      </c>
      <c r="P49" s="2188"/>
      <c r="Q49" s="2188"/>
      <c r="R49" s="293">
        <v>1</v>
      </c>
      <c r="S49" s="1880"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1562" t="e">
        <f ca="1">STRCHECKDATE(V50:AL50)</f>
        <v>#NAME?</v>
      </c>
      <c r="AO49" s="1550"/>
      <c r="AP49" s="1550" t="str">
        <f t="shared" si="1"/>
        <v/>
      </c>
      <c r="AQ49" s="1550"/>
      <c r="AR49" s="1550"/>
      <c r="AS49" s="1557">
        <v>21</v>
      </c>
    </row>
    <row r="50" spans="1:45" ht="1.1499999999999999" customHeight="1">
      <c r="A50" s="1193" t="s">
        <v>207</v>
      </c>
      <c r="B50" s="1193" t="s">
        <v>208</v>
      </c>
      <c r="C50" s="1193" t="s">
        <v>209</v>
      </c>
      <c r="D50" s="1193" t="s">
        <v>210</v>
      </c>
      <c r="E50" s="2211"/>
      <c r="F50" s="2211"/>
      <c r="G50" s="2211"/>
      <c r="H50" s="2211"/>
      <c r="I50" s="2038"/>
      <c r="J50" s="2038"/>
      <c r="K50" s="2056"/>
      <c r="L50" s="1236"/>
      <c r="P50" s="2188"/>
      <c r="Q50" s="2188"/>
      <c r="R50" s="293"/>
      <c r="S50" s="188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1550"/>
      <c r="AP50" s="1550" t="str">
        <f t="shared" si="1"/>
        <v/>
      </c>
      <c r="AQ50" s="1550"/>
      <c r="AR50" s="1550"/>
      <c r="AS50" s="1557">
        <v>1</v>
      </c>
    </row>
    <row r="51" spans="1:45" ht="11.45" customHeight="1">
      <c r="A51" s="1193" t="s">
        <v>207</v>
      </c>
      <c r="B51" s="1193" t="s">
        <v>208</v>
      </c>
      <c r="C51" s="1193" t="s">
        <v>209</v>
      </c>
      <c r="D51" s="1193" t="s">
        <v>210</v>
      </c>
      <c r="E51" s="2211"/>
      <c r="F51" s="2211"/>
      <c r="G51" s="2211"/>
      <c r="H51" s="2211"/>
      <c r="I51" s="2038"/>
      <c r="J51" s="2056"/>
      <c r="K51" s="1193"/>
      <c r="L51" s="1236"/>
      <c r="P51" s="2188"/>
      <c r="Q51" s="2188"/>
      <c r="R51" s="292"/>
      <c r="S51" s="1204"/>
      <c r="T51" s="225" t="s">
        <v>406</v>
      </c>
      <c r="U51" s="536"/>
      <c r="V51" s="536"/>
      <c r="W51" s="536"/>
      <c r="X51" s="536"/>
      <c r="Y51" s="536"/>
      <c r="Z51" s="536"/>
      <c r="AA51" s="536"/>
      <c r="AB51" s="536"/>
      <c r="AC51" s="536"/>
      <c r="AD51" s="536"/>
      <c r="AE51" s="536"/>
      <c r="AF51" s="536"/>
      <c r="AG51" s="536"/>
      <c r="AH51" s="536"/>
      <c r="AI51" s="536"/>
      <c r="AJ51" s="536"/>
      <c r="AK51" s="536"/>
      <c r="AL51" s="261"/>
      <c r="AM51" s="2209"/>
      <c r="AO51" s="1550"/>
      <c r="AP51" s="1550" t="str">
        <f t="shared" si="1"/>
        <v>Добавить вид теплоносителя (параметры теплоносителя)</v>
      </c>
      <c r="AQ51" s="1550"/>
      <c r="AR51" s="1550"/>
      <c r="AS51" s="1557">
        <v>11</v>
      </c>
    </row>
    <row r="52" spans="1:45" ht="11.45" customHeight="1">
      <c r="A52" s="1193" t="s">
        <v>207</v>
      </c>
      <c r="B52" s="1193" t="s">
        <v>208</v>
      </c>
      <c r="C52" s="1193" t="s">
        <v>209</v>
      </c>
      <c r="D52" s="1193" t="s">
        <v>210</v>
      </c>
      <c r="E52" s="2211"/>
      <c r="F52" s="2211"/>
      <c r="G52" s="2211"/>
      <c r="H52" s="2211"/>
      <c r="I52" s="2056"/>
      <c r="J52" s="1193"/>
      <c r="K52" s="1193"/>
      <c r="L52" s="1236"/>
      <c r="P52" s="2188"/>
      <c r="Q52" s="1876"/>
      <c r="R52" s="292"/>
      <c r="S52" s="1204"/>
      <c r="T52" s="224" t="s">
        <v>407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207</v>
      </c>
      <c r="B53" s="1193" t="s">
        <v>208</v>
      </c>
      <c r="C53" s="1193" t="s">
        <v>209</v>
      </c>
      <c r="D53" s="1193" t="s">
        <v>210</v>
      </c>
      <c r="E53" s="2211"/>
      <c r="F53" s="2211"/>
      <c r="G53" s="2211"/>
      <c r="H53" s="2210"/>
      <c r="I53" s="1193"/>
      <c r="J53" s="1193"/>
      <c r="K53" s="1193"/>
      <c r="L53" s="1236"/>
      <c r="M53" s="1536"/>
      <c r="N53" s="1536"/>
      <c r="O53" s="1561"/>
      <c r="P53" s="296"/>
      <c r="Q53" s="311"/>
      <c r="R53" s="291"/>
      <c r="S53" s="1204"/>
      <c r="T53" s="301" t="s">
        <v>408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207</v>
      </c>
      <c r="B54" s="1193" t="s">
        <v>208</v>
      </c>
      <c r="C54" s="1193" t="s">
        <v>209</v>
      </c>
      <c r="D54" s="1896"/>
      <c r="E54" s="2211"/>
      <c r="F54" s="2211"/>
      <c r="G54" s="2210"/>
      <c r="H54" s="1896"/>
      <c r="I54" s="1896"/>
      <c r="J54" s="1896"/>
      <c r="K54" s="1896"/>
      <c r="L54" s="1306"/>
      <c r="M54" s="1536"/>
      <c r="N54" s="1536"/>
      <c r="O54" s="156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207</v>
      </c>
      <c r="B55" s="1193" t="s">
        <v>208</v>
      </c>
      <c r="C55" s="1896"/>
      <c r="D55" s="1896"/>
      <c r="E55" s="2211"/>
      <c r="F55" s="2210"/>
      <c r="G55" s="1896"/>
      <c r="H55" s="1896"/>
      <c r="I55" s="1896"/>
      <c r="J55" s="1896"/>
      <c r="K55" s="1896"/>
      <c r="L55" s="1306"/>
      <c r="M55" s="1897"/>
      <c r="N55" s="1897"/>
      <c r="O55" s="1561"/>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207</v>
      </c>
      <c r="B56" s="1193"/>
      <c r="C56" s="1193"/>
      <c r="D56" s="1193"/>
      <c r="E56" s="2210"/>
      <c r="F56" s="1193"/>
      <c r="G56" s="1193"/>
      <c r="H56" s="1193"/>
      <c r="I56" s="1193"/>
      <c r="J56" s="1193"/>
      <c r="K56" s="1193"/>
      <c r="L56" s="1236"/>
      <c r="M56" s="1897"/>
      <c r="N56" s="1897"/>
      <c r="O56" s="1561"/>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7">
        <v>27</v>
      </c>
    </row>
    <row r="60" spans="1:45" ht="65.25" customHeight="1">
      <c r="O60" s="156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7">
        <v>62</v>
      </c>
    </row>
    <row r="61" spans="1:45" ht="14.65" customHeight="1">
      <c r="O61" s="1561"/>
      <c r="AS61" s="1557">
        <v>14</v>
      </c>
    </row>
    <row r="62" spans="1:45" ht="18.75" customHeight="1">
      <c r="O62" s="1561"/>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7">
        <v>18</v>
      </c>
    </row>
    <row r="63" spans="1:45" ht="18.75" customHeight="1">
      <c r="O63" s="1561"/>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7">
        <v>18</v>
      </c>
    </row>
    <row r="64" spans="1:45" ht="29.25" customHeight="1">
      <c r="O64" s="1561"/>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7">
        <v>28</v>
      </c>
    </row>
    <row r="65" spans="1:45" ht="22.5" hidden="1" customHeight="1">
      <c r="A65" s="1557" t="s">
        <v>78</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398</v>
      </c>
      <c r="M6" s="473"/>
      <c r="P6" s="2188">
        <v>1</v>
      </c>
      <c r="Q6" s="1257"/>
      <c r="R6" s="292"/>
      <c r="S6" s="1262"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262"/>
      <c r="W8" s="687"/>
      <c r="X8" s="262"/>
      <c r="Y8" s="320"/>
      <c r="Z8" s="2189"/>
      <c r="AA8" s="2066" t="s">
        <v>66</v>
      </c>
      <c r="AB8" s="2189"/>
      <c r="AC8" s="2066" t="s">
        <v>66</v>
      </c>
      <c r="AD8" s="262"/>
      <c r="AE8" s="687"/>
      <c r="AF8" s="262"/>
      <c r="AG8" s="320"/>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28</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214"/>
      <c r="Y39" s="2214"/>
      <c r="Z39" s="2199"/>
      <c r="AA39" s="2199"/>
      <c r="AB39" s="2200"/>
      <c r="AC39" s="2201" t="s">
        <v>425</v>
      </c>
      <c r="AD39" s="2198" t="s">
        <v>424</v>
      </c>
      <c r="AE39" s="2199"/>
      <c r="AF39" s="2214"/>
      <c r="AG39" s="2214"/>
      <c r="AH39" s="2199"/>
      <c r="AI39" s="2199"/>
      <c r="AJ39" s="2200"/>
      <c r="AK39" s="2201" t="s">
        <v>426</v>
      </c>
      <c r="AL39" s="2204" t="s">
        <v>427</v>
      </c>
      <c r="AM39" s="2056"/>
      <c r="AS39" s="1081">
        <v>14</v>
      </c>
    </row>
    <row r="40" spans="1:45" ht="24" customHeight="1">
      <c r="Q40" s="312"/>
      <c r="R40" s="312"/>
      <c r="S40" s="2197"/>
      <c r="T40" s="2145"/>
      <c r="U40" s="960"/>
      <c r="V40" s="2212" t="s">
        <v>428</v>
      </c>
      <c r="W40" s="2116" t="s">
        <v>429</v>
      </c>
      <c r="X40" s="1302" t="s">
        <v>430</v>
      </c>
      <c r="Y40" s="1302"/>
      <c r="Z40" s="2043" t="s">
        <v>431</v>
      </c>
      <c r="AA40" s="2043"/>
      <c r="AB40" s="2037"/>
      <c r="AC40" s="2202"/>
      <c r="AD40" s="2212" t="s">
        <v>428</v>
      </c>
      <c r="AE40" s="2116" t="s">
        <v>429</v>
      </c>
      <c r="AF40" s="1302" t="s">
        <v>430</v>
      </c>
      <c r="AG40" s="1302"/>
      <c r="AH40" s="2043" t="s">
        <v>431</v>
      </c>
      <c r="AI40" s="2043"/>
      <c r="AJ40" s="2037"/>
      <c r="AK40" s="2202"/>
      <c r="AL40" s="2205"/>
      <c r="AM40" s="2056"/>
      <c r="AS40" s="1081">
        <v>23</v>
      </c>
    </row>
    <row r="41" spans="1:45" s="1192" customFormat="1" ht="24"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M41" s="1288"/>
      <c r="N41" s="1288"/>
      <c r="O41" s="1288"/>
      <c r="P41" s="1254"/>
      <c r="Q41" s="312"/>
      <c r="R41" s="312"/>
      <c r="S41" s="2197"/>
      <c r="T41" s="2145"/>
      <c r="U41" s="239"/>
      <c r="V41" s="2213"/>
      <c r="W41" s="2121"/>
      <c r="X41" s="1299" t="s">
        <v>439</v>
      </c>
      <c r="Y41" s="1299" t="s">
        <v>440</v>
      </c>
      <c r="Z41" s="1260" t="s">
        <v>441</v>
      </c>
      <c r="AA41" s="2150" t="s">
        <v>442</v>
      </c>
      <c r="AB41" s="2164"/>
      <c r="AC41" s="2203"/>
      <c r="AD41" s="2213"/>
      <c r="AE41" s="2121"/>
      <c r="AF41" s="1299" t="s">
        <v>439</v>
      </c>
      <c r="AG41" s="1299" t="s">
        <v>440</v>
      </c>
      <c r="AH41" s="1260" t="s">
        <v>441</v>
      </c>
      <c r="AI41" s="2150" t="s">
        <v>442</v>
      </c>
      <c r="AJ41" s="2164"/>
      <c r="AK41" s="2203"/>
      <c r="AL41" s="2206"/>
      <c r="AM41" s="2056"/>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7">
        <f ca="1">OFFSET(X42,0,-1)+1</f>
        <v>1</v>
      </c>
      <c r="Y42" s="1267">
        <f ca="1">OFFSET(Y42,0,-1)+1</f>
        <v>2</v>
      </c>
      <c r="Z42" s="1261">
        <f ca="1">OFFSET(Z42,0,-1)+1</f>
        <v>3</v>
      </c>
      <c r="AA42" s="2195">
        <f ca="1">OFFSET(AA42,0,-1)+1</f>
        <v>4</v>
      </c>
      <c r="AB42" s="2195"/>
      <c r="AC42" s="1261">
        <f ca="1">OFFSET(AC42,0,-2)+1</f>
        <v>5</v>
      </c>
      <c r="AD42" s="1261">
        <f ca="1">OFFSET(AD42,0,-1)+1</f>
        <v>6</v>
      </c>
      <c r="AE42" s="1261"/>
      <c r="AF42" s="1267">
        <f ca="1">OFFSET(AF42,0,-1)+1</f>
        <v>1</v>
      </c>
      <c r="AG42" s="1267">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189</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189</v>
      </c>
      <c r="B44" s="1289" t="s">
        <v>190</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189</v>
      </c>
      <c r="B45" s="1289" t="s">
        <v>190</v>
      </c>
      <c r="C45" s="1289" t="s">
        <v>191</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189</v>
      </c>
      <c r="B46" s="1289" t="s">
        <v>190</v>
      </c>
      <c r="C46" s="1289" t="s">
        <v>191</v>
      </c>
      <c r="D46" s="1289" t="s">
        <v>192</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ht="49.5" customHeight="1">
      <c r="A47" s="1289" t="s">
        <v>189</v>
      </c>
      <c r="B47" s="1289" t="s">
        <v>190</v>
      </c>
      <c r="C47" s="1289" t="s">
        <v>191</v>
      </c>
      <c r="D47" s="1289" t="s">
        <v>192</v>
      </c>
      <c r="E47" s="2185"/>
      <c r="F47" s="2185"/>
      <c r="G47" s="2185"/>
      <c r="H47" s="2185"/>
      <c r="I47" s="2186" t="str">
        <f>S46&amp;".1"</f>
        <v>....1</v>
      </c>
      <c r="J47" s="1289"/>
      <c r="K47" s="1289"/>
      <c r="L47" s="1290" t="s">
        <v>398</v>
      </c>
      <c r="P47" s="2188">
        <v>1</v>
      </c>
      <c r="Q47" s="1257"/>
      <c r="R47" s="292"/>
      <c r="S47" s="1262"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189</v>
      </c>
      <c r="B48" s="1289" t="s">
        <v>190</v>
      </c>
      <c r="C48" s="1289" t="s">
        <v>191</v>
      </c>
      <c r="D48" s="1289" t="s">
        <v>192</v>
      </c>
      <c r="E48" s="2185"/>
      <c r="F48" s="2185"/>
      <c r="G48" s="2185"/>
      <c r="H48" s="2185"/>
      <c r="I48" s="2187"/>
      <c r="J48" s="2186" t="str">
        <f>I47&amp;".1"</f>
        <v>....1.1</v>
      </c>
      <c r="K48" s="1289"/>
      <c r="L48" s="1290" t="s">
        <v>401</v>
      </c>
      <c r="P48" s="2188"/>
      <c r="Q48" s="2188">
        <v>1</v>
      </c>
      <c r="R48" s="293"/>
      <c r="S48" s="1262"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189</v>
      </c>
      <c r="B49" s="1289" t="s">
        <v>190</v>
      </c>
      <c r="C49" s="1289" t="s">
        <v>191</v>
      </c>
      <c r="D49" s="1289" t="s">
        <v>192</v>
      </c>
      <c r="E49" s="2185"/>
      <c r="F49" s="2185"/>
      <c r="G49" s="2185"/>
      <c r="H49" s="2185"/>
      <c r="I49" s="2187"/>
      <c r="J49" s="2187"/>
      <c r="K49" s="2186" t="str">
        <f>J48&amp;".1"</f>
        <v>....1.1.1</v>
      </c>
      <c r="L49" s="1290" t="s">
        <v>404</v>
      </c>
      <c r="P49" s="2188"/>
      <c r="Q49" s="2188"/>
      <c r="R49" s="293">
        <v>1</v>
      </c>
      <c r="S49" s="1262" t="str">
        <f>$K49</f>
        <v>....1.1.1</v>
      </c>
      <c r="T49" s="1273"/>
      <c r="U49" s="237"/>
      <c r="V49" s="262"/>
      <c r="W49" s="687"/>
      <c r="X49" s="262"/>
      <c r="Y49" s="320"/>
      <c r="Z49" s="2189"/>
      <c r="AA49" s="2066" t="s">
        <v>66</v>
      </c>
      <c r="AB49" s="2189"/>
      <c r="AC49" s="2066" t="s">
        <v>66</v>
      </c>
      <c r="AD49" s="262"/>
      <c r="AE49" s="687"/>
      <c r="AF49" s="262"/>
      <c r="AG49" s="320"/>
      <c r="AH49" s="2189"/>
      <c r="AI49" s="2066" t="s">
        <v>66</v>
      </c>
      <c r="AJ49" s="2191"/>
      <c r="AK49" s="2066" t="s">
        <v>66</v>
      </c>
      <c r="AL49" s="1274"/>
      <c r="AM49" s="2207" t="s">
        <v>405</v>
      </c>
      <c r="AN49" s="447" t="e">
        <f ca="1">STRCHECKDATE(V50:AL50)</f>
        <v>#NAME?</v>
      </c>
      <c r="AO49" s="436"/>
      <c r="AP49" s="436" t="str">
        <f t="shared" si="1"/>
        <v/>
      </c>
      <c r="AQ49" s="436"/>
      <c r="AR49" s="436"/>
      <c r="AS49" s="1081">
        <v>21</v>
      </c>
    </row>
    <row r="50" spans="1:45" ht="1.1499999999999999" customHeight="1">
      <c r="A50" s="1289" t="s">
        <v>189</v>
      </c>
      <c r="B50" s="1289" t="s">
        <v>190</v>
      </c>
      <c r="C50" s="1289" t="s">
        <v>191</v>
      </c>
      <c r="D50" s="1289" t="s">
        <v>192</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189</v>
      </c>
      <c r="B51" s="1289" t="s">
        <v>190</v>
      </c>
      <c r="C51" s="1289" t="s">
        <v>191</v>
      </c>
      <c r="D51" s="1289" t="s">
        <v>192</v>
      </c>
      <c r="E51" s="2185"/>
      <c r="F51" s="2185"/>
      <c r="G51" s="2185"/>
      <c r="H51" s="2185"/>
      <c r="I51" s="2187"/>
      <c r="J51" s="2186"/>
      <c r="K51" s="1289"/>
      <c r="L51" s="1290"/>
      <c r="P51" s="2188"/>
      <c r="Q51" s="2188"/>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189</v>
      </c>
      <c r="B52" s="1289" t="s">
        <v>190</v>
      </c>
      <c r="C52" s="1289" t="s">
        <v>191</v>
      </c>
      <c r="D52" s="1289" t="s">
        <v>192</v>
      </c>
      <c r="E52" s="2185"/>
      <c r="F52" s="2185"/>
      <c r="G52" s="2185"/>
      <c r="H52" s="2185"/>
      <c r="I52" s="2186"/>
      <c r="J52" s="1289"/>
      <c r="K52" s="1289"/>
      <c r="L52" s="1290"/>
      <c r="P52" s="2188"/>
      <c r="Q52" s="1257"/>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189</v>
      </c>
      <c r="B53" s="1289" t="s">
        <v>190</v>
      </c>
      <c r="C53" s="1289" t="s">
        <v>191</v>
      </c>
      <c r="D53" s="1289" t="s">
        <v>192</v>
      </c>
      <c r="E53" s="2185"/>
      <c r="F53" s="2185"/>
      <c r="G53" s="2185"/>
      <c r="H53" s="2184"/>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189</v>
      </c>
      <c r="B54" s="1269" t="s">
        <v>190</v>
      </c>
      <c r="C54" s="1269" t="s">
        <v>191</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189</v>
      </c>
      <c r="B55" s="1269" t="s">
        <v>190</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189</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78.7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75</v>
      </c>
    </row>
    <row r="61" spans="1:45" ht="14.65" customHeight="1">
      <c r="O61" s="473"/>
      <c r="AS61" s="1081">
        <v>14</v>
      </c>
    </row>
    <row r="62" spans="1:45" ht="18.75" customHeight="1">
      <c r="O62" s="473"/>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39.75"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38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14.25" hidden="1" customHeight="1">
      <c r="A6" s="1289"/>
      <c r="B6" s="1289"/>
      <c r="C6" s="1289"/>
      <c r="D6" s="1289"/>
      <c r="E6" s="2185"/>
      <c r="F6" s="2185"/>
      <c r="G6" s="2185"/>
      <c r="H6" s="2185"/>
      <c r="I6" s="2186" t="e">
        <f>S5&amp;".1"</f>
        <v>#N/A</v>
      </c>
      <c r="J6" s="1289"/>
      <c r="K6" s="1289"/>
      <c r="L6" s="1290" t="s">
        <v>398</v>
      </c>
      <c r="M6" s="473"/>
      <c r="P6" s="2188">
        <v>1</v>
      </c>
      <c r="Q6" s="1257"/>
      <c r="R6" s="292"/>
      <c r="S6" s="971"/>
      <c r="T6" s="1309"/>
      <c r="U6" s="1310"/>
      <c r="V6" s="2215"/>
      <c r="W6" s="2216"/>
      <c r="X6" s="2216"/>
      <c r="Y6" s="2216"/>
      <c r="Z6" s="2216"/>
      <c r="AA6" s="2216"/>
      <c r="AB6" s="2216"/>
      <c r="AC6" s="2217"/>
      <c r="AD6" s="2215"/>
      <c r="AE6" s="2216"/>
      <c r="AF6" s="2216"/>
      <c r="AG6" s="2216"/>
      <c r="AH6" s="2216"/>
      <c r="AI6" s="2216"/>
      <c r="AJ6" s="2216"/>
      <c r="AK6" s="2216"/>
      <c r="AL6" s="2217"/>
      <c r="AM6" s="1311"/>
      <c r="AO6" s="436"/>
      <c r="AP6" s="436" t="str">
        <f t="shared" si="0"/>
        <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9"/>
      <c r="AS26" s="1081">
        <v>60</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c r="X40" s="2038" t="s">
        <v>430</v>
      </c>
      <c r="Y40" s="2037"/>
      <c r="Z40" s="2038" t="s">
        <v>431</v>
      </c>
      <c r="AA40" s="2043"/>
      <c r="AB40" s="2037"/>
      <c r="AC40" s="2202"/>
      <c r="AD40" s="2115" t="s">
        <v>445</v>
      </c>
      <c r="AE40" s="2193"/>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165</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165</v>
      </c>
      <c r="B44" s="1289" t="s">
        <v>166</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165</v>
      </c>
      <c r="B45" s="1289" t="s">
        <v>166</v>
      </c>
      <c r="C45" s="1289" t="s">
        <v>167</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165</v>
      </c>
      <c r="B46" s="1289" t="s">
        <v>166</v>
      </c>
      <c r="C46" s="1289" t="s">
        <v>167</v>
      </c>
      <c r="D46" s="1289" t="s">
        <v>168</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s="1568" customFormat="1" ht="0" hidden="1" customHeight="1">
      <c r="A47" s="1269" t="s">
        <v>165</v>
      </c>
      <c r="B47" s="1269" t="s">
        <v>166</v>
      </c>
      <c r="C47" s="1269" t="s">
        <v>167</v>
      </c>
      <c r="D47" s="1269" t="s">
        <v>168</v>
      </c>
      <c r="E47" s="2185"/>
      <c r="F47" s="2185"/>
      <c r="G47" s="2185"/>
      <c r="H47" s="2185"/>
      <c r="I47" s="2186" t="str">
        <f>S46&amp;".1"</f>
        <v>....1</v>
      </c>
      <c r="J47" s="1269"/>
      <c r="K47" s="1269"/>
      <c r="L47" s="1272" t="s">
        <v>398</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1.95" customHeight="1">
      <c r="A48" s="1289" t="s">
        <v>165</v>
      </c>
      <c r="B48" s="1289" t="s">
        <v>166</v>
      </c>
      <c r="C48" s="1289" t="s">
        <v>167</v>
      </c>
      <c r="D48" s="1289" t="s">
        <v>168</v>
      </c>
      <c r="E48" s="2185"/>
      <c r="F48" s="2185"/>
      <c r="G48" s="2185"/>
      <c r="H48" s="2185"/>
      <c r="I48" s="2187"/>
      <c r="J48" s="2186" t="str">
        <f>S46&amp;".1"</f>
        <v>....1</v>
      </c>
      <c r="K48" s="1289"/>
      <c r="L48" s="1290" t="s">
        <v>401</v>
      </c>
      <c r="P48" s="2188"/>
      <c r="Q48" s="2188">
        <v>1</v>
      </c>
      <c r="R48" s="293"/>
      <c r="S48" s="1262" t="str">
        <f>$J48</f>
        <v>....1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165</v>
      </c>
      <c r="B49" s="1289" t="s">
        <v>166</v>
      </c>
      <c r="C49" s="1289" t="s">
        <v>167</v>
      </c>
      <c r="D49" s="1289" t="s">
        <v>168</v>
      </c>
      <c r="E49" s="2185"/>
      <c r="F49" s="2185"/>
      <c r="G49" s="2185"/>
      <c r="H49" s="2185"/>
      <c r="I49" s="2187"/>
      <c r="J49" s="2187"/>
      <c r="K49" s="2186" t="str">
        <f>J48&amp;".1"</f>
        <v>....1.1</v>
      </c>
      <c r="L49" s="1290" t="s">
        <v>404</v>
      </c>
      <c r="P49" s="2188"/>
      <c r="Q49" s="2188"/>
      <c r="R49" s="293">
        <v>1</v>
      </c>
      <c r="S49" s="1262" t="str">
        <f>$K49</f>
        <v>....1.1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446</v>
      </c>
      <c r="AN49" s="447" t="e">
        <f ca="1">STRCHECKDATE(V50:AL50)</f>
        <v>#NAME?</v>
      </c>
      <c r="AO49" s="436"/>
      <c r="AP49" s="436" t="str">
        <f t="shared" si="1"/>
        <v/>
      </c>
      <c r="AQ49" s="436"/>
      <c r="AR49" s="436"/>
      <c r="AS49" s="1081">
        <v>21</v>
      </c>
    </row>
    <row r="50" spans="1:45" ht="1.1499999999999999" customHeight="1">
      <c r="A50" s="1289" t="s">
        <v>165</v>
      </c>
      <c r="B50" s="1289" t="s">
        <v>166</v>
      </c>
      <c r="C50" s="1289" t="s">
        <v>167</v>
      </c>
      <c r="D50" s="1289" t="s">
        <v>168</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165</v>
      </c>
      <c r="B51" s="1289" t="s">
        <v>166</v>
      </c>
      <c r="C51" s="1289" t="s">
        <v>167</v>
      </c>
      <c r="D51" s="1289" t="s">
        <v>168</v>
      </c>
      <c r="E51" s="2185"/>
      <c r="F51" s="2185"/>
      <c r="G51" s="2185"/>
      <c r="H51" s="2185"/>
      <c r="I51" s="2187"/>
      <c r="J51" s="2186"/>
      <c r="K51" s="1289"/>
      <c r="L51" s="1290"/>
      <c r="P51" s="2188"/>
      <c r="Q51" s="2188"/>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165</v>
      </c>
      <c r="B52" s="1289" t="s">
        <v>166</v>
      </c>
      <c r="C52" s="1289" t="s">
        <v>167</v>
      </c>
      <c r="D52" s="1289" t="s">
        <v>168</v>
      </c>
      <c r="E52" s="2185"/>
      <c r="F52" s="2185"/>
      <c r="G52" s="2185"/>
      <c r="H52" s="2185"/>
      <c r="I52" s="2186"/>
      <c r="J52" s="1289"/>
      <c r="K52" s="1289"/>
      <c r="L52" s="1290"/>
      <c r="P52" s="2188"/>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165</v>
      </c>
      <c r="B53" s="1289" t="s">
        <v>166</v>
      </c>
      <c r="C53" s="1289" t="s">
        <v>167</v>
      </c>
      <c r="D53" s="1289" t="s">
        <v>168</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165</v>
      </c>
      <c r="B54" s="1269" t="s">
        <v>166</v>
      </c>
      <c r="C54" s="1269" t="s">
        <v>167</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165</v>
      </c>
      <c r="B55" s="1269" t="s">
        <v>166</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165</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19</v>
      </c>
    </row>
    <row r="60" spans="1:45" ht="29.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28</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40</v>
      </c>
    </row>
    <row r="62" spans="1:45" ht="14.65" customHeight="1">
      <c r="O62" s="473"/>
      <c r="AS62" s="1081">
        <v>14</v>
      </c>
    </row>
    <row r="63" spans="1:45" ht="21"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35.6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34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930" t="e">
        <f>INDEX(PT_DIFFERENTIATION_NUM_CS,MATCH(C4,PT_DIFFERENTIATION_CS_ID,0))</f>
        <v>#N/A</v>
      </c>
      <c r="T4" s="1934" t="s">
        <v>394</v>
      </c>
      <c r="U4" s="1935"/>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1561"/>
      <c r="S5" s="1929" t="e">
        <f>INDEX(PT_DIFFERENTIATION_NUM_IST_TE,MATCH(D5,PT_DIFFERENTIATION_IST_TE_ID,0))</f>
        <v>#N/A</v>
      </c>
      <c r="T5" s="247" t="s">
        <v>396</v>
      </c>
      <c r="U5" s="237"/>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2" t="s">
        <v>397</v>
      </c>
      <c r="AO5" s="436"/>
      <c r="AP5" s="436" t="str">
        <f t="shared" si="0"/>
        <v xml:space="preserve">Источник тепловой энергии  </v>
      </c>
      <c r="AQ5" s="436"/>
      <c r="AR5" s="436"/>
      <c r="AS5" s="1081">
        <v>0</v>
      </c>
    </row>
    <row r="6" spans="1:45" ht="0.75" hidden="1" customHeight="1">
      <c r="A6" s="1289"/>
      <c r="B6" s="1289"/>
      <c r="C6" s="1289"/>
      <c r="D6" s="1289"/>
      <c r="E6" s="2185"/>
      <c r="F6" s="2185"/>
      <c r="G6" s="2185"/>
      <c r="H6" s="2185"/>
      <c r="I6" s="2186" t="e">
        <f>S5&amp;".1"</f>
        <v>#N/A</v>
      </c>
      <c r="J6" s="1289"/>
      <c r="K6" s="1289"/>
      <c r="L6" s="1290" t="s">
        <v>398</v>
      </c>
      <c r="M6" s="473"/>
      <c r="P6" s="2188">
        <v>1</v>
      </c>
      <c r="Q6" s="1257"/>
      <c r="R6" s="1928"/>
      <c r="S6" s="971"/>
      <c r="T6" s="1309"/>
      <c r="U6" s="1310"/>
      <c r="V6" s="2224"/>
      <c r="W6" s="2224"/>
      <c r="X6" s="2224"/>
      <c r="Y6" s="2224"/>
      <c r="Z6" s="2224"/>
      <c r="AA6" s="2224"/>
      <c r="AB6" s="2224"/>
      <c r="AC6" s="2224"/>
      <c r="AD6" s="2224"/>
      <c r="AE6" s="2224"/>
      <c r="AF6" s="2224"/>
      <c r="AG6" s="2224"/>
      <c r="AH6" s="2224"/>
      <c r="AI6" s="2224"/>
      <c r="AJ6" s="2224"/>
      <c r="AK6" s="2224"/>
      <c r="AL6" s="2224"/>
      <c r="AM6" s="1933"/>
      <c r="AO6" s="436"/>
      <c r="AP6" s="436" t="str">
        <f t="shared" si="0"/>
        <v/>
      </c>
      <c r="AQ6" s="436"/>
      <c r="AR6" s="436"/>
      <c r="AS6" s="1081">
        <v>0</v>
      </c>
    </row>
    <row r="7" spans="1:45" ht="84" hidden="1" customHeight="1">
      <c r="A7" s="1289"/>
      <c r="B7" s="1289"/>
      <c r="C7" s="1289"/>
      <c r="D7" s="1289"/>
      <c r="E7" s="2185"/>
      <c r="F7" s="2185"/>
      <c r="G7" s="2185"/>
      <c r="H7" s="2185"/>
      <c r="I7" s="2187"/>
      <c r="J7" s="2186" t="e">
        <f>I6&amp;".1"</f>
        <v>#N/A</v>
      </c>
      <c r="K7" s="1289"/>
      <c r="L7" s="1290" t="s">
        <v>401</v>
      </c>
      <c r="M7" s="473"/>
      <c r="N7" s="1292"/>
      <c r="P7" s="2188"/>
      <c r="Q7" s="2188">
        <v>1</v>
      </c>
      <c r="R7" s="1568"/>
      <c r="S7" s="1929" t="e">
        <f>$J7</f>
        <v>#N/A</v>
      </c>
      <c r="T7" s="223" t="s">
        <v>402</v>
      </c>
      <c r="U7" s="237"/>
      <c r="V7" s="2218"/>
      <c r="W7" s="2218"/>
      <c r="X7" s="2218"/>
      <c r="Y7" s="2218"/>
      <c r="Z7" s="2218"/>
      <c r="AA7" s="2218"/>
      <c r="AB7" s="2218"/>
      <c r="AC7" s="2218"/>
      <c r="AD7" s="2218"/>
      <c r="AE7" s="2218"/>
      <c r="AF7" s="2218"/>
      <c r="AG7" s="2218"/>
      <c r="AH7" s="2218"/>
      <c r="AI7" s="2218"/>
      <c r="AJ7" s="2218"/>
      <c r="AK7" s="2218"/>
      <c r="AL7" s="2218"/>
      <c r="AM7" s="1932" t="s">
        <v>403</v>
      </c>
      <c r="AO7" s="436"/>
      <c r="AP7" s="436" t="str">
        <f t="shared" si="0"/>
        <v>Группа потребителей</v>
      </c>
      <c r="AQ7" s="436"/>
      <c r="AR7" s="436"/>
      <c r="AS7" s="1081">
        <v>0</v>
      </c>
    </row>
    <row r="8" spans="1:45" ht="11.25"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931" t="e">
        <f>$K8</f>
        <v>#N/A</v>
      </c>
      <c r="T8" s="1936"/>
      <c r="U8" s="1937"/>
      <c r="V8" s="1938"/>
      <c r="W8" s="1275"/>
      <c r="X8" s="1938"/>
      <c r="Y8" s="1939"/>
      <c r="Z8" s="2219"/>
      <c r="AA8" s="2071" t="s">
        <v>66</v>
      </c>
      <c r="AB8" s="2219"/>
      <c r="AC8" s="2071" t="s">
        <v>66</v>
      </c>
      <c r="AD8" s="1938"/>
      <c r="AE8" s="1275"/>
      <c r="AF8" s="1938"/>
      <c r="AG8" s="1939"/>
      <c r="AH8" s="2219"/>
      <c r="AI8" s="2071" t="s">
        <v>66</v>
      </c>
      <c r="AJ8" s="2219"/>
      <c r="AK8" s="2071" t="s">
        <v>66</v>
      </c>
      <c r="AL8" s="1275"/>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1.25" hidden="1" customHeight="1">
      <c r="A10" s="1289"/>
      <c r="B10" s="1289"/>
      <c r="C10" s="1289"/>
      <c r="D10" s="1289"/>
      <c r="E10" s="2185"/>
      <c r="F10" s="2185"/>
      <c r="G10" s="2185"/>
      <c r="H10" s="2185"/>
      <c r="I10" s="2187"/>
      <c r="J10" s="2186"/>
      <c r="K10" s="1289"/>
      <c r="L10" s="1290"/>
      <c r="M10" s="473"/>
      <c r="N10" s="1292"/>
      <c r="P10" s="2188"/>
      <c r="Q10" s="2188"/>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5"/>
      <c r="F11" s="2185"/>
      <c r="G11" s="2185"/>
      <c r="H11" s="2185"/>
      <c r="I11" s="2186"/>
      <c r="J11" s="1289"/>
      <c r="K11" s="1289"/>
      <c r="L11" s="1290"/>
      <c r="M11" s="473"/>
      <c r="P11" s="2188"/>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69"/>
      <c r="AS26" s="1081">
        <v>52</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c r="X40" s="2038" t="s">
        <v>430</v>
      </c>
      <c r="Y40" s="2037"/>
      <c r="Z40" s="2038" t="s">
        <v>431</v>
      </c>
      <c r="AA40" s="2043"/>
      <c r="AB40" s="2037"/>
      <c r="AC40" s="2202"/>
      <c r="AD40" s="2115" t="s">
        <v>445</v>
      </c>
      <c r="AE40" s="2193"/>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177</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177</v>
      </c>
      <c r="B44" s="1289" t="s">
        <v>178</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177</v>
      </c>
      <c r="B45" s="1289" t="s">
        <v>178</v>
      </c>
      <c r="C45" s="1289" t="s">
        <v>179</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177</v>
      </c>
      <c r="B46" s="1289" t="s">
        <v>178</v>
      </c>
      <c r="C46" s="1289" t="s">
        <v>179</v>
      </c>
      <c r="D46" s="1289" t="s">
        <v>180</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s="1568" customFormat="1" ht="0" hidden="1" customHeight="1">
      <c r="A47" s="1269" t="s">
        <v>177</v>
      </c>
      <c r="B47" s="1269" t="s">
        <v>178</v>
      </c>
      <c r="C47" s="1269" t="s">
        <v>179</v>
      </c>
      <c r="D47" s="1269" t="s">
        <v>180</v>
      </c>
      <c r="E47" s="2185"/>
      <c r="F47" s="2185"/>
      <c r="G47" s="2185"/>
      <c r="H47" s="2185"/>
      <c r="I47" s="2186" t="str">
        <f>S46&amp;".1"</f>
        <v>....1</v>
      </c>
      <c r="J47" s="1269"/>
      <c r="K47" s="1269"/>
      <c r="L47" s="1272" t="s">
        <v>398</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1.95" customHeight="1">
      <c r="A48" s="1289" t="s">
        <v>177</v>
      </c>
      <c r="B48" s="1289" t="s">
        <v>178</v>
      </c>
      <c r="C48" s="1289" t="s">
        <v>179</v>
      </c>
      <c r="D48" s="1289" t="s">
        <v>180</v>
      </c>
      <c r="E48" s="2185"/>
      <c r="F48" s="2185"/>
      <c r="G48" s="2185"/>
      <c r="H48" s="2185"/>
      <c r="I48" s="2187"/>
      <c r="J48" s="2186" t="str">
        <f>S46&amp;".1"</f>
        <v>....1</v>
      </c>
      <c r="K48" s="1289"/>
      <c r="L48" s="1290" t="s">
        <v>401</v>
      </c>
      <c r="P48" s="2188"/>
      <c r="Q48" s="2188">
        <v>1</v>
      </c>
      <c r="R48" s="293"/>
      <c r="S48" s="1262" t="str">
        <f>$J48</f>
        <v>....1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177</v>
      </c>
      <c r="B49" s="1289" t="s">
        <v>178</v>
      </c>
      <c r="C49" s="1289" t="s">
        <v>179</v>
      </c>
      <c r="D49" s="1289" t="s">
        <v>180</v>
      </c>
      <c r="E49" s="2185"/>
      <c r="F49" s="2185"/>
      <c r="G49" s="2185"/>
      <c r="H49" s="2185"/>
      <c r="I49" s="2187"/>
      <c r="J49" s="2187"/>
      <c r="K49" s="2186" t="str">
        <f>J48&amp;".1"</f>
        <v>....1.1</v>
      </c>
      <c r="L49" s="1290" t="s">
        <v>404</v>
      </c>
      <c r="P49" s="2188"/>
      <c r="Q49" s="2188"/>
      <c r="R49" s="293">
        <v>1</v>
      </c>
      <c r="S49" s="1262" t="str">
        <f>$K49</f>
        <v>....1.1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446</v>
      </c>
      <c r="AN49" s="447" t="e">
        <f ca="1">STRCHECKDATE(V50:AL50)</f>
        <v>#NAME?</v>
      </c>
      <c r="AO49" s="436"/>
      <c r="AP49" s="436" t="str">
        <f t="shared" si="1"/>
        <v/>
      </c>
      <c r="AQ49" s="436"/>
      <c r="AR49" s="436"/>
      <c r="AS49" s="1081">
        <v>21</v>
      </c>
    </row>
    <row r="50" spans="1:45" ht="1.1499999999999999" customHeight="1">
      <c r="A50" s="1289" t="s">
        <v>177</v>
      </c>
      <c r="B50" s="1289" t="s">
        <v>178</v>
      </c>
      <c r="C50" s="1289" t="s">
        <v>179</v>
      </c>
      <c r="D50" s="1289" t="s">
        <v>180</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177</v>
      </c>
      <c r="B51" s="1289" t="s">
        <v>178</v>
      </c>
      <c r="C51" s="1289" t="s">
        <v>179</v>
      </c>
      <c r="D51" s="1289" t="s">
        <v>180</v>
      </c>
      <c r="E51" s="2185"/>
      <c r="F51" s="2185"/>
      <c r="G51" s="2185"/>
      <c r="H51" s="2185"/>
      <c r="I51" s="2187"/>
      <c r="J51" s="2186"/>
      <c r="K51" s="1289"/>
      <c r="L51" s="1290"/>
      <c r="P51" s="2188"/>
      <c r="Q51" s="2188"/>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177</v>
      </c>
      <c r="B52" s="1289" t="s">
        <v>178</v>
      </c>
      <c r="C52" s="1289" t="s">
        <v>179</v>
      </c>
      <c r="D52" s="1289" t="s">
        <v>180</v>
      </c>
      <c r="E52" s="2185"/>
      <c r="F52" s="2185"/>
      <c r="G52" s="2185"/>
      <c r="H52" s="2185"/>
      <c r="I52" s="2186"/>
      <c r="J52" s="1289"/>
      <c r="K52" s="1289"/>
      <c r="L52" s="1290"/>
      <c r="P52" s="2188"/>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177</v>
      </c>
      <c r="B53" s="1289" t="s">
        <v>178</v>
      </c>
      <c r="C53" s="1289" t="s">
        <v>179</v>
      </c>
      <c r="D53" s="1289" t="s">
        <v>180</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177</v>
      </c>
      <c r="B54" s="1269" t="s">
        <v>178</v>
      </c>
      <c r="C54" s="1269" t="s">
        <v>179</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177</v>
      </c>
      <c r="B55" s="1269" t="s">
        <v>178</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177</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22</v>
      </c>
    </row>
    <row r="60" spans="1:45" ht="30.4"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29</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40</v>
      </c>
    </row>
    <row r="62" spans="1:45" ht="14.65" customHeight="1">
      <c r="O62" s="473"/>
      <c r="AS62" s="1081">
        <v>14</v>
      </c>
    </row>
    <row r="63" spans="1:45" ht="21"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35.6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34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14.25" hidden="1" customHeight="1">
      <c r="A6" s="1289"/>
      <c r="B6" s="1289"/>
      <c r="C6" s="1289"/>
      <c r="D6" s="1289"/>
      <c r="E6" s="2185"/>
      <c r="F6" s="2185"/>
      <c r="G6" s="2185"/>
      <c r="H6" s="2185"/>
      <c r="I6" s="2186" t="e">
        <f>S5&amp;".1"</f>
        <v>#N/A</v>
      </c>
      <c r="J6" s="1289"/>
      <c r="K6" s="1289"/>
      <c r="L6" s="1290" t="s">
        <v>398</v>
      </c>
      <c r="M6" s="473"/>
      <c r="P6" s="2188">
        <v>1</v>
      </c>
      <c r="Q6" s="1257"/>
      <c r="R6" s="292"/>
      <c r="S6" s="971"/>
      <c r="T6" s="1309"/>
      <c r="U6" s="1310"/>
      <c r="V6" s="2215"/>
      <c r="W6" s="2216"/>
      <c r="X6" s="2216"/>
      <c r="Y6" s="2216"/>
      <c r="Z6" s="2216"/>
      <c r="AA6" s="2216"/>
      <c r="AB6" s="2216"/>
      <c r="AC6" s="2217"/>
      <c r="AD6" s="2215"/>
      <c r="AE6" s="2216"/>
      <c r="AF6" s="2216"/>
      <c r="AG6" s="2216"/>
      <c r="AH6" s="2216"/>
      <c r="AI6" s="2216"/>
      <c r="AJ6" s="2216"/>
      <c r="AK6" s="2216"/>
      <c r="AL6" s="2217"/>
      <c r="AM6" s="1311"/>
      <c r="AO6" s="436"/>
      <c r="AP6" s="436" t="str">
        <f t="shared" si="0"/>
        <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14.2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5"/>
      <c r="F11" s="2185"/>
      <c r="G11" s="2185"/>
      <c r="H11" s="2185"/>
      <c r="I11" s="2186"/>
      <c r="J11" s="1289"/>
      <c r="K11" s="1289"/>
      <c r="L11" s="1290"/>
      <c r="M11" s="473"/>
      <c r="P11" s="2188"/>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9"/>
      <c r="AS26" s="1081">
        <v>51</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c r="X40" s="2038" t="s">
        <v>430</v>
      </c>
      <c r="Y40" s="2037"/>
      <c r="Z40" s="2038" t="s">
        <v>431</v>
      </c>
      <c r="AA40" s="2043"/>
      <c r="AB40" s="2037"/>
      <c r="AC40" s="2202"/>
      <c r="AD40" s="2115" t="s">
        <v>445</v>
      </c>
      <c r="AE40" s="2193"/>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183</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183</v>
      </c>
      <c r="B44" s="1289" t="s">
        <v>184</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183</v>
      </c>
      <c r="B45" s="1289" t="s">
        <v>184</v>
      </c>
      <c r="C45" s="1289" t="s">
        <v>185</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183</v>
      </c>
      <c r="B46" s="1289" t="s">
        <v>184</v>
      </c>
      <c r="C46" s="1289" t="s">
        <v>185</v>
      </c>
      <c r="D46" s="1289" t="s">
        <v>186</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s="1568" customFormat="1" ht="0" hidden="1" customHeight="1">
      <c r="A47" s="1269" t="s">
        <v>183</v>
      </c>
      <c r="B47" s="1269" t="s">
        <v>184</v>
      </c>
      <c r="C47" s="1269" t="s">
        <v>185</v>
      </c>
      <c r="D47" s="1269" t="s">
        <v>186</v>
      </c>
      <c r="E47" s="2185"/>
      <c r="F47" s="2185"/>
      <c r="G47" s="2185"/>
      <c r="H47" s="2185"/>
      <c r="I47" s="2186" t="str">
        <f>S46&amp;".1"</f>
        <v>....1</v>
      </c>
      <c r="J47" s="1269"/>
      <c r="K47" s="1269"/>
      <c r="L47" s="1272" t="s">
        <v>398</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1.95" customHeight="1">
      <c r="A48" s="1289" t="s">
        <v>183</v>
      </c>
      <c r="B48" s="1289" t="s">
        <v>184</v>
      </c>
      <c r="C48" s="1289" t="s">
        <v>185</v>
      </c>
      <c r="D48" s="1289" t="s">
        <v>186</v>
      </c>
      <c r="E48" s="2185"/>
      <c r="F48" s="2185"/>
      <c r="G48" s="2185"/>
      <c r="H48" s="2185"/>
      <c r="I48" s="2187"/>
      <c r="J48" s="2186" t="str">
        <f>S46&amp;".1"</f>
        <v>....1</v>
      </c>
      <c r="K48" s="1289"/>
      <c r="L48" s="1290" t="s">
        <v>401</v>
      </c>
      <c r="P48" s="2188"/>
      <c r="Q48" s="2188">
        <v>1</v>
      </c>
      <c r="R48" s="293"/>
      <c r="S48" s="1262" t="str">
        <f>$J48</f>
        <v>....1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183</v>
      </c>
      <c r="B49" s="1289" t="s">
        <v>184</v>
      </c>
      <c r="C49" s="1289" t="s">
        <v>185</v>
      </c>
      <c r="D49" s="1289" t="s">
        <v>186</v>
      </c>
      <c r="E49" s="2185"/>
      <c r="F49" s="2185"/>
      <c r="G49" s="2185"/>
      <c r="H49" s="2185"/>
      <c r="I49" s="2187"/>
      <c r="J49" s="2187"/>
      <c r="K49" s="2186" t="str">
        <f>J48&amp;".1"</f>
        <v>....1.1</v>
      </c>
      <c r="L49" s="1290" t="s">
        <v>404</v>
      </c>
      <c r="P49" s="2188"/>
      <c r="Q49" s="2188"/>
      <c r="R49" s="293">
        <v>1</v>
      </c>
      <c r="S49" s="1262" t="str">
        <f>$K49</f>
        <v>....1.1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446</v>
      </c>
      <c r="AN49" s="447" t="e">
        <f ca="1">STRCHECKDATE(V50:AL50)</f>
        <v>#NAME?</v>
      </c>
      <c r="AO49" s="436"/>
      <c r="AP49" s="436" t="str">
        <f t="shared" si="1"/>
        <v/>
      </c>
      <c r="AQ49" s="436"/>
      <c r="AR49" s="436"/>
      <c r="AS49" s="1081">
        <v>21</v>
      </c>
    </row>
    <row r="50" spans="1:45" ht="0" hidden="1" customHeight="1">
      <c r="A50" s="1289" t="s">
        <v>183</v>
      </c>
      <c r="B50" s="1289" t="s">
        <v>184</v>
      </c>
      <c r="C50" s="1289" t="s">
        <v>185</v>
      </c>
      <c r="D50" s="1289" t="s">
        <v>186</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0</v>
      </c>
    </row>
    <row r="51" spans="1:45" ht="11.45" customHeight="1">
      <c r="A51" s="1289" t="s">
        <v>183</v>
      </c>
      <c r="B51" s="1289" t="s">
        <v>184</v>
      </c>
      <c r="C51" s="1289" t="s">
        <v>185</v>
      </c>
      <c r="D51" s="1289" t="s">
        <v>186</v>
      </c>
      <c r="E51" s="2185"/>
      <c r="F51" s="2185"/>
      <c r="G51" s="2185"/>
      <c r="H51" s="2185"/>
      <c r="I51" s="2187"/>
      <c r="J51" s="2186"/>
      <c r="K51" s="1289"/>
      <c r="L51" s="1290"/>
      <c r="P51" s="2188"/>
      <c r="Q51" s="2188"/>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183</v>
      </c>
      <c r="B52" s="1289" t="s">
        <v>184</v>
      </c>
      <c r="C52" s="1289" t="s">
        <v>185</v>
      </c>
      <c r="D52" s="1289" t="s">
        <v>186</v>
      </c>
      <c r="E52" s="2185"/>
      <c r="F52" s="2185"/>
      <c r="G52" s="2185"/>
      <c r="H52" s="2185"/>
      <c r="I52" s="2186"/>
      <c r="J52" s="1289"/>
      <c r="K52" s="1289"/>
      <c r="L52" s="1290"/>
      <c r="P52" s="2188"/>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183</v>
      </c>
      <c r="B53" s="1289" t="s">
        <v>184</v>
      </c>
      <c r="C53" s="1289" t="s">
        <v>185</v>
      </c>
      <c r="D53" s="1289" t="s">
        <v>186</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183</v>
      </c>
      <c r="B54" s="1269" t="s">
        <v>184</v>
      </c>
      <c r="C54" s="1269" t="s">
        <v>185</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183</v>
      </c>
      <c r="B55" s="1269" t="s">
        <v>184</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183</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14</v>
      </c>
    </row>
    <row r="60" spans="1:45" ht="14.6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14</v>
      </c>
    </row>
    <row r="61" spans="1:45" ht="14.65"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14</v>
      </c>
    </row>
    <row r="62" spans="1:45" ht="14.65" customHeight="1">
      <c r="O62" s="473"/>
      <c r="AS62" s="1081">
        <v>14</v>
      </c>
    </row>
    <row r="63" spans="1:45" ht="14.65"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14</v>
      </c>
    </row>
    <row r="64" spans="1:45" ht="14.6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14</v>
      </c>
    </row>
    <row r="65" spans="1:45" ht="14.6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14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9" hidden="1" customWidth="1"/>
    <col min="14" max="15" width="12.28515625" style="2001" hidden="1" customWidth="1"/>
    <col min="16" max="16" width="23.42578125" style="2001" hidden="1" customWidth="1"/>
    <col min="17" max="17" width="3.7109375" style="2001" hidden="1" customWidth="1"/>
    <col min="18" max="20" width="3" style="281" customWidth="1"/>
    <col min="21" max="21" width="12" style="2002"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10">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120</v>
      </c>
      <c r="W2" s="237"/>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4" t="s">
        <v>391</v>
      </c>
      <c r="AS2" s="436"/>
      <c r="AT2" s="436" t="str">
        <f t="shared" ref="AT2:AT8" si="0">IF(V2="","",V2)</f>
        <v>Наименование тарифа</v>
      </c>
      <c r="AU2" s="436"/>
      <c r="AV2" s="436"/>
      <c r="AW2" s="1081">
        <v>0</v>
      </c>
    </row>
    <row r="3" spans="1:49" ht="21" hidden="1" customHeight="1">
      <c r="A3" s="1193"/>
      <c r="B3" s="1193"/>
      <c r="C3" s="1193"/>
      <c r="D3" s="1193"/>
      <c r="E3" s="2211"/>
      <c r="F3" s="2210">
        <v>1</v>
      </c>
      <c r="G3" s="1193"/>
      <c r="H3" s="1193"/>
      <c r="I3" s="1193"/>
      <c r="J3" s="1193"/>
      <c r="K3" s="1193"/>
      <c r="L3" s="1193"/>
      <c r="M3" s="1236"/>
      <c r="N3" s="624"/>
      <c r="O3" s="624"/>
      <c r="P3" s="624"/>
      <c r="Q3" s="1258"/>
      <c r="R3" s="288"/>
      <c r="S3" s="445"/>
      <c r="T3" s="289"/>
      <c r="U3" s="1262" t="e">
        <f>INDEX(PT_DIFFERENTIATION_NUM_TER,MATCH(B3,PT_DIFFERENTIATION_TER_ID,0))</f>
        <v>#N/A</v>
      </c>
      <c r="V3" s="245" t="s">
        <v>392</v>
      </c>
      <c r="W3" s="237"/>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4" t="s">
        <v>393</v>
      </c>
      <c r="AS3" s="436"/>
      <c r="AT3" s="436" t="str">
        <f t="shared" si="0"/>
        <v>Территория действия тарифа</v>
      </c>
      <c r="AU3" s="436"/>
      <c r="AV3" s="436"/>
      <c r="AW3" s="1081">
        <v>0</v>
      </c>
    </row>
    <row r="4" spans="1:49" ht="22.5" hidden="1" customHeight="1">
      <c r="A4" s="1193"/>
      <c r="B4" s="1193"/>
      <c r="C4" s="1193"/>
      <c r="D4" s="1193"/>
      <c r="E4" s="2211"/>
      <c r="F4" s="2211"/>
      <c r="G4" s="2210">
        <v>1</v>
      </c>
      <c r="H4" s="1193"/>
      <c r="I4" s="1193"/>
      <c r="J4" s="1193"/>
      <c r="K4" s="1193"/>
      <c r="L4" s="1193"/>
      <c r="M4" s="1236"/>
      <c r="N4" s="624"/>
      <c r="O4" s="624"/>
      <c r="P4" s="624"/>
      <c r="Q4" s="290"/>
      <c r="R4" s="288"/>
      <c r="S4" s="445"/>
      <c r="T4" s="289"/>
      <c r="U4" s="1262" t="e">
        <f>INDEX(PT_DIFFERENTIATION_NUM_CS,MATCH(C4,PT_DIFFERENTIATION_CS_ID,0))</f>
        <v>#N/A</v>
      </c>
      <c r="V4" s="246" t="s">
        <v>394</v>
      </c>
      <c r="W4" s="237"/>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4" t="s">
        <v>395</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1"/>
      <c r="F5" s="2211"/>
      <c r="G5" s="2211"/>
      <c r="H5" s="2210">
        <v>1</v>
      </c>
      <c r="I5" s="1193"/>
      <c r="J5" s="1193"/>
      <c r="K5" s="1193"/>
      <c r="L5" s="1193"/>
      <c r="M5" s="1236"/>
      <c r="N5" s="624"/>
      <c r="O5" s="624"/>
      <c r="P5" s="624"/>
      <c r="Q5" s="290"/>
      <c r="R5" s="288"/>
      <c r="S5" s="445"/>
      <c r="T5" s="289"/>
      <c r="U5" s="1262" t="e">
        <f>INDEX(PT_DIFFERENTIATION_NUM_IST_TE,MATCH(D5,PT_DIFFERENTIATION_IST_TE_ID,0))</f>
        <v>#N/A</v>
      </c>
      <c r="V5" s="247" t="s">
        <v>396</v>
      </c>
      <c r="W5" s="237"/>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4" t="s">
        <v>397</v>
      </c>
      <c r="AS5" s="436"/>
      <c r="AT5" s="436" t="str">
        <f t="shared" si="0"/>
        <v xml:space="preserve">Источник тепловой энергии  </v>
      </c>
      <c r="AU5" s="436"/>
      <c r="AV5" s="436"/>
      <c r="AW5" s="1081">
        <v>0</v>
      </c>
    </row>
    <row r="6" spans="1:49" ht="14.25" hidden="1" customHeight="1">
      <c r="A6" s="1193"/>
      <c r="B6" s="1193"/>
      <c r="C6" s="1193"/>
      <c r="D6" s="1193"/>
      <c r="E6" s="2211"/>
      <c r="F6" s="2211"/>
      <c r="G6" s="2211"/>
      <c r="H6" s="2211"/>
      <c r="I6" s="2056" t="e">
        <f>U5&amp;".1"</f>
        <v>#N/A</v>
      </c>
      <c r="J6" s="1193"/>
      <c r="K6" s="1193"/>
      <c r="L6" s="1193"/>
      <c r="M6" s="1236" t="s">
        <v>398</v>
      </c>
      <c r="N6" s="445"/>
      <c r="Q6" s="2188">
        <v>1</v>
      </c>
      <c r="R6" s="1257"/>
      <c r="S6" s="1257"/>
      <c r="T6" s="292"/>
      <c r="U6" s="971"/>
      <c r="V6" s="1309"/>
      <c r="W6" s="1310"/>
      <c r="X6" s="2215"/>
      <c r="Y6" s="2216"/>
      <c r="Z6" s="2216"/>
      <c r="AA6" s="2216"/>
      <c r="AB6" s="2216"/>
      <c r="AC6" s="2216"/>
      <c r="AD6" s="2216"/>
      <c r="AE6" s="2216"/>
      <c r="AF6" s="2217"/>
      <c r="AG6" s="2215"/>
      <c r="AH6" s="2216"/>
      <c r="AI6" s="2216"/>
      <c r="AJ6" s="2216"/>
      <c r="AK6" s="2216"/>
      <c r="AL6" s="2216"/>
      <c r="AM6" s="2216"/>
      <c r="AN6" s="2216"/>
      <c r="AO6" s="2216"/>
      <c r="AP6" s="2217"/>
      <c r="AQ6" s="1311"/>
      <c r="AS6" s="436"/>
      <c r="AT6" s="436" t="str">
        <f t="shared" si="0"/>
        <v/>
      </c>
      <c r="AU6" s="436"/>
      <c r="AV6" s="436"/>
      <c r="AW6" s="1081">
        <v>0</v>
      </c>
    </row>
    <row r="7" spans="1:49" ht="21" hidden="1" customHeight="1">
      <c r="A7" s="1193"/>
      <c r="B7" s="1193"/>
      <c r="C7" s="1193"/>
      <c r="D7" s="1193"/>
      <c r="E7" s="2211"/>
      <c r="F7" s="2211"/>
      <c r="G7" s="2211"/>
      <c r="H7" s="2211"/>
      <c r="I7" s="2038"/>
      <c r="J7" s="2056" t="e">
        <f>I6&amp;".1"</f>
        <v>#N/A</v>
      </c>
      <c r="K7" s="1193"/>
      <c r="L7" s="1193"/>
      <c r="M7" s="1236" t="s">
        <v>401</v>
      </c>
      <c r="N7" s="445"/>
      <c r="O7" s="264"/>
      <c r="Q7" s="2188"/>
      <c r="R7" s="2188">
        <v>1</v>
      </c>
      <c r="S7" s="454"/>
      <c r="T7" s="293"/>
      <c r="U7" s="1262" t="e">
        <f>$J7</f>
        <v>#N/A</v>
      </c>
      <c r="V7" s="223" t="s">
        <v>402</v>
      </c>
      <c r="W7" s="237"/>
      <c r="X7" s="2172"/>
      <c r="Y7" s="2173"/>
      <c r="Z7" s="2173"/>
      <c r="AA7" s="2173"/>
      <c r="AB7" s="2173"/>
      <c r="AC7" s="2168"/>
      <c r="AD7" s="2168"/>
      <c r="AE7" s="2168"/>
      <c r="AF7" s="2228"/>
      <c r="AG7" s="2172"/>
      <c r="AH7" s="2173"/>
      <c r="AI7" s="2173"/>
      <c r="AJ7" s="2173"/>
      <c r="AK7" s="2173"/>
      <c r="AL7" s="2173"/>
      <c r="AM7" s="2173"/>
      <c r="AN7" s="2173"/>
      <c r="AO7" s="2173"/>
      <c r="AP7" s="2174"/>
      <c r="AQ7" s="1184" t="s">
        <v>403</v>
      </c>
      <c r="AS7" s="436"/>
      <c r="AT7" s="436" t="str">
        <f t="shared" si="0"/>
        <v>Группа потребителей</v>
      </c>
      <c r="AU7" s="436"/>
      <c r="AV7" s="436"/>
      <c r="AW7" s="1081">
        <v>0</v>
      </c>
    </row>
    <row r="8" spans="1:49" ht="21" hidden="1" customHeight="1">
      <c r="A8" s="1193"/>
      <c r="B8" s="1193"/>
      <c r="C8" s="1193"/>
      <c r="D8" s="1193"/>
      <c r="E8" s="2211"/>
      <c r="F8" s="2211"/>
      <c r="G8" s="2211"/>
      <c r="H8" s="2211"/>
      <c r="I8" s="2038"/>
      <c r="J8" s="2038"/>
      <c r="K8" s="2056" t="e">
        <f>J7&amp;".1"</f>
        <v>#N/A</v>
      </c>
      <c r="L8" s="77"/>
      <c r="M8" s="1236" t="s">
        <v>404</v>
      </c>
      <c r="N8" s="445"/>
      <c r="O8" s="264"/>
      <c r="P8" s="264"/>
      <c r="Q8" s="2188"/>
      <c r="R8" s="2188"/>
      <c r="S8" s="2188">
        <v>1</v>
      </c>
      <c r="T8" s="293"/>
      <c r="U8" s="1262" t="e">
        <f>$K8</f>
        <v>#N/A</v>
      </c>
      <c r="V8" s="1273"/>
      <c r="W8" s="237"/>
      <c r="X8" s="687"/>
      <c r="Y8" s="687"/>
      <c r="Z8" s="687"/>
      <c r="AA8" s="687"/>
      <c r="AB8" s="1331"/>
      <c r="AC8" s="2189"/>
      <c r="AD8" s="2066" t="s">
        <v>66</v>
      </c>
      <c r="AE8" s="2189"/>
      <c r="AF8" s="2066" t="s">
        <v>66</v>
      </c>
      <c r="AG8" s="1333"/>
      <c r="AH8" s="687"/>
      <c r="AI8" s="687"/>
      <c r="AJ8" s="687"/>
      <c r="AK8" s="1183"/>
      <c r="AL8" s="2189"/>
      <c r="AM8" s="2066" t="s">
        <v>66</v>
      </c>
      <c r="AN8" s="2189"/>
      <c r="AO8" s="2066" t="s">
        <v>66</v>
      </c>
      <c r="AP8" s="262"/>
      <c r="AQ8" s="1233" t="s">
        <v>447</v>
      </c>
      <c r="AR8" s="447" t="e">
        <f ca="1">STRCHECKDATE(X10:AP10)</f>
        <v>#NAME?</v>
      </c>
      <c r="AS8" s="436"/>
      <c r="AT8" s="436" t="str">
        <f t="shared" si="0"/>
        <v/>
      </c>
      <c r="AU8" s="436"/>
      <c r="AV8" s="436"/>
      <c r="AW8" s="1081">
        <v>0</v>
      </c>
    </row>
    <row r="9" spans="1:49" ht="21" hidden="1" customHeight="1">
      <c r="A9" s="1193"/>
      <c r="B9" s="1193"/>
      <c r="C9" s="1193"/>
      <c r="D9" s="1193"/>
      <c r="E9" s="2211"/>
      <c r="F9" s="2211"/>
      <c r="G9" s="2211"/>
      <c r="H9" s="2211"/>
      <c r="I9" s="2038"/>
      <c r="J9" s="2038"/>
      <c r="K9" s="2038"/>
      <c r="L9" s="2056" t="e">
        <f>K8&amp;".1"</f>
        <v>#N/A</v>
      </c>
      <c r="M9" s="1236"/>
      <c r="N9" s="445"/>
      <c r="O9" s="264"/>
      <c r="P9" s="264"/>
      <c r="Q9" s="2188"/>
      <c r="R9" s="2188"/>
      <c r="S9" s="2188"/>
      <c r="T9" s="293"/>
      <c r="U9" s="1262" t="e">
        <f>$L9</f>
        <v>#N/A</v>
      </c>
      <c r="V9" s="1317"/>
      <c r="W9" s="237"/>
      <c r="X9" s="262"/>
      <c r="Y9" s="687"/>
      <c r="Z9" s="687"/>
      <c r="AA9" s="687"/>
      <c r="AB9" s="1331"/>
      <c r="AC9" s="2190"/>
      <c r="AD9" s="2066"/>
      <c r="AE9" s="2190"/>
      <c r="AF9" s="2066"/>
      <c r="AG9" s="1333"/>
      <c r="AH9" s="687"/>
      <c r="AI9" s="687"/>
      <c r="AJ9" s="687"/>
      <c r="AK9" s="1183"/>
      <c r="AL9" s="2190"/>
      <c r="AM9" s="2066"/>
      <c r="AN9" s="2190"/>
      <c r="AO9" s="2066"/>
      <c r="AP9" s="262"/>
      <c r="AQ9" s="2207" t="s">
        <v>448</v>
      </c>
      <c r="AS9" s="436"/>
      <c r="AT9" s="436"/>
      <c r="AU9" s="436"/>
      <c r="AV9" s="436"/>
      <c r="AW9" s="1081">
        <v>0</v>
      </c>
    </row>
    <row r="10" spans="1:49" ht="14.25" hidden="1" customHeight="1">
      <c r="A10" s="1193"/>
      <c r="B10" s="1193"/>
      <c r="C10" s="1193"/>
      <c r="D10" s="1193"/>
      <c r="E10" s="2211"/>
      <c r="F10" s="2211"/>
      <c r="G10" s="2211"/>
      <c r="H10" s="2211"/>
      <c r="I10" s="2038"/>
      <c r="J10" s="2038"/>
      <c r="K10" s="2038"/>
      <c r="L10" s="2056"/>
      <c r="M10" s="1236"/>
      <c r="N10" s="445"/>
      <c r="O10" s="264"/>
      <c r="P10" s="264"/>
      <c r="Q10" s="2188"/>
      <c r="R10" s="2188"/>
      <c r="S10" s="2188"/>
      <c r="T10" s="293"/>
      <c r="U10" s="1268"/>
      <c r="V10" s="237"/>
      <c r="W10" s="237"/>
      <c r="X10" s="262"/>
      <c r="Y10" s="262"/>
      <c r="Z10" s="262"/>
      <c r="AA10" s="262"/>
      <c r="AB10" s="1332" t="str">
        <f>AC8&amp;"-"&amp;AE8</f>
        <v>-</v>
      </c>
      <c r="AC10" s="2190"/>
      <c r="AD10" s="2066"/>
      <c r="AE10" s="2190"/>
      <c r="AF10" s="2066"/>
      <c r="AG10" s="1308"/>
      <c r="AH10" s="262"/>
      <c r="AI10" s="262"/>
      <c r="AJ10" s="262"/>
      <c r="AK10" s="265" t="str">
        <f>AL8&amp;"-"&amp;AN8</f>
        <v>-</v>
      </c>
      <c r="AL10" s="2190"/>
      <c r="AM10" s="2066"/>
      <c r="AN10" s="2190"/>
      <c r="AO10" s="2066"/>
      <c r="AP10" s="262"/>
      <c r="AQ10" s="2208"/>
      <c r="AS10" s="436"/>
      <c r="AT10" s="436" t="str">
        <f>IF(V10="","",V10)</f>
        <v/>
      </c>
      <c r="AU10" s="436"/>
      <c r="AV10" s="436"/>
      <c r="AW10" s="1081">
        <v>0</v>
      </c>
    </row>
    <row r="11" spans="1:49" ht="11.25" hidden="1" customHeight="1">
      <c r="A11" s="1193"/>
      <c r="B11" s="1193"/>
      <c r="C11" s="1193"/>
      <c r="D11" s="1193"/>
      <c r="E11" s="2211"/>
      <c r="F11" s="2211"/>
      <c r="G11" s="2211"/>
      <c r="H11" s="2211"/>
      <c r="I11" s="2038"/>
      <c r="J11" s="2038"/>
      <c r="K11" s="2056"/>
      <c r="L11" s="1193"/>
      <c r="M11" s="1236"/>
      <c r="N11" s="445"/>
      <c r="O11" s="264"/>
      <c r="P11" s="264"/>
      <c r="Q11" s="2188"/>
      <c r="R11" s="2188"/>
      <c r="S11" s="2188"/>
      <c r="T11" s="293"/>
      <c r="U11" s="1204"/>
      <c r="V11" s="225" t="s">
        <v>449</v>
      </c>
      <c r="W11" s="1318"/>
      <c r="X11" s="1319"/>
      <c r="Y11" s="1319"/>
      <c r="Z11" s="1319"/>
      <c r="AA11" s="1319"/>
      <c r="AB11" s="1320"/>
      <c r="AC11" s="2190"/>
      <c r="AD11" s="2066"/>
      <c r="AE11" s="2190"/>
      <c r="AF11" s="2066"/>
      <c r="AG11" s="1319"/>
      <c r="AH11" s="1319"/>
      <c r="AI11" s="1319"/>
      <c r="AJ11" s="1319"/>
      <c r="AK11" s="1320"/>
      <c r="AL11" s="2190"/>
      <c r="AM11" s="2066"/>
      <c r="AN11" s="2190"/>
      <c r="AO11" s="2066"/>
      <c r="AP11" s="1321"/>
      <c r="AQ11" s="2208"/>
      <c r="AS11" s="436"/>
      <c r="AT11" s="436"/>
      <c r="AU11" s="436"/>
      <c r="AV11" s="436"/>
      <c r="AW11" s="1081">
        <v>0</v>
      </c>
    </row>
    <row r="12" spans="1:49" ht="15" hidden="1" customHeight="1">
      <c r="A12" s="1193"/>
      <c r="B12" s="1193"/>
      <c r="C12" s="1193"/>
      <c r="D12" s="1193"/>
      <c r="E12" s="2211"/>
      <c r="F12" s="2211"/>
      <c r="G12" s="2211"/>
      <c r="H12" s="2211"/>
      <c r="I12" s="2038"/>
      <c r="J12" s="2056"/>
      <c r="K12" s="1193"/>
      <c r="L12" s="1193"/>
      <c r="M12" s="1236"/>
      <c r="N12" s="445"/>
      <c r="O12" s="264"/>
      <c r="Q12" s="2188"/>
      <c r="R12" s="2188"/>
      <c r="S12" s="1257"/>
      <c r="T12" s="292"/>
      <c r="U12" s="1204"/>
      <c r="V12" s="224" t="s">
        <v>406</v>
      </c>
      <c r="W12" s="303"/>
      <c r="X12" s="303"/>
      <c r="Y12" s="303"/>
      <c r="Z12" s="303"/>
      <c r="AA12" s="303"/>
      <c r="AB12" s="303"/>
      <c r="AC12" s="1334"/>
      <c r="AD12" s="1334"/>
      <c r="AE12" s="1334"/>
      <c r="AF12" s="1334"/>
      <c r="AG12" s="303"/>
      <c r="AH12" s="303"/>
      <c r="AI12" s="303"/>
      <c r="AJ12" s="303"/>
      <c r="AK12" s="303"/>
      <c r="AL12" s="303"/>
      <c r="AM12" s="303"/>
      <c r="AN12" s="303"/>
      <c r="AO12" s="303"/>
      <c r="AP12" s="261"/>
      <c r="AQ12" s="2209"/>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1"/>
      <c r="F13" s="2211"/>
      <c r="G13" s="2211"/>
      <c r="H13" s="2211"/>
      <c r="I13" s="2056"/>
      <c r="J13" s="1193"/>
      <c r="K13" s="1193"/>
      <c r="L13" s="1193"/>
      <c r="M13" s="1236"/>
      <c r="N13" s="445"/>
      <c r="Q13" s="2188"/>
      <c r="R13" s="1257"/>
      <c r="S13" s="1257"/>
      <c r="T13" s="292"/>
      <c r="U13" s="1204"/>
      <c r="V13" s="301" t="s">
        <v>407</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1"/>
      <c r="F14" s="2211"/>
      <c r="G14" s="2211"/>
      <c r="H14" s="2210"/>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1"/>
      <c r="F15" s="2211"/>
      <c r="G15" s="2210"/>
      <c r="H15" s="1300"/>
      <c r="I15" s="1300"/>
      <c r="J15" s="1300"/>
      <c r="K15" s="1300"/>
      <c r="L15" s="1300"/>
      <c r="M15" s="1303"/>
      <c r="N15" s="1304"/>
      <c r="O15" s="1304"/>
      <c r="P15" s="287"/>
      <c r="Q15" s="1242"/>
      <c r="R15" s="1243"/>
      <c r="S15" s="1242"/>
      <c r="T15" s="1242"/>
      <c r="U15" s="1244"/>
      <c r="V15" s="1245" t="s">
        <v>409</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1"/>
      <c r="F16" s="2210"/>
      <c r="G16" s="1300"/>
      <c r="H16" s="1300"/>
      <c r="I16" s="1300"/>
      <c r="J16" s="1300"/>
      <c r="K16" s="1300"/>
      <c r="L16" s="1300"/>
      <c r="M16" s="1303"/>
      <c r="N16" s="1305"/>
      <c r="O16" s="1305"/>
      <c r="P16" s="287"/>
      <c r="Q16" s="1242"/>
      <c r="R16" s="1243"/>
      <c r="S16" s="1242"/>
      <c r="T16" s="1242"/>
      <c r="U16" s="1248"/>
      <c r="V16" s="1249" t="s">
        <v>410</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0"/>
      <c r="F17" s="1300"/>
      <c r="G17" s="1300"/>
      <c r="H17" s="1300"/>
      <c r="I17" s="1300"/>
      <c r="J17" s="1300"/>
      <c r="K17" s="1300"/>
      <c r="L17" s="1300"/>
      <c r="M17" s="1303"/>
      <c r="N17" s="1305"/>
      <c r="O17" s="1305"/>
      <c r="P17" s="287"/>
      <c r="Q17" s="1242"/>
      <c r="R17" s="1243"/>
      <c r="S17" s="1242"/>
      <c r="T17" s="1242"/>
      <c r="U17" s="1248"/>
      <c r="V17" s="1251" t="s">
        <v>411</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2"/>
      <c r="AM19" s="2181" t="s">
        <v>66</v>
      </c>
      <c r="AN19" s="2182"/>
      <c r="AO19" s="2181" t="s">
        <v>66</v>
      </c>
      <c r="AW19" s="1081">
        <v>0</v>
      </c>
    </row>
    <row r="20" spans="1:49" ht="14.25" hidden="1" customHeight="1">
      <c r="AG20" s="1286"/>
      <c r="AH20" s="1286"/>
      <c r="AI20" s="1286"/>
      <c r="AJ20" s="1286"/>
      <c r="AK20" s="1287"/>
      <c r="AL20" s="2182"/>
      <c r="AM20" s="2181"/>
      <c r="AN20" s="2182"/>
      <c r="AO20" s="2181"/>
      <c r="AW20" s="1081">
        <v>0</v>
      </c>
    </row>
    <row r="21" spans="1:49" ht="14.25" hidden="1" customHeight="1">
      <c r="AG21" s="1286"/>
      <c r="AH21" s="1286"/>
      <c r="AI21" s="1286"/>
      <c r="AJ21" s="1286"/>
      <c r="AK21" s="1287"/>
      <c r="AL21" s="2182"/>
      <c r="AM21" s="2181"/>
      <c r="AN21" s="2182"/>
      <c r="AO21" s="2181"/>
      <c r="AW21" s="1081">
        <v>0</v>
      </c>
    </row>
    <row r="22" spans="1:49" ht="14.25" hidden="1" customHeight="1">
      <c r="AG22" s="1286"/>
      <c r="AH22" s="1286"/>
      <c r="AI22" s="1286"/>
      <c r="AJ22" s="1286"/>
      <c r="AK22" s="265" t="str">
        <f>AL19&amp;"-"&amp;AN19</f>
        <v>-</v>
      </c>
      <c r="AL22" s="2181"/>
      <c r="AM22" s="2181"/>
      <c r="AN22" s="2181"/>
      <c r="AO22" s="2181"/>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412</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413</v>
      </c>
      <c r="Q26" s="1288"/>
      <c r="R26" s="1297"/>
      <c r="S26" s="1297"/>
      <c r="T26" s="1297"/>
      <c r="U26" s="665"/>
      <c r="V26" s="1086" t="s">
        <v>414</v>
      </c>
      <c r="AD26" s="123" t="s">
        <v>415</v>
      </c>
      <c r="AF26" s="123" t="s">
        <v>416</v>
      </c>
      <c r="AG26" s="1086" t="s">
        <v>414</v>
      </c>
      <c r="AM26" s="123" t="s">
        <v>417</v>
      </c>
      <c r="AO26" s="123" t="s">
        <v>416</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69"/>
      <c r="AW30" s="1081">
        <v>54</v>
      </c>
    </row>
    <row r="31" spans="1:49" ht="14.65" customHeight="1">
      <c r="R31" s="312"/>
      <c r="S31" s="312"/>
      <c r="T31" s="312"/>
      <c r="U31" s="2137" t="str">
        <f>IF(org=0,"Не определено",org)</f>
        <v>ОП АО "Байкалэнерго" - "Саяногорские тепловые сети"</v>
      </c>
      <c r="V31" s="2137"/>
      <c r="W31" s="2137"/>
      <c r="X31" s="2137"/>
      <c r="Y31" s="2137"/>
      <c r="Z31" s="2137"/>
      <c r="AA31" s="2137"/>
      <c r="AB31" s="2137"/>
      <c r="AC31" s="2137"/>
      <c r="AD31" s="2137"/>
      <c r="AE31" s="2137"/>
      <c r="AF31" s="2137"/>
      <c r="AG31" s="2137"/>
      <c r="AH31" s="2137"/>
      <c r="AI31" s="2137"/>
      <c r="AJ31" s="2137"/>
      <c r="AK31" s="2137"/>
      <c r="AL31" s="2137"/>
      <c r="AM31" s="2137"/>
      <c r="AN31" s="2137"/>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5" t="s">
        <v>42</v>
      </c>
      <c r="V33" s="2175"/>
      <c r="W33" s="1298"/>
      <c r="X33" s="2177" t="str">
        <f>IF(TITLE_NAME_OR_PR_CHANGE="",IF(TITLE_NAME_OR_PR="","",TITLE_NAME_OR_PR),TITLE_NAME_OR_PR_CHANGE)</f>
        <v/>
      </c>
      <c r="Y33" s="2177"/>
      <c r="Z33" s="2177"/>
      <c r="AA33" s="2177"/>
      <c r="AB33" s="2177"/>
      <c r="AC33" s="2177"/>
      <c r="AD33" s="2177"/>
      <c r="AE33" s="2177"/>
      <c r="AF33" s="263"/>
      <c r="AG33" s="2177" t="str">
        <f>IF(TITLE_NAME_OR_PR_CHANGE="",IF(TITLE_NAME_OR_PR="","",TITLE_NAME_OR_PR),TITLE_NAME_OR_PR_CHANGE)</f>
        <v/>
      </c>
      <c r="AH33" s="2177"/>
      <c r="AI33" s="2177"/>
      <c r="AJ33" s="2177"/>
      <c r="AK33" s="2177"/>
      <c r="AL33" s="2177"/>
      <c r="AM33" s="2177"/>
      <c r="AN33" s="2177"/>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5" t="s">
        <v>418</v>
      </c>
      <c r="V34" s="2175"/>
      <c r="W34" s="1298"/>
      <c r="X34" s="2176" t="str">
        <f>IF(TITLE_DATE_PR_CHANGE="",IF(TITLE_DATE_PR="","",TITLE_DATE_PR),TITLE_DATE_PR_CHANGE)</f>
        <v/>
      </c>
      <c r="Y34" s="2176"/>
      <c r="Z34" s="2176"/>
      <c r="AA34" s="2176"/>
      <c r="AB34" s="2176"/>
      <c r="AC34" s="2176"/>
      <c r="AD34" s="2176"/>
      <c r="AE34" s="2176"/>
      <c r="AF34" s="263"/>
      <c r="AG34" s="2176" t="str">
        <f>IF(TITLE_DATE_PR_CHANGE="",IF(TITLE_DATE_PR="","",TITLE_DATE_PR),TITLE_DATE_PR_CHANGE)</f>
        <v/>
      </c>
      <c r="AH34" s="2176"/>
      <c r="AI34" s="2176"/>
      <c r="AJ34" s="2176"/>
      <c r="AK34" s="2176"/>
      <c r="AL34" s="2176"/>
      <c r="AM34" s="2176"/>
      <c r="AN34" s="2176"/>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5" t="s">
        <v>419</v>
      </c>
      <c r="V35" s="2175"/>
      <c r="W35" s="1298"/>
      <c r="X35" s="2177" t="str">
        <f>IF(TITLE_NUMBER_PR_CHANGE="",IF(TITLE_NUMBER_PR="","",TITLE_NUMBER_PR),TITLE_NUMBER_PR_CHANGE)</f>
        <v/>
      </c>
      <c r="Y35" s="2177"/>
      <c r="Z35" s="2177"/>
      <c r="AA35" s="2177"/>
      <c r="AB35" s="2177"/>
      <c r="AC35" s="2177"/>
      <c r="AD35" s="2177"/>
      <c r="AE35" s="2177"/>
      <c r="AF35" s="263"/>
      <c r="AG35" s="2177" t="str">
        <f>IF(TITLE_NUMBER_PR_CHANGE="",IF(TITLE_NUMBER_PR="","",TITLE_NUMBER_PR),TITLE_NUMBER_PR_CHANGE)</f>
        <v/>
      </c>
      <c r="AH35" s="2177"/>
      <c r="AI35" s="2177"/>
      <c r="AJ35" s="2177"/>
      <c r="AK35" s="2177"/>
      <c r="AL35" s="2177"/>
      <c r="AM35" s="2177"/>
      <c r="AN35" s="2177"/>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5" t="s">
        <v>43</v>
      </c>
      <c r="V36" s="2175"/>
      <c r="W36" s="1298"/>
      <c r="X36" s="2177" t="str">
        <f>IF(TITLE_IST_PUB_CHANGE="",IF(TITLE_IST_PUB="","",TITLE_IST_PUB),TITLE_IST_PUB_CHANGE)</f>
        <v/>
      </c>
      <c r="Y36" s="2177"/>
      <c r="Z36" s="2177"/>
      <c r="AA36" s="2177"/>
      <c r="AB36" s="2177"/>
      <c r="AC36" s="2177"/>
      <c r="AD36" s="2177"/>
      <c r="AE36" s="2177"/>
      <c r="AF36" s="263"/>
      <c r="AG36" s="2177" t="str">
        <f>IF(TITLE_IST_PUB_CHANGE="",IF(TITLE_IST_PUB="","",TITLE_IST_PUB),TITLE_IST_PUB_CHANGE)</f>
        <v/>
      </c>
      <c r="AH36" s="2177"/>
      <c r="AI36" s="2177"/>
      <c r="AJ36" s="2177"/>
      <c r="AK36" s="2177"/>
      <c r="AL36" s="2177"/>
      <c r="AM36" s="2177"/>
      <c r="AN36" s="2177"/>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5" t="s">
        <v>420</v>
      </c>
      <c r="V38" s="2175"/>
      <c r="W38" s="1298"/>
      <c r="X38" s="2176" t="str">
        <f>IF(TITLE_DATE_PR_CHANGE="",IF(TITLE_DATE_PR="","",TITLE_DATE_PR),TITLE_DATE_PR_CHANGE)</f>
        <v/>
      </c>
      <c r="Y38" s="2176"/>
      <c r="Z38" s="2176"/>
      <c r="AA38" s="2176"/>
      <c r="AB38" s="2176"/>
      <c r="AC38" s="2176"/>
      <c r="AD38" s="2176"/>
      <c r="AE38" s="2176"/>
      <c r="AF38" s="263"/>
      <c r="AG38" s="2176" t="str">
        <f>IF(TITLE_DATE_PR_CHANGE="",IF(TITLE_DATE_PR="","",TITLE_DATE_PR),TITLE_DATE_PR_CHANGE)</f>
        <v/>
      </c>
      <c r="AH38" s="2176"/>
      <c r="AI38" s="2176"/>
      <c r="AJ38" s="2176"/>
      <c r="AK38" s="2176"/>
      <c r="AL38" s="2176"/>
      <c r="AM38" s="2176"/>
      <c r="AN38" s="2176"/>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5" t="s">
        <v>421</v>
      </c>
      <c r="V39" s="2175"/>
      <c r="W39" s="1298"/>
      <c r="X39" s="2177" t="str">
        <f>IF(TITLE_NUMBER_PR_CHANGE="",IF(TITLE_NUMBER_PR="","",TITLE_NUMBER_PR),TITLE_NUMBER_PR_CHANGE)</f>
        <v/>
      </c>
      <c r="Y39" s="2177"/>
      <c r="Z39" s="2177"/>
      <c r="AA39" s="2177"/>
      <c r="AB39" s="2177"/>
      <c r="AC39" s="2177"/>
      <c r="AD39" s="2177"/>
      <c r="AE39" s="2177"/>
      <c r="AF39" s="263"/>
      <c r="AG39" s="2177" t="str">
        <f>IF(TITLE_NUMBER_PR_CHANGE="",IF(TITLE_NUMBER_PR="","",TITLE_NUMBER_PR),TITLE_NUMBER_PR_CHANGE)</f>
        <v/>
      </c>
      <c r="AH39" s="2177"/>
      <c r="AI39" s="2177"/>
      <c r="AJ39" s="2177"/>
      <c r="AK39" s="2177"/>
      <c r="AL39" s="2177"/>
      <c r="AM39" s="2177"/>
      <c r="AN39" s="2177"/>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422</v>
      </c>
      <c r="AG40" s="263"/>
      <c r="AH40" s="263"/>
      <c r="AI40" s="263"/>
      <c r="AJ40" s="263"/>
      <c r="AK40" s="263"/>
      <c r="AL40" s="263"/>
      <c r="AM40" s="263"/>
      <c r="AN40" s="263"/>
      <c r="AO40" s="215" t="s">
        <v>422</v>
      </c>
      <c r="AR40" s="304"/>
      <c r="AS40" s="304"/>
      <c r="AT40" s="304"/>
      <c r="AU40" s="304"/>
      <c r="AV40" s="304"/>
      <c r="AW40" s="354">
        <v>0</v>
      </c>
    </row>
    <row r="41" spans="1:49" ht="14.65" customHeight="1">
      <c r="R41" s="312"/>
      <c r="S41" s="312"/>
      <c r="T41" s="312"/>
      <c r="U41" s="1201"/>
      <c r="V41" s="299"/>
      <c r="W41" s="1170"/>
      <c r="X41" s="2196"/>
      <c r="Y41" s="2196"/>
      <c r="Z41" s="2196"/>
      <c r="AA41" s="2196"/>
      <c r="AB41" s="2196"/>
      <c r="AC41" s="2196"/>
      <c r="AD41" s="2196"/>
      <c r="AE41" s="2196"/>
      <c r="AF41" s="2196"/>
      <c r="AG41" s="2196"/>
      <c r="AH41" s="2196"/>
      <c r="AI41" s="2196"/>
      <c r="AJ41" s="2196"/>
      <c r="AK41" s="2196"/>
      <c r="AL41" s="2196"/>
      <c r="AM41" s="2196"/>
      <c r="AN41" s="2196"/>
      <c r="AO41" s="2196"/>
      <c r="AW41" s="1081">
        <v>14</v>
      </c>
    </row>
    <row r="42" spans="1:49" ht="14.65" customHeight="1">
      <c r="R42" s="312"/>
      <c r="S42" s="312"/>
      <c r="T42" s="312"/>
      <c r="U42" s="2056" t="s">
        <v>295</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296</v>
      </c>
      <c r="AW42" s="1081">
        <v>14</v>
      </c>
    </row>
    <row r="43" spans="1:49" ht="14.65" customHeight="1">
      <c r="R43" s="312"/>
      <c r="S43" s="312"/>
      <c r="T43" s="312"/>
      <c r="U43" s="2197" t="s">
        <v>84</v>
      </c>
      <c r="V43" s="2145" t="s">
        <v>423</v>
      </c>
      <c r="W43" s="238"/>
      <c r="X43" s="2198" t="s">
        <v>424</v>
      </c>
      <c r="Y43" s="2214"/>
      <c r="Z43" s="2214"/>
      <c r="AA43" s="2214"/>
      <c r="AB43" s="2214"/>
      <c r="AC43" s="2199"/>
      <c r="AD43" s="2199"/>
      <c r="AE43" s="2200"/>
      <c r="AF43" s="2201" t="s">
        <v>425</v>
      </c>
      <c r="AG43" s="2198" t="s">
        <v>424</v>
      </c>
      <c r="AH43" s="2214"/>
      <c r="AI43" s="2214"/>
      <c r="AJ43" s="2214"/>
      <c r="AK43" s="2214"/>
      <c r="AL43" s="2199"/>
      <c r="AM43" s="2199"/>
      <c r="AN43" s="2200"/>
      <c r="AO43" s="2201" t="s">
        <v>426</v>
      </c>
      <c r="AP43" s="2204" t="s">
        <v>427</v>
      </c>
      <c r="AQ43" s="2056"/>
      <c r="AW43" s="1081">
        <v>14</v>
      </c>
    </row>
    <row r="44" spans="1:49" ht="35.65" customHeight="1">
      <c r="R44" s="312"/>
      <c r="S44" s="312"/>
      <c r="T44" s="312"/>
      <c r="U44" s="2197"/>
      <c r="V44" s="2145"/>
      <c r="W44" s="960"/>
      <c r="X44" s="2116" t="s">
        <v>450</v>
      </c>
      <c r="Y44" s="2056" t="s">
        <v>451</v>
      </c>
      <c r="Z44" s="2056"/>
      <c r="AA44" s="2056"/>
      <c r="AB44" s="2056"/>
      <c r="AC44" s="2116" t="s">
        <v>431</v>
      </c>
      <c r="AD44" s="2226"/>
      <c r="AE44" s="2117"/>
      <c r="AF44" s="2202"/>
      <c r="AG44" s="2116" t="s">
        <v>450</v>
      </c>
      <c r="AH44" s="2056" t="s">
        <v>451</v>
      </c>
      <c r="AI44" s="2056"/>
      <c r="AJ44" s="2056"/>
      <c r="AK44" s="2056"/>
      <c r="AL44" s="2116" t="s">
        <v>431</v>
      </c>
      <c r="AM44" s="2226"/>
      <c r="AN44" s="2117"/>
      <c r="AO44" s="2202"/>
      <c r="AP44" s="2205"/>
      <c r="AQ44" s="2056"/>
      <c r="AW44" s="1081">
        <v>34</v>
      </c>
    </row>
    <row r="45" spans="1:49" ht="14.65" customHeight="1">
      <c r="R45" s="312"/>
      <c r="S45" s="312"/>
      <c r="T45" s="312"/>
      <c r="U45" s="2197"/>
      <c r="V45" s="2145"/>
      <c r="W45" s="960"/>
      <c r="X45" s="2118"/>
      <c r="Y45" s="2151" t="s">
        <v>452</v>
      </c>
      <c r="Z45" s="2150" t="s">
        <v>453</v>
      </c>
      <c r="AA45" s="2163"/>
      <c r="AB45" s="2164"/>
      <c r="AC45" s="2121"/>
      <c r="AD45" s="2227"/>
      <c r="AE45" s="2122"/>
      <c r="AF45" s="2202"/>
      <c r="AG45" s="2118"/>
      <c r="AH45" s="2151" t="s">
        <v>452</v>
      </c>
      <c r="AI45" s="2150" t="s">
        <v>453</v>
      </c>
      <c r="AJ45" s="2163"/>
      <c r="AK45" s="2164"/>
      <c r="AL45" s="2121"/>
      <c r="AM45" s="2227"/>
      <c r="AN45" s="2122"/>
      <c r="AO45" s="2202"/>
      <c r="AP45" s="2205"/>
      <c r="AQ45" s="2056"/>
      <c r="AW45" s="1081">
        <v>14</v>
      </c>
    </row>
    <row r="46" spans="1:49" ht="27.4" customHeight="1">
      <c r="R46" s="312"/>
      <c r="S46" s="312"/>
      <c r="T46" s="312"/>
      <c r="U46" s="2197"/>
      <c r="V46" s="2145"/>
      <c r="W46" s="960"/>
      <c r="X46" s="2118"/>
      <c r="Y46" s="2225"/>
      <c r="Z46" s="2151" t="s">
        <v>454</v>
      </c>
      <c r="AA46" s="2150" t="s">
        <v>455</v>
      </c>
      <c r="AB46" s="2164"/>
      <c r="AC46" s="2151" t="s">
        <v>441</v>
      </c>
      <c r="AD46" s="2155" t="s">
        <v>442</v>
      </c>
      <c r="AE46" s="2153"/>
      <c r="AF46" s="2202"/>
      <c r="AG46" s="2118"/>
      <c r="AH46" s="2225"/>
      <c r="AI46" s="2151" t="s">
        <v>454</v>
      </c>
      <c r="AJ46" s="2150" t="s">
        <v>455</v>
      </c>
      <c r="AK46" s="2164"/>
      <c r="AL46" s="2151" t="s">
        <v>441</v>
      </c>
      <c r="AM46" s="2155" t="s">
        <v>442</v>
      </c>
      <c r="AN46" s="2153"/>
      <c r="AO46" s="2202"/>
      <c r="AP46" s="2205"/>
      <c r="AQ46" s="2056"/>
      <c r="AW46" s="1081">
        <v>26</v>
      </c>
    </row>
    <row r="47" spans="1:49" ht="65.25" customHeight="1">
      <c r="A47" s="1185"/>
      <c r="B47" s="1185" t="s">
        <v>132</v>
      </c>
      <c r="C47" s="1185" t="s">
        <v>133</v>
      </c>
      <c r="D47" s="1185" t="s">
        <v>134</v>
      </c>
      <c r="E47" s="1236" t="s">
        <v>432</v>
      </c>
      <c r="F47" s="1236" t="s">
        <v>433</v>
      </c>
      <c r="G47" s="1236" t="s">
        <v>434</v>
      </c>
      <c r="H47" s="1236" t="s">
        <v>435</v>
      </c>
      <c r="I47" s="1236" t="s">
        <v>436</v>
      </c>
      <c r="J47" s="1236" t="s">
        <v>437</v>
      </c>
      <c r="K47" s="1236" t="s">
        <v>438</v>
      </c>
      <c r="L47" s="1236" t="s">
        <v>456</v>
      </c>
      <c r="M47" s="1236" t="s">
        <v>413</v>
      </c>
      <c r="R47" s="312"/>
      <c r="S47" s="312"/>
      <c r="T47" s="312"/>
      <c r="U47" s="2197"/>
      <c r="V47" s="2145"/>
      <c r="W47" s="239"/>
      <c r="X47" s="2121"/>
      <c r="Y47" s="2152"/>
      <c r="Z47" s="2152"/>
      <c r="AA47" s="1148" t="s">
        <v>457</v>
      </c>
      <c r="AB47" s="1148" t="s">
        <v>458</v>
      </c>
      <c r="AC47" s="2152"/>
      <c r="AD47" s="2156"/>
      <c r="AE47" s="2154"/>
      <c r="AF47" s="2203"/>
      <c r="AG47" s="2121"/>
      <c r="AH47" s="2152"/>
      <c r="AI47" s="2152"/>
      <c r="AJ47" s="1148" t="s">
        <v>457</v>
      </c>
      <c r="AK47" s="1148" t="s">
        <v>458</v>
      </c>
      <c r="AL47" s="2152"/>
      <c r="AM47" s="2156"/>
      <c r="AN47" s="2154"/>
      <c r="AO47" s="2203"/>
      <c r="AP47" s="2206"/>
      <c r="AQ47" s="2056"/>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105</v>
      </c>
      <c r="V48" s="1181" t="s">
        <v>106</v>
      </c>
      <c r="W48" s="1171" t="str">
        <f ca="1">OFFSET(W48,0,-1)</f>
        <v>2</v>
      </c>
      <c r="X48" s="1261">
        <f ca="1">OFFSET(X48,0,-1)+1</f>
        <v>3</v>
      </c>
      <c r="Y48" s="1267"/>
      <c r="Z48" s="1267"/>
      <c r="AA48" s="1267">
        <f ca="1">OFFSET(AA48,0,-1)+1</f>
        <v>1</v>
      </c>
      <c r="AB48" s="1267">
        <f ca="1">OFFSET(AB48,0,-1)+1</f>
        <v>2</v>
      </c>
      <c r="AC48" s="1261">
        <f ca="1">OFFSET(AC48,0,-1)+1</f>
        <v>3</v>
      </c>
      <c r="AD48" s="2195">
        <f ca="1">OFFSET(AD48,0,-1)+1</f>
        <v>4</v>
      </c>
      <c r="AE48" s="2195"/>
      <c r="AF48" s="1261">
        <f ca="1">OFFSET(AF48,0,-2)+1</f>
        <v>5</v>
      </c>
      <c r="AG48" s="1261">
        <f ca="1">OFFSET(AG48,0,-1)+1</f>
        <v>6</v>
      </c>
      <c r="AH48" s="1261"/>
      <c r="AI48" s="1261"/>
      <c r="AJ48" s="1261">
        <f ca="1">OFFSET(AJ48,0,-1)+1</f>
        <v>1</v>
      </c>
      <c r="AK48" s="1261">
        <f ca="1">OFFSET(AK48,0,-1)+1</f>
        <v>2</v>
      </c>
      <c r="AL48" s="1261">
        <f ca="1">OFFSET(AL48,0,-1)+1</f>
        <v>3</v>
      </c>
      <c r="AM48" s="2195">
        <f ca="1">OFFSET(AM48,0,-1)+1</f>
        <v>4</v>
      </c>
      <c r="AN48" s="2195"/>
      <c r="AO48" s="1261">
        <f ca="1">OFFSET(AO48,0,-2)+1</f>
        <v>5</v>
      </c>
      <c r="AP48" s="1171">
        <f ca="1">OFFSET(AP48,0,-1)</f>
        <v>5</v>
      </c>
      <c r="AQ48" s="1261">
        <f ca="1">OFFSET(AQ48,0,-1)+1</f>
        <v>6</v>
      </c>
      <c r="AR48" s="447"/>
      <c r="AS48" s="447"/>
      <c r="AT48" s="447"/>
      <c r="AU48" s="447"/>
      <c r="AV48" s="447"/>
      <c r="AW48" s="432">
        <v>0</v>
      </c>
    </row>
    <row r="49" spans="1:49" ht="21.95" customHeight="1">
      <c r="A49" s="1193" t="s">
        <v>171</v>
      </c>
      <c r="B49" s="1193"/>
      <c r="C49" s="1193"/>
      <c r="D49" s="1193"/>
      <c r="E49" s="2210">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120</v>
      </c>
      <c r="W49" s="237"/>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171</v>
      </c>
      <c r="B50" s="1193" t="s">
        <v>172</v>
      </c>
      <c r="C50" s="1193"/>
      <c r="D50" s="1193"/>
      <c r="E50" s="2211"/>
      <c r="F50" s="2210">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392</v>
      </c>
      <c r="W50" s="237"/>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4" t="s">
        <v>393</v>
      </c>
      <c r="AS50" s="436"/>
      <c r="AT50" s="436" t="str">
        <f t="shared" si="2"/>
        <v>Территория действия тарифа</v>
      </c>
      <c r="AU50" s="436"/>
      <c r="AV50" s="436"/>
      <c r="AW50" s="1081">
        <v>21</v>
      </c>
    </row>
    <row r="51" spans="1:49" ht="24" customHeight="1">
      <c r="A51" s="1193" t="s">
        <v>171</v>
      </c>
      <c r="B51" s="1193" t="s">
        <v>172</v>
      </c>
      <c r="C51" s="1193" t="s">
        <v>173</v>
      </c>
      <c r="D51" s="1193"/>
      <c r="E51" s="2211"/>
      <c r="F51" s="2211"/>
      <c r="G51" s="2210">
        <v>1</v>
      </c>
      <c r="H51" s="1193"/>
      <c r="I51" s="1193"/>
      <c r="J51" s="1193"/>
      <c r="K51" s="1193"/>
      <c r="L51" s="1193"/>
      <c r="M51" s="1236"/>
      <c r="N51" s="624"/>
      <c r="O51" s="624"/>
      <c r="P51" s="624"/>
      <c r="Q51" s="290"/>
      <c r="R51" s="288"/>
      <c r="S51" s="445"/>
      <c r="T51" s="289"/>
      <c r="U51" s="1262" t="str">
        <f>INDEX(PT_DIFFERENTIATION_NUM_CS,MATCH(C51,PT_DIFFERENTIATION_CS_ID,0))</f>
        <v>..</v>
      </c>
      <c r="V51" s="246" t="s">
        <v>394</v>
      </c>
      <c r="W51" s="237"/>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4" t="s">
        <v>395</v>
      </c>
      <c r="AS51" s="436"/>
      <c r="AT51" s="436" t="str">
        <f t="shared" si="2"/>
        <v xml:space="preserve">Наименование системы теплоснабжения </v>
      </c>
      <c r="AU51" s="436"/>
      <c r="AV51" s="436"/>
      <c r="AW51" s="1081">
        <v>23</v>
      </c>
    </row>
    <row r="52" spans="1:49" ht="21.95" customHeight="1">
      <c r="A52" s="1193" t="s">
        <v>171</v>
      </c>
      <c r="B52" s="1193" t="s">
        <v>172</v>
      </c>
      <c r="C52" s="1193" t="s">
        <v>173</v>
      </c>
      <c r="D52" s="1193" t="s">
        <v>174</v>
      </c>
      <c r="E52" s="2211"/>
      <c r="F52" s="2211"/>
      <c r="G52" s="2211"/>
      <c r="H52" s="2210">
        <v>1</v>
      </c>
      <c r="I52" s="1193"/>
      <c r="J52" s="1193"/>
      <c r="K52" s="1193"/>
      <c r="L52" s="1193"/>
      <c r="M52" s="1236"/>
      <c r="N52" s="624"/>
      <c r="O52" s="624"/>
      <c r="P52" s="624"/>
      <c r="Q52" s="290"/>
      <c r="R52" s="288"/>
      <c r="S52" s="445"/>
      <c r="T52" s="289"/>
      <c r="U52" s="1262" t="str">
        <f>INDEX(PT_DIFFERENTIATION_NUM_IST_TE,MATCH(D52,PT_DIFFERENTIATION_IST_TE_ID,0))</f>
        <v>...</v>
      </c>
      <c r="V52" s="247" t="s">
        <v>396</v>
      </c>
      <c r="W52" s="237"/>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4" t="s">
        <v>397</v>
      </c>
      <c r="AS52" s="436"/>
      <c r="AT52" s="436" t="str">
        <f t="shared" si="2"/>
        <v xml:space="preserve">Источник тепловой энергии  </v>
      </c>
      <c r="AU52" s="436"/>
      <c r="AV52" s="436"/>
      <c r="AW52" s="1081">
        <v>21</v>
      </c>
    </row>
    <row r="53" spans="1:49" s="1568" customFormat="1" ht="0" hidden="1" customHeight="1">
      <c r="A53" s="1301" t="s">
        <v>171</v>
      </c>
      <c r="B53" s="1301" t="s">
        <v>172</v>
      </c>
      <c r="C53" s="1301" t="s">
        <v>173</v>
      </c>
      <c r="D53" s="1301" t="s">
        <v>174</v>
      </c>
      <c r="E53" s="2211"/>
      <c r="F53" s="2211"/>
      <c r="G53" s="2211"/>
      <c r="H53" s="2211"/>
      <c r="I53" s="2056" t="str">
        <f>U52&amp;".1"</f>
        <v>....1</v>
      </c>
      <c r="J53" s="1301"/>
      <c r="K53" s="1301"/>
      <c r="L53" s="1301"/>
      <c r="M53" s="1307" t="s">
        <v>398</v>
      </c>
      <c r="N53" s="1172"/>
      <c r="O53" s="1172"/>
      <c r="P53" s="1172"/>
      <c r="Q53" s="2188">
        <v>1</v>
      </c>
      <c r="R53" s="1257"/>
      <c r="S53" s="1257"/>
      <c r="T53" s="292"/>
      <c r="U53" s="971"/>
      <c r="V53" s="1309"/>
      <c r="W53" s="1310"/>
      <c r="X53" s="2215"/>
      <c r="Y53" s="2216"/>
      <c r="Z53" s="2216"/>
      <c r="AA53" s="2216"/>
      <c r="AB53" s="2216"/>
      <c r="AC53" s="2216"/>
      <c r="AD53" s="2216"/>
      <c r="AE53" s="2216"/>
      <c r="AF53" s="2217"/>
      <c r="AG53" s="2215"/>
      <c r="AH53" s="2216"/>
      <c r="AI53" s="2216"/>
      <c r="AJ53" s="2216"/>
      <c r="AK53" s="2216"/>
      <c r="AL53" s="2216"/>
      <c r="AM53" s="2216"/>
      <c r="AN53" s="2216"/>
      <c r="AO53" s="2216"/>
      <c r="AP53" s="2217"/>
      <c r="AQ53" s="1311"/>
      <c r="AS53" s="436"/>
      <c r="AT53" s="436" t="str">
        <f t="shared" si="2"/>
        <v/>
      </c>
      <c r="AU53" s="436"/>
      <c r="AV53" s="436"/>
      <c r="AW53" s="447">
        <v>0</v>
      </c>
    </row>
    <row r="54" spans="1:49" ht="21.95" customHeight="1">
      <c r="A54" s="1193" t="s">
        <v>171</v>
      </c>
      <c r="B54" s="1193" t="s">
        <v>172</v>
      </c>
      <c r="C54" s="1193" t="s">
        <v>173</v>
      </c>
      <c r="D54" s="1193" t="s">
        <v>174</v>
      </c>
      <c r="E54" s="2211"/>
      <c r="F54" s="2211"/>
      <c r="G54" s="2211"/>
      <c r="H54" s="2211"/>
      <c r="I54" s="2038"/>
      <c r="J54" s="2056" t="str">
        <f>I53&amp;".1"</f>
        <v>....1.1</v>
      </c>
      <c r="K54" s="1193"/>
      <c r="L54" s="1193"/>
      <c r="M54" s="1236" t="s">
        <v>401</v>
      </c>
      <c r="Q54" s="2188"/>
      <c r="R54" s="2188">
        <v>1</v>
      </c>
      <c r="S54" s="454"/>
      <c r="T54" s="293"/>
      <c r="U54" s="1262" t="str">
        <f>$J54</f>
        <v>....1.1</v>
      </c>
      <c r="V54" s="223" t="s">
        <v>402</v>
      </c>
      <c r="W54" s="237"/>
      <c r="X54" s="2172"/>
      <c r="Y54" s="2173"/>
      <c r="Z54" s="2173"/>
      <c r="AA54" s="2173"/>
      <c r="AB54" s="2173"/>
      <c r="AC54" s="2168"/>
      <c r="AD54" s="2168"/>
      <c r="AE54" s="2168"/>
      <c r="AF54" s="2228"/>
      <c r="AG54" s="2172"/>
      <c r="AH54" s="2173"/>
      <c r="AI54" s="2173"/>
      <c r="AJ54" s="2173"/>
      <c r="AK54" s="2173"/>
      <c r="AL54" s="2173"/>
      <c r="AM54" s="2173"/>
      <c r="AN54" s="2173"/>
      <c r="AO54" s="2173"/>
      <c r="AP54" s="2174"/>
      <c r="AQ54" s="1184" t="s">
        <v>403</v>
      </c>
      <c r="AS54" s="436"/>
      <c r="AT54" s="436" t="str">
        <f t="shared" si="2"/>
        <v>Группа потребителей</v>
      </c>
      <c r="AU54" s="436"/>
      <c r="AV54" s="436"/>
      <c r="AW54" s="1081">
        <v>21</v>
      </c>
    </row>
    <row r="55" spans="1:49" ht="21.95" customHeight="1">
      <c r="A55" s="1193" t="s">
        <v>171</v>
      </c>
      <c r="B55" s="1193" t="s">
        <v>172</v>
      </c>
      <c r="C55" s="1193" t="s">
        <v>173</v>
      </c>
      <c r="D55" s="1193" t="s">
        <v>174</v>
      </c>
      <c r="E55" s="2211"/>
      <c r="F55" s="2211"/>
      <c r="G55" s="2211"/>
      <c r="H55" s="2211"/>
      <c r="I55" s="2038"/>
      <c r="J55" s="2038"/>
      <c r="K55" s="2056" t="str">
        <f>J54&amp;".1"</f>
        <v>....1.1.1</v>
      </c>
      <c r="L55" s="77"/>
      <c r="M55" s="1236" t="s">
        <v>404</v>
      </c>
      <c r="Q55" s="2188"/>
      <c r="R55" s="2188"/>
      <c r="S55" s="454">
        <v>1</v>
      </c>
      <c r="T55" s="293"/>
      <c r="U55" s="1262" t="str">
        <f>$K55</f>
        <v>....1.1.1</v>
      </c>
      <c r="V55" s="1273"/>
      <c r="W55" s="237"/>
      <c r="X55" s="687"/>
      <c r="Y55" s="687"/>
      <c r="Z55" s="687"/>
      <c r="AA55" s="687"/>
      <c r="AB55" s="1331"/>
      <c r="AC55" s="2189"/>
      <c r="AD55" s="2066" t="s">
        <v>66</v>
      </c>
      <c r="AE55" s="2189"/>
      <c r="AF55" s="2066" t="s">
        <v>66</v>
      </c>
      <c r="AG55" s="1333"/>
      <c r="AH55" s="687"/>
      <c r="AI55" s="687"/>
      <c r="AJ55" s="687"/>
      <c r="AK55" s="1183"/>
      <c r="AL55" s="2189"/>
      <c r="AM55" s="2066" t="s">
        <v>66</v>
      </c>
      <c r="AN55" s="2189"/>
      <c r="AO55" s="2066" t="s">
        <v>66</v>
      </c>
      <c r="AP55" s="1274"/>
      <c r="AQ55" s="1233" t="s">
        <v>447</v>
      </c>
      <c r="AR55" s="447" t="e">
        <f ca="1">STRCHECKDATE(X57:AP57)</f>
        <v>#NAME?</v>
      </c>
      <c r="AS55" s="436"/>
      <c r="AT55" s="436" t="str">
        <f t="shared" si="2"/>
        <v/>
      </c>
      <c r="AU55" s="436"/>
      <c r="AV55" s="436"/>
      <c r="AW55" s="1081">
        <v>21</v>
      </c>
    </row>
    <row r="56" spans="1:49" ht="11.45" customHeight="1">
      <c r="A56" s="1193" t="s">
        <v>171</v>
      </c>
      <c r="B56" s="1193" t="s">
        <v>172</v>
      </c>
      <c r="C56" s="1193" t="s">
        <v>173</v>
      </c>
      <c r="D56" s="1193" t="s">
        <v>174</v>
      </c>
      <c r="E56" s="2211"/>
      <c r="F56" s="2211"/>
      <c r="G56" s="2211"/>
      <c r="H56" s="2211"/>
      <c r="I56" s="2038"/>
      <c r="J56" s="2038"/>
      <c r="K56" s="2038"/>
      <c r="L56" s="2056" t="str">
        <f>K55&amp;".1"</f>
        <v>....1.1.1.1</v>
      </c>
      <c r="M56" s="1236"/>
      <c r="Q56" s="2188"/>
      <c r="R56" s="2188"/>
      <c r="S56" s="454">
        <v>1</v>
      </c>
      <c r="T56" s="293"/>
      <c r="U56" s="1262" t="str">
        <f>$L56</f>
        <v>....1.1.1.1</v>
      </c>
      <c r="V56" s="1317"/>
      <c r="W56" s="237"/>
      <c r="X56" s="262"/>
      <c r="Y56" s="687"/>
      <c r="Z56" s="687"/>
      <c r="AA56" s="687"/>
      <c r="AB56" s="1331"/>
      <c r="AC56" s="2190"/>
      <c r="AD56" s="2066"/>
      <c r="AE56" s="2190"/>
      <c r="AF56" s="2066"/>
      <c r="AG56" s="1333"/>
      <c r="AH56" s="687"/>
      <c r="AI56" s="687"/>
      <c r="AJ56" s="687"/>
      <c r="AK56" s="1183"/>
      <c r="AL56" s="2190"/>
      <c r="AM56" s="2066"/>
      <c r="AN56" s="2190"/>
      <c r="AO56" s="2066"/>
      <c r="AP56" s="1274"/>
      <c r="AQ56" s="2207" t="s">
        <v>448</v>
      </c>
      <c r="AR56" s="447" t="e">
        <f ca="1">STRCHECKDATE(X58:AP58)</f>
        <v>#NAME?</v>
      </c>
      <c r="AS56" s="436"/>
      <c r="AT56" s="436" t="str">
        <f t="shared" si="2"/>
        <v/>
      </c>
      <c r="AU56" s="436"/>
      <c r="AV56" s="436"/>
      <c r="AW56" s="1081">
        <v>11</v>
      </c>
    </row>
    <row r="57" spans="1:49" ht="0" hidden="1" customHeight="1">
      <c r="A57" s="1193" t="s">
        <v>171</v>
      </c>
      <c r="B57" s="1193" t="s">
        <v>172</v>
      </c>
      <c r="C57" s="1193" t="s">
        <v>173</v>
      </c>
      <c r="D57" s="1193" t="s">
        <v>174</v>
      </c>
      <c r="E57" s="2211"/>
      <c r="F57" s="2211"/>
      <c r="G57" s="2211"/>
      <c r="H57" s="2211"/>
      <c r="I57" s="2038"/>
      <c r="J57" s="2038"/>
      <c r="K57" s="2038"/>
      <c r="L57" s="2056"/>
      <c r="M57" s="1236"/>
      <c r="Q57" s="2188"/>
      <c r="R57" s="2188"/>
      <c r="S57" s="454"/>
      <c r="T57" s="293"/>
      <c r="U57" s="1268"/>
      <c r="V57" s="237"/>
      <c r="W57" s="237"/>
      <c r="X57" s="262"/>
      <c r="Y57" s="262"/>
      <c r="Z57" s="262"/>
      <c r="AA57" s="262"/>
      <c r="AB57" s="1332" t="str">
        <f>AC55&amp;"-"&amp;AE55</f>
        <v>-</v>
      </c>
      <c r="AC57" s="2190"/>
      <c r="AD57" s="2066"/>
      <c r="AE57" s="2190"/>
      <c r="AF57" s="2066"/>
      <c r="AG57" s="1308"/>
      <c r="AH57" s="262"/>
      <c r="AI57" s="262"/>
      <c r="AJ57" s="262"/>
      <c r="AK57" s="265" t="str">
        <f>AL55&amp;"-"&amp;AN55</f>
        <v>-</v>
      </c>
      <c r="AL57" s="2190"/>
      <c r="AM57" s="2066"/>
      <c r="AN57" s="2190"/>
      <c r="AO57" s="2066"/>
      <c r="AP57" s="1275"/>
      <c r="AQ57" s="2208"/>
      <c r="AS57" s="436"/>
      <c r="AT57" s="436" t="str">
        <f t="shared" si="2"/>
        <v/>
      </c>
      <c r="AU57" s="436"/>
      <c r="AV57" s="436"/>
      <c r="AW57" s="1081">
        <v>0</v>
      </c>
    </row>
    <row r="58" spans="1:49" ht="11.45" customHeight="1">
      <c r="A58" s="1193" t="s">
        <v>171</v>
      </c>
      <c r="B58" s="1193" t="s">
        <v>172</v>
      </c>
      <c r="C58" s="1193" t="s">
        <v>173</v>
      </c>
      <c r="D58" s="1193" t="s">
        <v>174</v>
      </c>
      <c r="E58" s="2211"/>
      <c r="F58" s="2211"/>
      <c r="G58" s="2211"/>
      <c r="H58" s="2211"/>
      <c r="I58" s="2038"/>
      <c r="J58" s="2038"/>
      <c r="K58" s="2056"/>
      <c r="L58" s="1193"/>
      <c r="M58" s="1236"/>
      <c r="Q58" s="2188"/>
      <c r="R58" s="2188"/>
      <c r="S58" s="1257"/>
      <c r="T58" s="292"/>
      <c r="U58" s="1204"/>
      <c r="V58" s="225" t="s">
        <v>449</v>
      </c>
      <c r="W58" s="303"/>
      <c r="X58" s="303"/>
      <c r="Y58" s="303"/>
      <c r="Z58" s="303"/>
      <c r="AA58" s="303"/>
      <c r="AB58" s="303"/>
      <c r="AC58" s="2190"/>
      <c r="AD58" s="2066"/>
      <c r="AE58" s="2190"/>
      <c r="AF58" s="2066"/>
      <c r="AG58" s="303"/>
      <c r="AH58" s="303"/>
      <c r="AI58" s="303"/>
      <c r="AJ58" s="303"/>
      <c r="AK58" s="303"/>
      <c r="AL58" s="2190"/>
      <c r="AM58" s="2066"/>
      <c r="AN58" s="2190"/>
      <c r="AO58" s="2066"/>
      <c r="AP58" s="261"/>
      <c r="AQ58" s="2208"/>
      <c r="AS58" s="436"/>
      <c r="AT58" s="436" t="str">
        <f t="shared" si="2"/>
        <v>Добавить наименование поставщика</v>
      </c>
      <c r="AU58" s="436"/>
      <c r="AV58" s="436"/>
      <c r="AW58" s="1081">
        <v>11</v>
      </c>
    </row>
    <row r="59" spans="1:49" ht="11.45" customHeight="1">
      <c r="A59" s="1193" t="s">
        <v>171</v>
      </c>
      <c r="B59" s="1193" t="s">
        <v>172</v>
      </c>
      <c r="C59" s="1193" t="s">
        <v>173</v>
      </c>
      <c r="D59" s="1193" t="s">
        <v>174</v>
      </c>
      <c r="E59" s="2211"/>
      <c r="F59" s="2211"/>
      <c r="G59" s="2211"/>
      <c r="H59" s="2211"/>
      <c r="I59" s="2038"/>
      <c r="J59" s="2056"/>
      <c r="K59" s="1193"/>
      <c r="L59" s="1193"/>
      <c r="M59" s="1236"/>
      <c r="Q59" s="2188"/>
      <c r="R59" s="2188"/>
      <c r="S59" s="1257"/>
      <c r="T59" s="292"/>
      <c r="U59" s="1204"/>
      <c r="V59" s="224" t="s">
        <v>406</v>
      </c>
      <c r="W59" s="303"/>
      <c r="X59" s="303"/>
      <c r="Y59" s="303"/>
      <c r="Z59" s="303"/>
      <c r="AA59" s="303"/>
      <c r="AB59" s="303"/>
      <c r="AC59" s="1334"/>
      <c r="AD59" s="1334"/>
      <c r="AE59" s="1334"/>
      <c r="AF59" s="1334"/>
      <c r="AG59" s="303"/>
      <c r="AH59" s="303"/>
      <c r="AI59" s="303"/>
      <c r="AJ59" s="303"/>
      <c r="AK59" s="303"/>
      <c r="AL59" s="303"/>
      <c r="AM59" s="303"/>
      <c r="AN59" s="303"/>
      <c r="AO59" s="303"/>
      <c r="AP59" s="261"/>
      <c r="AQ59" s="2209"/>
      <c r="AS59" s="436"/>
      <c r="AT59" s="436" t="str">
        <f t="shared" si="2"/>
        <v>Добавить вид теплоносителя (параметры теплоносителя)</v>
      </c>
      <c r="AU59" s="436"/>
      <c r="AV59" s="436"/>
      <c r="AW59" s="1081">
        <v>11</v>
      </c>
    </row>
    <row r="60" spans="1:49" ht="11.45" customHeight="1">
      <c r="A60" s="1193" t="s">
        <v>171</v>
      </c>
      <c r="B60" s="1193" t="s">
        <v>172</v>
      </c>
      <c r="C60" s="1193" t="s">
        <v>173</v>
      </c>
      <c r="D60" s="1193" t="s">
        <v>174</v>
      </c>
      <c r="E60" s="2211"/>
      <c r="F60" s="2211"/>
      <c r="G60" s="2211"/>
      <c r="H60" s="2211"/>
      <c r="I60" s="2056"/>
      <c r="J60" s="1193"/>
      <c r="K60" s="1193"/>
      <c r="L60" s="1193"/>
      <c r="M60" s="1236"/>
      <c r="Q60" s="2188"/>
      <c r="R60" s="1257"/>
      <c r="S60" s="1257"/>
      <c r="T60" s="292"/>
      <c r="U60" s="1204"/>
      <c r="V60" s="301" t="s">
        <v>407</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171</v>
      </c>
      <c r="B61" s="1193" t="s">
        <v>172</v>
      </c>
      <c r="C61" s="1193" t="s">
        <v>173</v>
      </c>
      <c r="D61" s="1193" t="s">
        <v>174</v>
      </c>
      <c r="E61" s="2211"/>
      <c r="F61" s="2211"/>
      <c r="G61" s="2211"/>
      <c r="H61" s="2210"/>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171</v>
      </c>
      <c r="B62" s="1301" t="s">
        <v>172</v>
      </c>
      <c r="C62" s="1301" t="s">
        <v>173</v>
      </c>
      <c r="D62" s="1300"/>
      <c r="E62" s="2211"/>
      <c r="F62" s="2211"/>
      <c r="G62" s="2210"/>
      <c r="H62" s="1300"/>
      <c r="I62" s="1300"/>
      <c r="J62" s="1300"/>
      <c r="K62" s="1300"/>
      <c r="L62" s="1300"/>
      <c r="M62" s="1303"/>
      <c r="N62" s="1304"/>
      <c r="O62" s="1304"/>
      <c r="P62" s="287"/>
      <c r="Q62" s="1242"/>
      <c r="R62" s="1243"/>
      <c r="S62" s="1242"/>
      <c r="T62" s="1242"/>
      <c r="U62" s="1248"/>
      <c r="V62" s="1251" t="s">
        <v>409</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171</v>
      </c>
      <c r="B63" s="1301" t="s">
        <v>172</v>
      </c>
      <c r="C63" s="1300"/>
      <c r="D63" s="1300"/>
      <c r="E63" s="2211"/>
      <c r="F63" s="2210"/>
      <c r="G63" s="1300"/>
      <c r="H63" s="1300"/>
      <c r="I63" s="1300"/>
      <c r="J63" s="1300"/>
      <c r="K63" s="1300"/>
      <c r="L63" s="1300"/>
      <c r="M63" s="1303"/>
      <c r="N63" s="1305"/>
      <c r="O63" s="1305"/>
      <c r="P63" s="287"/>
      <c r="Q63" s="1242"/>
      <c r="R63" s="1243"/>
      <c r="S63" s="1242"/>
      <c r="T63" s="1242"/>
      <c r="U63" s="1248"/>
      <c r="V63" s="1251" t="s">
        <v>410</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171</v>
      </c>
      <c r="B64" s="1301"/>
      <c r="C64" s="1301"/>
      <c r="D64" s="1301"/>
      <c r="E64" s="2210"/>
      <c r="F64" s="1301"/>
      <c r="G64" s="1301"/>
      <c r="H64" s="1301"/>
      <c r="I64" s="1301"/>
      <c r="J64" s="1301"/>
      <c r="K64" s="1301"/>
      <c r="L64" s="1301"/>
      <c r="M64" s="1307"/>
      <c r="N64" s="1305"/>
      <c r="O64" s="1305"/>
      <c r="P64" s="287"/>
      <c r="Q64" s="316"/>
      <c r="R64" s="1270"/>
      <c r="S64" s="316"/>
      <c r="T64" s="316"/>
      <c r="U64" s="1248"/>
      <c r="V64" s="1251" t="s">
        <v>411</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443</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1">
        <v>34</v>
      </c>
    </row>
    <row r="68" spans="1:49" ht="21" customHeight="1">
      <c r="P68" s="445"/>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1">
        <v>20</v>
      </c>
    </row>
    <row r="69" spans="1:49" ht="14.65" customHeight="1">
      <c r="P69" s="445"/>
      <c r="AW69" s="1081">
        <v>14</v>
      </c>
    </row>
    <row r="70" spans="1:49" ht="28.5" customHeight="1">
      <c r="P70" s="445"/>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1">
        <v>27</v>
      </c>
    </row>
    <row r="71" spans="1:49" ht="18.75" customHeight="1">
      <c r="P71" s="445"/>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1">
        <v>18</v>
      </c>
    </row>
    <row r="72" spans="1:49" ht="22.5" hidden="1" customHeight="1">
      <c r="A72" s="1081" t="s">
        <v>78</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abSelected="1" topLeftCell="C1" zoomScale="90" workbookViewId="0">
      <selection activeCell="I68" sqref="I68"/>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3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8"/>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0" t="s">
        <v>20</v>
      </c>
      <c r="D11" s="14"/>
      <c r="E11" s="1091" t="s">
        <v>21</v>
      </c>
      <c r="F11" s="1658" t="s">
        <v>22</v>
      </c>
      <c r="G11" s="16"/>
      <c r="H11" s="704" t="s">
        <v>23</v>
      </c>
      <c r="J11" s="806" t="s">
        <v>24</v>
      </c>
      <c r="Q11" s="13">
        <v>0</v>
      </c>
    </row>
    <row r="12" spans="1:17" ht="22.5" hidden="1" customHeight="1">
      <c r="A12" s="2040"/>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2025</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39"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39"/>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c r="G65" s="16"/>
      <c r="Q65" s="13">
        <v>20</v>
      </c>
    </row>
    <row r="66" spans="1:17" ht="36.75" customHeight="1">
      <c r="D66" s="14"/>
      <c r="E66" s="329" t="s">
        <v>72</v>
      </c>
      <c r="F66" s="983"/>
      <c r="G66" s="12"/>
      <c r="Q66" s="13">
        <v>35</v>
      </c>
    </row>
    <row r="67" spans="1:17" ht="21" customHeight="1">
      <c r="D67" s="346"/>
      <c r="E67" s="327" t="s">
        <v>73</v>
      </c>
      <c r="F67" s="208"/>
      <c r="G67" s="16"/>
      <c r="Q67" s="13">
        <v>20</v>
      </c>
    </row>
    <row r="68" spans="1:17" ht="21" customHeight="1">
      <c r="B68" s="38"/>
      <c r="D68" s="21"/>
      <c r="E68" s="327" t="s">
        <v>74</v>
      </c>
      <c r="F68" s="208" t="s">
        <v>75</v>
      </c>
      <c r="G68" s="16"/>
      <c r="Q68" s="13">
        <v>20</v>
      </c>
    </row>
    <row r="69" spans="1:17" ht="21" customHeight="1">
      <c r="B69" s="38"/>
      <c r="D69" s="21"/>
      <c r="E69" s="327" t="s">
        <v>76</v>
      </c>
      <c r="F69" s="208"/>
      <c r="G69" s="16"/>
      <c r="Q69" s="13">
        <v>20</v>
      </c>
    </row>
    <row r="70" spans="1:17" ht="21" customHeight="1">
      <c r="D70" s="346"/>
      <c r="E70" s="327" t="s">
        <v>77</v>
      </c>
      <c r="F70" s="208"/>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78</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184">
        <v>1</v>
      </c>
      <c r="F2" s="1289"/>
      <c r="G2" s="1289"/>
      <c r="H2" s="1289"/>
      <c r="I2" s="1289"/>
      <c r="J2" s="1289"/>
      <c r="K2" s="1289"/>
      <c r="L2" s="1290"/>
      <c r="M2" s="1291"/>
      <c r="N2" s="1291"/>
      <c r="O2" s="1291"/>
      <c r="P2" s="1335"/>
      <c r="Q2" s="803"/>
      <c r="R2" s="291"/>
      <c r="S2" s="1262" t="e">
        <f>INDEX(PT_DIFFERENTIATION_NUM_NTAR,MATCH(A2,PT_DIFFERENTIATION_NTAR_ID,0))</f>
        <v>#N/A</v>
      </c>
      <c r="T2" s="235" t="s">
        <v>120</v>
      </c>
      <c r="U2" s="237"/>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4" t="s">
        <v>391</v>
      </c>
      <c r="AW2" s="436"/>
      <c r="AX2" s="436" t="str">
        <f t="shared" ref="AX2:AX8" si="0">IF(T2="","",T2)</f>
        <v>Наименование тарифа</v>
      </c>
      <c r="AY2" s="436"/>
      <c r="AZ2" s="436"/>
      <c r="BA2" s="1081">
        <v>0</v>
      </c>
    </row>
    <row r="3" spans="1:53" ht="21" hidden="1" customHeight="1">
      <c r="A3" s="1289"/>
      <c r="B3" s="1289"/>
      <c r="C3" s="1289"/>
      <c r="D3" s="1289"/>
      <c r="E3" s="2185"/>
      <c r="F3" s="2184">
        <v>1</v>
      </c>
      <c r="G3" s="1289"/>
      <c r="H3" s="1289"/>
      <c r="I3" s="1289"/>
      <c r="J3" s="1289"/>
      <c r="K3" s="1289"/>
      <c r="L3" s="1290"/>
      <c r="M3" s="1291"/>
      <c r="N3" s="1291"/>
      <c r="O3" s="1291"/>
      <c r="P3" s="1336"/>
      <c r="Q3" s="1337"/>
      <c r="R3" s="289"/>
      <c r="S3" s="1262" t="e">
        <f>INDEX(PT_DIFFERENTIATION_NUM_TER,MATCH(B3,PT_DIFFERENTIATION_TER_ID,0))</f>
        <v>#N/A</v>
      </c>
      <c r="T3" s="245" t="s">
        <v>392</v>
      </c>
      <c r="U3" s="237"/>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4" t="s">
        <v>393</v>
      </c>
      <c r="AW3" s="436"/>
      <c r="AX3" s="436" t="str">
        <f t="shared" si="0"/>
        <v>Территория действия тарифа</v>
      </c>
      <c r="AY3" s="436"/>
      <c r="AZ3" s="436"/>
      <c r="BA3" s="1081">
        <v>0</v>
      </c>
    </row>
    <row r="4" spans="1:53" ht="22.5" hidden="1" customHeight="1">
      <c r="A4" s="1289"/>
      <c r="B4" s="1289"/>
      <c r="C4" s="1289"/>
      <c r="D4" s="1289"/>
      <c r="E4" s="2185"/>
      <c r="F4" s="2185"/>
      <c r="G4" s="2184">
        <v>1</v>
      </c>
      <c r="H4" s="1289"/>
      <c r="I4" s="1289"/>
      <c r="J4" s="1289"/>
      <c r="K4" s="1289"/>
      <c r="L4" s="1290"/>
      <c r="M4" s="1291"/>
      <c r="N4" s="1291"/>
      <c r="O4" s="1291"/>
      <c r="P4" s="1338"/>
      <c r="Q4" s="1337"/>
      <c r="R4" s="289"/>
      <c r="S4" s="1262" t="e">
        <f>INDEX(PT_DIFFERENTIATION_NUM_CS,MATCH(C4,PT_DIFFERENTIATION_CS_ID,0))</f>
        <v>#N/A</v>
      </c>
      <c r="T4" s="246" t="s">
        <v>394</v>
      </c>
      <c r="U4" s="237"/>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4" t="s">
        <v>395</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5"/>
      <c r="F5" s="2185"/>
      <c r="G5" s="2185"/>
      <c r="H5" s="2184">
        <v>1</v>
      </c>
      <c r="I5" s="1289"/>
      <c r="J5" s="1289"/>
      <c r="K5" s="1289"/>
      <c r="L5" s="1290"/>
      <c r="M5" s="1291"/>
      <c r="N5" s="1291"/>
      <c r="O5" s="1291"/>
      <c r="P5" s="1338"/>
      <c r="Q5" s="1337"/>
      <c r="R5" s="289"/>
      <c r="S5" s="1262" t="e">
        <f>INDEX(PT_DIFFERENTIATION_NUM_IST_TE,MATCH(D5,PT_DIFFERENTIATION_IST_TE_ID,0))</f>
        <v>#N/A</v>
      </c>
      <c r="T5" s="247" t="s">
        <v>396</v>
      </c>
      <c r="U5" s="237"/>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4" t="s">
        <v>397</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5"/>
      <c r="F6" s="2185"/>
      <c r="G6" s="2185"/>
      <c r="H6" s="2185"/>
      <c r="I6" s="2186" t="e">
        <f>S5&amp;".1"</f>
        <v>#N/A</v>
      </c>
      <c r="J6" s="1269"/>
      <c r="K6" s="1269"/>
      <c r="L6" s="1272" t="s">
        <v>398</v>
      </c>
      <c r="M6" s="446"/>
      <c r="N6" s="446"/>
      <c r="O6" s="446"/>
      <c r="P6" s="2188">
        <v>1</v>
      </c>
      <c r="Q6" s="1257"/>
      <c r="R6" s="292"/>
      <c r="S6" s="971"/>
      <c r="T6" s="1309"/>
      <c r="U6" s="1310"/>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1"/>
      <c r="AW6" s="436"/>
      <c r="AX6" s="436" t="str">
        <f t="shared" si="0"/>
        <v/>
      </c>
      <c r="AY6" s="436"/>
      <c r="AZ6" s="436"/>
      <c r="BA6" s="447">
        <v>0</v>
      </c>
    </row>
    <row r="7" spans="1:53" s="1568" customFormat="1" ht="0.75" hidden="1" customHeight="1">
      <c r="A7" s="1269"/>
      <c r="B7" s="1269"/>
      <c r="C7" s="1269"/>
      <c r="D7" s="1269"/>
      <c r="E7" s="2185"/>
      <c r="F7" s="2185"/>
      <c r="G7" s="2185"/>
      <c r="H7" s="2185"/>
      <c r="I7" s="2187"/>
      <c r="J7" s="2186" t="e">
        <f>S5&amp;".1"</f>
        <v>#N/A</v>
      </c>
      <c r="K7" s="1269"/>
      <c r="L7" s="1272"/>
      <c r="M7" s="446"/>
      <c r="N7" s="446"/>
      <c r="O7" s="446"/>
      <c r="P7" s="2188"/>
      <c r="Q7" s="2188">
        <v>1</v>
      </c>
      <c r="R7" s="293"/>
      <c r="S7" s="971"/>
      <c r="T7" s="1325"/>
      <c r="U7" s="1310"/>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1"/>
      <c r="AW7" s="436"/>
      <c r="AX7" s="436" t="str">
        <f t="shared" si="0"/>
        <v/>
      </c>
      <c r="AY7" s="436"/>
      <c r="AZ7" s="436"/>
      <c r="BA7" s="447">
        <v>0</v>
      </c>
    </row>
    <row r="8" spans="1:53" ht="21" hidden="1" customHeight="1">
      <c r="A8" s="1289"/>
      <c r="B8" s="1289"/>
      <c r="C8" s="1289"/>
      <c r="D8" s="1289"/>
      <c r="E8" s="2185"/>
      <c r="F8" s="2185"/>
      <c r="G8" s="2185"/>
      <c r="H8" s="2185"/>
      <c r="I8" s="2187"/>
      <c r="J8" s="2187"/>
      <c r="K8" s="2186" t="e">
        <f>S5&amp;".1"</f>
        <v>#N/A</v>
      </c>
      <c r="L8" s="1290"/>
      <c r="P8" s="2188"/>
      <c r="Q8" s="2188"/>
      <c r="R8" s="2244">
        <v>1</v>
      </c>
      <c r="S8" s="2241" t="e">
        <f>$K8</f>
        <v>#N/A</v>
      </c>
      <c r="T8" s="2238"/>
      <c r="U8" s="237"/>
      <c r="V8" s="687"/>
      <c r="W8" s="1183"/>
      <c r="X8" s="2189"/>
      <c r="Y8" s="2066" t="s">
        <v>66</v>
      </c>
      <c r="Z8" s="2189"/>
      <c r="AA8" s="2066" t="s">
        <v>66</v>
      </c>
      <c r="AB8" s="2066" t="s">
        <v>19</v>
      </c>
      <c r="AC8" s="2237"/>
      <c r="AD8" s="2141">
        <v>1</v>
      </c>
      <c r="AE8" s="2251"/>
      <c r="AF8" s="2066" t="s">
        <v>19</v>
      </c>
      <c r="AG8" s="2237"/>
      <c r="AH8" s="2141">
        <v>1</v>
      </c>
      <c r="AI8" s="2251"/>
      <c r="AJ8" s="2066" t="s">
        <v>19</v>
      </c>
      <c r="AK8" s="248"/>
      <c r="AL8" s="1263">
        <v>1</v>
      </c>
      <c r="AM8" s="1324"/>
      <c r="AN8" s="687"/>
      <c r="AO8" s="1183"/>
      <c r="AP8" s="1660"/>
      <c r="AQ8" s="1385" t="s">
        <v>66</v>
      </c>
      <c r="AR8" s="1660"/>
      <c r="AS8" s="1385" t="s">
        <v>66</v>
      </c>
      <c r="AT8" s="1274"/>
      <c r="AU8" s="2207" t="s">
        <v>459</v>
      </c>
      <c r="AV8" s="447" t="e">
        <f ca="1">STRCHECKDATE(V11:AT11)</f>
        <v>#NAME?</v>
      </c>
      <c r="AW8" s="436"/>
      <c r="AX8" s="436" t="str">
        <f t="shared" si="0"/>
        <v/>
      </c>
      <c r="AY8" s="436"/>
      <c r="AZ8" s="436"/>
      <c r="BA8" s="1081">
        <v>0</v>
      </c>
    </row>
    <row r="9" spans="1:53" ht="11.25" hidden="1" customHeight="1">
      <c r="A9" s="1289"/>
      <c r="B9" s="1289"/>
      <c r="C9" s="1289"/>
      <c r="D9" s="1289"/>
      <c r="E9" s="2185"/>
      <c r="F9" s="2185"/>
      <c r="G9" s="2185"/>
      <c r="H9" s="2185"/>
      <c r="I9" s="2187"/>
      <c r="J9" s="2187"/>
      <c r="K9" s="2186"/>
      <c r="L9" s="1290"/>
      <c r="P9" s="2188"/>
      <c r="Q9" s="2188"/>
      <c r="R9" s="2244"/>
      <c r="S9" s="2242"/>
      <c r="T9" s="2239"/>
      <c r="U9" s="237"/>
      <c r="V9" s="1319"/>
      <c r="W9" s="1323"/>
      <c r="X9" s="2189"/>
      <c r="Y9" s="2066"/>
      <c r="Z9" s="2189"/>
      <c r="AA9" s="2066"/>
      <c r="AB9" s="2066"/>
      <c r="AC9" s="2237"/>
      <c r="AD9" s="2141"/>
      <c r="AE9" s="2251"/>
      <c r="AF9" s="2066"/>
      <c r="AG9" s="2237"/>
      <c r="AH9" s="2141"/>
      <c r="AI9" s="2251"/>
      <c r="AJ9" s="2066"/>
      <c r="AK9" s="253"/>
      <c r="AL9" s="352"/>
      <c r="AM9" s="351" t="s">
        <v>460</v>
      </c>
      <c r="AN9" s="1319"/>
      <c r="AO9" s="1422"/>
      <c r="AP9" s="1319"/>
      <c r="AQ9" s="1319"/>
      <c r="AR9" s="1319"/>
      <c r="AS9" s="1319"/>
      <c r="AT9" s="1316"/>
      <c r="AU9" s="2208"/>
      <c r="AW9" s="436"/>
      <c r="AX9" s="436"/>
      <c r="AY9" s="436"/>
      <c r="AZ9" s="436"/>
      <c r="BA9" s="1081">
        <v>0</v>
      </c>
    </row>
    <row r="10" spans="1:53" ht="11.25" hidden="1" customHeight="1">
      <c r="A10" s="1289"/>
      <c r="B10" s="1289"/>
      <c r="C10" s="1289"/>
      <c r="D10" s="1289"/>
      <c r="E10" s="2185"/>
      <c r="F10" s="2185"/>
      <c r="G10" s="2185"/>
      <c r="H10" s="2185"/>
      <c r="I10" s="2187"/>
      <c r="J10" s="2187"/>
      <c r="K10" s="2186"/>
      <c r="L10" s="1290"/>
      <c r="P10" s="2188"/>
      <c r="Q10" s="2188"/>
      <c r="R10" s="2244"/>
      <c r="S10" s="2242"/>
      <c r="T10" s="2239"/>
      <c r="U10" s="237"/>
      <c r="V10" s="1319"/>
      <c r="W10" s="1323"/>
      <c r="X10" s="2189"/>
      <c r="Y10" s="2066"/>
      <c r="Z10" s="2189"/>
      <c r="AA10" s="2066"/>
      <c r="AB10" s="2066"/>
      <c r="AC10" s="2237"/>
      <c r="AD10" s="2141"/>
      <c r="AE10" s="2251"/>
      <c r="AF10" s="2066"/>
      <c r="AG10" s="231"/>
      <c r="AH10" s="351"/>
      <c r="AI10" s="351" t="s">
        <v>461</v>
      </c>
      <c r="AJ10" s="1319"/>
      <c r="AK10" s="1319"/>
      <c r="AL10" s="1319"/>
      <c r="AM10" s="1319"/>
      <c r="AN10" s="1319"/>
      <c r="AO10" s="1422"/>
      <c r="AP10" s="1319"/>
      <c r="AQ10" s="1319"/>
      <c r="AR10" s="1319"/>
      <c r="AS10" s="1319"/>
      <c r="AT10" s="1316"/>
      <c r="AU10" s="2208"/>
      <c r="AW10" s="436"/>
      <c r="AX10" s="436"/>
      <c r="AY10" s="436"/>
      <c r="AZ10" s="436"/>
      <c r="BA10" s="1081">
        <v>0</v>
      </c>
    </row>
    <row r="11" spans="1:53" ht="11.25" hidden="1" customHeight="1">
      <c r="A11" s="1289"/>
      <c r="B11" s="1289"/>
      <c r="C11" s="1289"/>
      <c r="D11" s="1289"/>
      <c r="E11" s="2185"/>
      <c r="F11" s="2185"/>
      <c r="G11" s="2185"/>
      <c r="H11" s="2185"/>
      <c r="I11" s="2187"/>
      <c r="J11" s="2187"/>
      <c r="K11" s="2186"/>
      <c r="L11" s="1290"/>
      <c r="P11" s="2188"/>
      <c r="Q11" s="2188"/>
      <c r="R11" s="2244"/>
      <c r="S11" s="2243"/>
      <c r="T11" s="2240"/>
      <c r="U11" s="237"/>
      <c r="V11" s="1319"/>
      <c r="W11" s="1322" t="str">
        <f>X8&amp;"-"&amp;Z8</f>
        <v>-</v>
      </c>
      <c r="X11" s="2190"/>
      <c r="Y11" s="2066"/>
      <c r="Z11" s="2190"/>
      <c r="AA11" s="2066"/>
      <c r="AB11" s="2066"/>
      <c r="AC11" s="249"/>
      <c r="AD11" s="251"/>
      <c r="AE11" s="351" t="s">
        <v>462</v>
      </c>
      <c r="AF11" s="1319"/>
      <c r="AG11" s="1319"/>
      <c r="AH11" s="1319"/>
      <c r="AI11" s="1319"/>
      <c r="AJ11" s="1319"/>
      <c r="AK11" s="1319"/>
      <c r="AL11" s="1319"/>
      <c r="AM11" s="1319"/>
      <c r="AN11" s="1319"/>
      <c r="AO11" s="1320" t="str">
        <f>AP8&amp;"-"&amp;AR8</f>
        <v>-</v>
      </c>
      <c r="AP11" s="1319"/>
      <c r="AQ11" s="1319"/>
      <c r="AR11" s="1319"/>
      <c r="AS11" s="1319"/>
      <c r="AT11" s="1275"/>
      <c r="AU11" s="2208"/>
      <c r="AW11" s="436"/>
      <c r="AX11" s="436" t="str">
        <f t="shared" ref="AX11:AX17" si="1">IF(T11="","",T11)</f>
        <v/>
      </c>
      <c r="AY11" s="436"/>
      <c r="AZ11" s="436"/>
      <c r="BA11" s="1081">
        <v>0</v>
      </c>
    </row>
    <row r="12" spans="1:53" ht="11.25" hidden="1" customHeight="1">
      <c r="A12" s="1289"/>
      <c r="B12" s="1289"/>
      <c r="C12" s="1289"/>
      <c r="D12" s="1289"/>
      <c r="E12" s="2185"/>
      <c r="F12" s="2185"/>
      <c r="G12" s="2185"/>
      <c r="H12" s="2185"/>
      <c r="I12" s="2187"/>
      <c r="J12" s="2186"/>
      <c r="K12" s="1289"/>
      <c r="L12" s="1290"/>
      <c r="P12" s="2188"/>
      <c r="Q12" s="2188"/>
      <c r="R12" s="292"/>
      <c r="S12" s="1204"/>
      <c r="T12" s="224" t="s">
        <v>463</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09"/>
      <c r="AW12" s="436"/>
      <c r="AX12" s="436" t="str">
        <f t="shared" si="1"/>
        <v>Добавить строку</v>
      </c>
      <c r="AY12" s="436"/>
      <c r="AZ12" s="436"/>
      <c r="BA12" s="1081">
        <v>0</v>
      </c>
    </row>
    <row r="13" spans="1:53" s="1568" customFormat="1" ht="0.75" hidden="1" customHeight="1">
      <c r="A13" s="1269"/>
      <c r="B13" s="1269"/>
      <c r="C13" s="1269"/>
      <c r="D13" s="1269"/>
      <c r="E13" s="2185"/>
      <c r="F13" s="2185"/>
      <c r="G13" s="2185"/>
      <c r="H13" s="2185"/>
      <c r="I13" s="2186"/>
      <c r="J13" s="1269"/>
      <c r="K13" s="1269"/>
      <c r="L13" s="1272"/>
      <c r="M13" s="446"/>
      <c r="N13" s="446"/>
      <c r="O13" s="446"/>
      <c r="P13" s="2188"/>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5"/>
      <c r="F14" s="2185"/>
      <c r="G14" s="2185"/>
      <c r="H14" s="2184"/>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5"/>
      <c r="F15" s="2185"/>
      <c r="G15" s="2184"/>
      <c r="H15" s="1240"/>
      <c r="I15" s="1240"/>
      <c r="J15" s="1240"/>
      <c r="K15" s="1240"/>
      <c r="L15" s="1265"/>
      <c r="M15" s="1241"/>
      <c r="N15" s="1241"/>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5"/>
      <c r="F16" s="2184"/>
      <c r="G16" s="1240"/>
      <c r="H16" s="1240"/>
      <c r="I16" s="1240"/>
      <c r="J16" s="1240"/>
      <c r="K16" s="1240"/>
      <c r="L16" s="1265"/>
      <c r="M16" s="1247"/>
      <c r="N16" s="1247"/>
      <c r="P16" s="1242"/>
      <c r="Q16" s="1243"/>
      <c r="R16" s="1242"/>
      <c r="S16" s="1248"/>
      <c r="T16" s="1251" t="s">
        <v>410</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4"/>
      <c r="F17" s="1269"/>
      <c r="G17" s="1269"/>
      <c r="H17" s="1269"/>
      <c r="I17" s="1269"/>
      <c r="J17" s="1269"/>
      <c r="K17" s="1269"/>
      <c r="L17" s="1272"/>
      <c r="M17" s="1247"/>
      <c r="N17" s="1247"/>
      <c r="O17" s="454"/>
      <c r="P17" s="316"/>
      <c r="Q17" s="1270"/>
      <c r="R17" s="316"/>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412</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413</v>
      </c>
      <c r="P23" s="1434"/>
      <c r="Q23" s="1436"/>
      <c r="R23" s="1436"/>
      <c r="Y23" s="1433" t="s">
        <v>415</v>
      </c>
      <c r="AA23" s="1433" t="s">
        <v>416</v>
      </c>
      <c r="AB23" s="1433" t="s">
        <v>464</v>
      </c>
      <c r="AE23" s="1433" t="s">
        <v>465</v>
      </c>
      <c r="AF23" s="1433" t="s">
        <v>464</v>
      </c>
      <c r="AI23" s="1433" t="s">
        <v>466</v>
      </c>
      <c r="AJ23" s="1433" t="s">
        <v>464</v>
      </c>
      <c r="AM23" s="1433" t="s">
        <v>467</v>
      </c>
      <c r="AQ23" s="1433" t="s">
        <v>415</v>
      </c>
      <c r="AS23" s="1433" t="s">
        <v>416</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69"/>
      <c r="BA27" s="1081">
        <v>26</v>
      </c>
    </row>
    <row r="28" spans="1:53" ht="14.65" customHeight="1">
      <c r="Q28" s="228"/>
      <c r="R28" s="312"/>
      <c r="S28" s="2137" t="str">
        <f>IF(org=0,"Не определено",org)</f>
        <v>ОП АО "Байкалэнерго" - "Саяногорские тепловые сети"</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5" t="s">
        <v>42</v>
      </c>
      <c r="T30" s="2175"/>
      <c r="U30" s="1298"/>
      <c r="V30" s="2177" t="str">
        <f>IF(TITLE_NAME_OR_PR_CHANGE="",IF(TITLE_NAME_OR_PR="","",TITLE_NAME_OR_PR),TITLE_NAME_OR_PR_CHANGE)</f>
        <v/>
      </c>
      <c r="W30" s="2177"/>
      <c r="X30" s="2177"/>
      <c r="Y30" s="2177"/>
      <c r="Z30" s="2177"/>
      <c r="AA30" s="263"/>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5" t="s">
        <v>418</v>
      </c>
      <c r="T31" s="2175"/>
      <c r="U31" s="1298"/>
      <c r="V31" s="2176" t="str">
        <f>IF(TITLE_DATE_PR_CHANGE="",IF(TITLE_DATE_PR="","",TITLE_DATE_PR),TITLE_DATE_PR_CHANGE)</f>
        <v/>
      </c>
      <c r="W31" s="2176"/>
      <c r="X31" s="2176"/>
      <c r="Y31" s="2176"/>
      <c r="Z31" s="2176"/>
      <c r="AA31" s="263"/>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419</v>
      </c>
      <c r="T32" s="2175"/>
      <c r="U32" s="1298"/>
      <c r="V32" s="2177" t="str">
        <f>IF(TITLE_NUMBER_PR_CHANGE="",IF(TITLE_NUMBER_PR="","",TITLE_NUMBER_PR),TITLE_NUMBER_PR_CHANGE)</f>
        <v/>
      </c>
      <c r="W32" s="2177"/>
      <c r="X32" s="2177"/>
      <c r="Y32" s="2177"/>
      <c r="Z32" s="2177"/>
      <c r="AA32" s="263"/>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43</v>
      </c>
      <c r="T33" s="2175"/>
      <c r="U33" s="1298"/>
      <c r="V33" s="2177" t="str">
        <f>IF(TITLE_IST_PUB_CHANGE="",IF(TITLE_IST_PUB="","",TITLE_IST_PUB),TITLE_IST_PUB_CHANGE)</f>
        <v/>
      </c>
      <c r="W33" s="2177"/>
      <c r="X33" s="2177"/>
      <c r="Y33" s="2177"/>
      <c r="Z33" s="2177"/>
      <c r="AA33" s="263"/>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5" t="s">
        <v>418</v>
      </c>
      <c r="T35" s="2175"/>
      <c r="U35" s="1298"/>
      <c r="V35" s="2176" t="str">
        <f>IF(TITLE_DATE_PR_CHANGE="",IF(TITLE_DATE_PR="","",TITLE_DATE_PR),TITLE_DATE_PR_CHANGE)</f>
        <v/>
      </c>
      <c r="W35" s="2176"/>
      <c r="X35" s="2176"/>
      <c r="Y35" s="2176"/>
      <c r="Z35" s="2176"/>
      <c r="AA35" s="263"/>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5" t="s">
        <v>419</v>
      </c>
      <c r="T36" s="2175"/>
      <c r="U36" s="1298"/>
      <c r="V36" s="2177" t="str">
        <f>IF(TITLE_NUMBER_PR_CHANGE="",IF(TITLE_NUMBER_PR="","",TITLE_NUMBER_PR),TITLE_NUMBER_PR_CHANGE)</f>
        <v/>
      </c>
      <c r="W36" s="2177"/>
      <c r="X36" s="2177"/>
      <c r="Y36" s="2177"/>
      <c r="Z36" s="2177"/>
      <c r="AA36" s="263"/>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422</v>
      </c>
      <c r="AB37" s="263"/>
      <c r="AC37" s="263"/>
      <c r="AD37" s="263"/>
      <c r="AE37" s="263"/>
      <c r="AF37" s="263"/>
      <c r="AG37" s="263"/>
      <c r="AH37" s="263"/>
      <c r="AI37" s="263"/>
      <c r="AJ37" s="263"/>
      <c r="AK37" s="263"/>
      <c r="AL37" s="263"/>
      <c r="AM37" s="263"/>
      <c r="AN37" s="263"/>
      <c r="AO37" s="263"/>
      <c r="AP37" s="263"/>
      <c r="AQ37" s="263"/>
      <c r="AR37" s="263"/>
      <c r="AS37" s="215" t="s">
        <v>422</v>
      </c>
      <c r="AV37" s="304"/>
      <c r="AW37" s="304"/>
      <c r="AX37" s="304"/>
      <c r="AY37" s="304"/>
      <c r="AZ37" s="304"/>
      <c r="BA37" s="354">
        <v>1</v>
      </c>
    </row>
    <row r="38" spans="1:53" ht="14.65" customHeight="1">
      <c r="Q38" s="228"/>
      <c r="R38" s="312"/>
      <c r="S38" s="1201"/>
      <c r="T38" s="299"/>
      <c r="U38" s="1170"/>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1">
        <v>14</v>
      </c>
    </row>
    <row r="39" spans="1:53" ht="14.65" customHeight="1">
      <c r="Q39" s="228"/>
      <c r="R39" s="312"/>
      <c r="S39" s="2056" t="s">
        <v>295</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296</v>
      </c>
      <c r="BA39" s="1081">
        <v>14</v>
      </c>
    </row>
    <row r="40" spans="1:53" ht="14.65" customHeight="1">
      <c r="Q40" s="228"/>
      <c r="R40" s="312"/>
      <c r="S40" s="2197" t="s">
        <v>84</v>
      </c>
      <c r="T40" s="2145" t="s">
        <v>468</v>
      </c>
      <c r="U40" s="238"/>
      <c r="V40" s="2199"/>
      <c r="W40" s="2199"/>
      <c r="X40" s="2199"/>
      <c r="Y40" s="2199"/>
      <c r="Z40" s="2200"/>
      <c r="AA40" s="2246" t="s">
        <v>425</v>
      </c>
      <c r="AB40" s="2230" t="s">
        <v>469</v>
      </c>
      <c r="AC40" s="2214"/>
      <c r="AD40" s="2214"/>
      <c r="AE40" s="2231"/>
      <c r="AF40" s="2214" t="s">
        <v>470</v>
      </c>
      <c r="AG40" s="2214"/>
      <c r="AH40" s="2214"/>
      <c r="AI40" s="2231"/>
      <c r="AJ40" s="2230" t="s">
        <v>471</v>
      </c>
      <c r="AK40" s="2214"/>
      <c r="AL40" s="2214"/>
      <c r="AM40" s="2231"/>
      <c r="AN40" s="2230" t="s">
        <v>424</v>
      </c>
      <c r="AO40" s="2214"/>
      <c r="AP40" s="2199"/>
      <c r="AQ40" s="2199"/>
      <c r="AR40" s="2200"/>
      <c r="AS40" s="2201" t="s">
        <v>425</v>
      </c>
      <c r="AT40" s="2204" t="s">
        <v>427</v>
      </c>
      <c r="AU40" s="2056"/>
      <c r="BA40" s="1081">
        <v>14</v>
      </c>
    </row>
    <row r="41" spans="1:53" ht="35.65" customHeight="1">
      <c r="Q41" s="228"/>
      <c r="R41" s="312"/>
      <c r="S41" s="2197"/>
      <c r="T41" s="2145"/>
      <c r="U41" s="960"/>
      <c r="V41" s="2056" t="s">
        <v>472</v>
      </c>
      <c r="W41" s="2056"/>
      <c r="X41" s="2116" t="s">
        <v>431</v>
      </c>
      <c r="Y41" s="2226"/>
      <c r="Z41" s="2117"/>
      <c r="AA41" s="2247"/>
      <c r="AB41" s="2232"/>
      <c r="AC41" s="2233"/>
      <c r="AD41" s="2233"/>
      <c r="AE41" s="2245"/>
      <c r="AF41" s="2233"/>
      <c r="AG41" s="2233"/>
      <c r="AH41" s="2233"/>
      <c r="AI41" s="2245"/>
      <c r="AJ41" s="2232"/>
      <c r="AK41" s="2233"/>
      <c r="AL41" s="2233"/>
      <c r="AM41" s="2233"/>
      <c r="AN41" s="2056" t="s">
        <v>472</v>
      </c>
      <c r="AO41" s="2056"/>
      <c r="AP41" s="2226" t="s">
        <v>431</v>
      </c>
      <c r="AQ41" s="2226"/>
      <c r="AR41" s="2117"/>
      <c r="AS41" s="2202"/>
      <c r="AT41" s="2205"/>
      <c r="AU41" s="2056"/>
      <c r="BA41" s="1081">
        <v>34</v>
      </c>
    </row>
    <row r="42" spans="1:53" ht="14.65" customHeight="1">
      <c r="Q42" s="228"/>
      <c r="R42" s="312"/>
      <c r="S42" s="2197"/>
      <c r="T42" s="2145"/>
      <c r="U42" s="960"/>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1">
        <v>14</v>
      </c>
    </row>
    <row r="43" spans="1:53" ht="14.65" customHeight="1">
      <c r="A43" s="1296"/>
      <c r="B43" s="1296" t="s">
        <v>132</v>
      </c>
      <c r="C43" s="1296" t="s">
        <v>133</v>
      </c>
      <c r="D43" s="1296" t="s">
        <v>134</v>
      </c>
      <c r="E43" s="1290" t="s">
        <v>432</v>
      </c>
      <c r="F43" s="1290" t="s">
        <v>433</v>
      </c>
      <c r="G43" s="1290" t="s">
        <v>434</v>
      </c>
      <c r="H43" s="1290" t="s">
        <v>435</v>
      </c>
      <c r="I43" s="1290" t="s">
        <v>436</v>
      </c>
      <c r="J43" s="1290" t="s">
        <v>437</v>
      </c>
      <c r="K43" s="1290" t="s">
        <v>438</v>
      </c>
      <c r="L43" s="1290" t="s">
        <v>413</v>
      </c>
      <c r="Q43" s="228"/>
      <c r="R43" s="312"/>
      <c r="S43" s="2197"/>
      <c r="T43" s="2145"/>
      <c r="U43" s="239"/>
      <c r="V43" s="1256" t="s">
        <v>473</v>
      </c>
      <c r="W43" s="1256" t="s">
        <v>474</v>
      </c>
      <c r="X43" s="1264" t="s">
        <v>441</v>
      </c>
      <c r="Y43" s="2150" t="s">
        <v>442</v>
      </c>
      <c r="Z43" s="2164"/>
      <c r="AA43" s="2248"/>
      <c r="AB43" s="2234"/>
      <c r="AC43" s="2235"/>
      <c r="AD43" s="2235"/>
      <c r="AE43" s="2236"/>
      <c r="AF43" s="2235"/>
      <c r="AG43" s="2235"/>
      <c r="AH43" s="2235"/>
      <c r="AI43" s="2236"/>
      <c r="AJ43" s="2234"/>
      <c r="AK43" s="2235"/>
      <c r="AL43" s="2235"/>
      <c r="AM43" s="2236"/>
      <c r="AN43" s="1785" t="s">
        <v>473</v>
      </c>
      <c r="AO43" s="1785" t="s">
        <v>474</v>
      </c>
      <c r="AP43" s="1264" t="s">
        <v>441</v>
      </c>
      <c r="AQ43" s="2150" t="s">
        <v>442</v>
      </c>
      <c r="AR43" s="2164"/>
      <c r="AS43" s="2203"/>
      <c r="AT43" s="2206"/>
      <c r="AU43" s="2056"/>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105</v>
      </c>
      <c r="T44" s="1181" t="s">
        <v>106</v>
      </c>
      <c r="U44" s="1171" t="str">
        <f ca="1">OFFSET(U44,0,-1)</f>
        <v>2</v>
      </c>
      <c r="V44" s="1261">
        <f ca="1">OFFSET(V44,0,-1)+1</f>
        <v>3</v>
      </c>
      <c r="W44" s="1261">
        <f ca="1">OFFSET(W44,0,-1)+1</f>
        <v>4</v>
      </c>
      <c r="X44" s="1261">
        <f ca="1">OFFSET(X44,0,-1)+1</f>
        <v>5</v>
      </c>
      <c r="Y44" s="2195">
        <f ca="1">OFFSET(Y44,0,-1)+1</f>
        <v>6</v>
      </c>
      <c r="Z44" s="2195"/>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5">
        <f ca="1">OFFSET(AQ44,0,-1)+1</f>
        <v>4</v>
      </c>
      <c r="AR44" s="2195"/>
      <c r="AS44" s="1261">
        <f ca="1">OFFSET(AS44,0,-2)+1</f>
        <v>5</v>
      </c>
      <c r="AT44" s="1171">
        <f ca="1">OFFSET(AT44,0,-1)</f>
        <v>5</v>
      </c>
      <c r="AU44" s="1261">
        <f ca="1">OFFSET(AU44,0,-1)+1</f>
        <v>6</v>
      </c>
      <c r="AV44" s="447"/>
      <c r="AW44" s="447"/>
      <c r="AX44" s="447"/>
      <c r="AY44" s="447"/>
      <c r="AZ44" s="447"/>
      <c r="BA44" s="432">
        <v>0</v>
      </c>
    </row>
    <row r="45" spans="1:53" ht="107.25" customHeight="1">
      <c r="A45" s="1289" t="s">
        <v>195</v>
      </c>
      <c r="B45" s="1289"/>
      <c r="C45" s="1289"/>
      <c r="D45" s="1289"/>
      <c r="E45" s="2184">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120</v>
      </c>
      <c r="U45" s="237"/>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195</v>
      </c>
      <c r="B46" s="1289" t="s">
        <v>196</v>
      </c>
      <c r="C46" s="1289"/>
      <c r="D46" s="1289"/>
      <c r="E46" s="2185"/>
      <c r="F46" s="2184">
        <v>1</v>
      </c>
      <c r="G46" s="1289"/>
      <c r="H46" s="1289"/>
      <c r="I46" s="1289"/>
      <c r="J46" s="1289"/>
      <c r="K46" s="1289"/>
      <c r="L46" s="1290"/>
      <c r="M46" s="1291"/>
      <c r="N46" s="1291"/>
      <c r="O46" s="1291"/>
      <c r="P46" s="1336"/>
      <c r="Q46" s="1337"/>
      <c r="R46" s="289"/>
      <c r="S46" s="1262" t="str">
        <f>INDEX(PT_DIFFERENTIATION_NUM_TER,MATCH(B46,PT_DIFFERENTIATION_TER_ID,0))</f>
        <v>.</v>
      </c>
      <c r="T46" s="245" t="s">
        <v>392</v>
      </c>
      <c r="U46" s="237"/>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4" t="s">
        <v>393</v>
      </c>
      <c r="AW46" s="436"/>
      <c r="AX46" s="436" t="str">
        <f t="shared" si="2"/>
        <v>Территория действия тарифа</v>
      </c>
      <c r="AY46" s="436"/>
      <c r="AZ46" s="436"/>
      <c r="BA46" s="1081">
        <v>21</v>
      </c>
    </row>
    <row r="47" spans="1:53" ht="24" customHeight="1">
      <c r="A47" s="1289" t="s">
        <v>195</v>
      </c>
      <c r="B47" s="1289" t="s">
        <v>196</v>
      </c>
      <c r="C47" s="1289" t="s">
        <v>197</v>
      </c>
      <c r="D47" s="1289"/>
      <c r="E47" s="2185"/>
      <c r="F47" s="2185"/>
      <c r="G47" s="2184">
        <v>1</v>
      </c>
      <c r="H47" s="1289"/>
      <c r="I47" s="1289"/>
      <c r="J47" s="1289"/>
      <c r="K47" s="1289"/>
      <c r="L47" s="1290"/>
      <c r="M47" s="1291"/>
      <c r="N47" s="1291"/>
      <c r="O47" s="1291"/>
      <c r="P47" s="1338"/>
      <c r="Q47" s="1337"/>
      <c r="R47" s="289"/>
      <c r="S47" s="1262" t="str">
        <f>INDEX(PT_DIFFERENTIATION_NUM_CS,MATCH(C47,PT_DIFFERENTIATION_CS_ID,0))</f>
        <v>..</v>
      </c>
      <c r="T47" s="246" t="s">
        <v>394</v>
      </c>
      <c r="U47" s="237"/>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4" t="s">
        <v>395</v>
      </c>
      <c r="AW47" s="436"/>
      <c r="AX47" s="436" t="str">
        <f t="shared" si="2"/>
        <v xml:space="preserve">Наименование системы теплоснабжения </v>
      </c>
      <c r="AY47" s="436"/>
      <c r="AZ47" s="436"/>
      <c r="BA47" s="1081">
        <v>23</v>
      </c>
    </row>
    <row r="48" spans="1:53" ht="21" customHeight="1">
      <c r="A48" s="1289" t="s">
        <v>195</v>
      </c>
      <c r="B48" s="1289" t="s">
        <v>196</v>
      </c>
      <c r="C48" s="1289" t="s">
        <v>197</v>
      </c>
      <c r="D48" s="1289" t="s">
        <v>198</v>
      </c>
      <c r="E48" s="2185"/>
      <c r="F48" s="2185"/>
      <c r="G48" s="2185"/>
      <c r="H48" s="2184">
        <v>1</v>
      </c>
      <c r="I48" s="1289"/>
      <c r="J48" s="1289"/>
      <c r="K48" s="1289"/>
      <c r="L48" s="1290"/>
      <c r="M48" s="1291"/>
      <c r="N48" s="1291"/>
      <c r="O48" s="1291"/>
      <c r="P48" s="1338"/>
      <c r="Q48" s="1337"/>
      <c r="R48" s="289"/>
      <c r="S48" s="1262" t="str">
        <f>INDEX(PT_DIFFERENTIATION_NUM_IST_TE,MATCH(D48,PT_DIFFERENTIATION_IST_TE_ID,0))</f>
        <v>...</v>
      </c>
      <c r="T48" s="247" t="s">
        <v>396</v>
      </c>
      <c r="U48" s="237"/>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4" t="s">
        <v>397</v>
      </c>
      <c r="AW48" s="436"/>
      <c r="AX48" s="436" t="str">
        <f t="shared" si="2"/>
        <v xml:space="preserve">Источник тепловой энергии  </v>
      </c>
      <c r="AY48" s="436"/>
      <c r="AZ48" s="436"/>
      <c r="BA48" s="1081">
        <v>20</v>
      </c>
    </row>
    <row r="49" spans="1:53" s="1568" customFormat="1" ht="1.1499999999999999" customHeight="1">
      <c r="A49" s="1269" t="s">
        <v>195</v>
      </c>
      <c r="B49" s="1269" t="s">
        <v>196</v>
      </c>
      <c r="C49" s="1269" t="s">
        <v>197</v>
      </c>
      <c r="D49" s="1269" t="s">
        <v>198</v>
      </c>
      <c r="E49" s="2185"/>
      <c r="F49" s="2185"/>
      <c r="G49" s="2185"/>
      <c r="H49" s="2185"/>
      <c r="I49" s="2186" t="str">
        <f>S48&amp;".1"</f>
        <v>....1</v>
      </c>
      <c r="J49" s="1269"/>
      <c r="K49" s="1269"/>
      <c r="L49" s="1272" t="s">
        <v>398</v>
      </c>
      <c r="M49" s="446"/>
      <c r="N49" s="446"/>
      <c r="O49" s="446"/>
      <c r="P49" s="2188">
        <v>1</v>
      </c>
      <c r="Q49" s="1257"/>
      <c r="R49" s="292"/>
      <c r="S49" s="971"/>
      <c r="T49" s="1309"/>
      <c r="U49" s="1310"/>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1"/>
      <c r="AW49" s="436"/>
      <c r="AX49" s="436" t="str">
        <f t="shared" si="2"/>
        <v/>
      </c>
      <c r="AY49" s="436"/>
      <c r="AZ49" s="436"/>
      <c r="BA49" s="447">
        <v>1</v>
      </c>
    </row>
    <row r="50" spans="1:53" s="1568" customFormat="1" ht="1.1499999999999999" customHeight="1">
      <c r="A50" s="1269" t="s">
        <v>195</v>
      </c>
      <c r="B50" s="1269" t="s">
        <v>196</v>
      </c>
      <c r="C50" s="1269" t="s">
        <v>197</v>
      </c>
      <c r="D50" s="1269" t="s">
        <v>198</v>
      </c>
      <c r="E50" s="2185"/>
      <c r="F50" s="2185"/>
      <c r="G50" s="2185"/>
      <c r="H50" s="2185"/>
      <c r="I50" s="2187"/>
      <c r="J50" s="2186" t="str">
        <f>S48&amp;".1"</f>
        <v>....1</v>
      </c>
      <c r="K50" s="1269"/>
      <c r="L50" s="1272"/>
      <c r="M50" s="446"/>
      <c r="N50" s="446"/>
      <c r="O50" s="446"/>
      <c r="P50" s="2188"/>
      <c r="Q50" s="2188">
        <v>1</v>
      </c>
      <c r="R50" s="293"/>
      <c r="S50" s="971"/>
      <c r="T50" s="1325"/>
      <c r="U50" s="1310"/>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1"/>
      <c r="AW50" s="436"/>
      <c r="AX50" s="436" t="str">
        <f t="shared" si="2"/>
        <v/>
      </c>
      <c r="AY50" s="436"/>
      <c r="AZ50" s="436"/>
      <c r="BA50" s="447">
        <v>1</v>
      </c>
    </row>
    <row r="51" spans="1:53" ht="21.95" customHeight="1">
      <c r="A51" s="1289" t="s">
        <v>195</v>
      </c>
      <c r="B51" s="1289" t="s">
        <v>196</v>
      </c>
      <c r="C51" s="1289" t="s">
        <v>197</v>
      </c>
      <c r="D51" s="1289" t="s">
        <v>198</v>
      </c>
      <c r="E51" s="2185"/>
      <c r="F51" s="2185"/>
      <c r="G51" s="2185"/>
      <c r="H51" s="2185"/>
      <c r="I51" s="2187"/>
      <c r="J51" s="2187"/>
      <c r="K51" s="2186" t="str">
        <f>S48&amp;".1"</f>
        <v>....1</v>
      </c>
      <c r="L51" s="1290"/>
      <c r="P51" s="2188"/>
      <c r="Q51" s="2188"/>
      <c r="R51" s="293">
        <v>1</v>
      </c>
      <c r="S51" s="2241" t="str">
        <f>$K51</f>
        <v>....1</v>
      </c>
      <c r="T51" s="2238"/>
      <c r="U51" s="237"/>
      <c r="V51" s="687"/>
      <c r="W51" s="1183"/>
      <c r="X51" s="1660"/>
      <c r="Y51" s="1385" t="s">
        <v>66</v>
      </c>
      <c r="Z51" s="1660"/>
      <c r="AA51" s="1385" t="s">
        <v>66</v>
      </c>
      <c r="AB51" s="2066" t="s">
        <v>19</v>
      </c>
      <c r="AC51" s="2237"/>
      <c r="AD51" s="2141">
        <v>1</v>
      </c>
      <c r="AE51" s="2229" t="s">
        <v>22</v>
      </c>
      <c r="AF51" s="2066" t="s">
        <v>19</v>
      </c>
      <c r="AG51" s="2237"/>
      <c r="AH51" s="2141">
        <v>1</v>
      </c>
      <c r="AI51" s="2229" t="s">
        <v>22</v>
      </c>
      <c r="AJ51" s="2066" t="s">
        <v>19</v>
      </c>
      <c r="AK51" s="248"/>
      <c r="AL51" s="1263">
        <v>1</v>
      </c>
      <c r="AM51" s="1328"/>
      <c r="AN51" s="687"/>
      <c r="AO51" s="1183"/>
      <c r="AP51" s="1660"/>
      <c r="AQ51" s="1385" t="s">
        <v>66</v>
      </c>
      <c r="AR51" s="1660"/>
      <c r="AS51" s="1385" t="s">
        <v>66</v>
      </c>
      <c r="AT51" s="1274"/>
      <c r="AU51" s="2207" t="s">
        <v>475</v>
      </c>
      <c r="AV51" s="447" t="e">
        <f ca="1">STRCHECKDATE(V54:AT54)</f>
        <v>#NAME?</v>
      </c>
      <c r="AW51" s="436"/>
      <c r="AX51" s="436" t="str">
        <f t="shared" si="2"/>
        <v/>
      </c>
      <c r="AY51" s="436"/>
      <c r="AZ51" s="436"/>
      <c r="BA51" s="1081">
        <v>21</v>
      </c>
    </row>
    <row r="52" spans="1:53" ht="11.45" customHeight="1">
      <c r="A52" s="1289" t="s">
        <v>195</v>
      </c>
      <c r="B52" s="1289"/>
      <c r="C52" s="1289"/>
      <c r="D52" s="1289"/>
      <c r="E52" s="2185"/>
      <c r="F52" s="2185"/>
      <c r="G52" s="2185"/>
      <c r="H52" s="2185"/>
      <c r="I52" s="2187"/>
      <c r="J52" s="2187"/>
      <c r="K52" s="2186"/>
      <c r="L52" s="1290"/>
      <c r="P52" s="2188"/>
      <c r="Q52" s="2188"/>
      <c r="R52" s="293"/>
      <c r="S52" s="2242"/>
      <c r="T52" s="2239"/>
      <c r="U52" s="237"/>
      <c r="V52" s="1319"/>
      <c r="W52" s="1422"/>
      <c r="X52" s="1319"/>
      <c r="Y52" s="1319"/>
      <c r="Z52" s="1319"/>
      <c r="AA52" s="1319"/>
      <c r="AB52" s="2066"/>
      <c r="AC52" s="2237"/>
      <c r="AD52" s="2141"/>
      <c r="AE52" s="2229"/>
      <c r="AF52" s="2066"/>
      <c r="AG52" s="2237"/>
      <c r="AH52" s="2141"/>
      <c r="AI52" s="2229"/>
      <c r="AJ52" s="2066"/>
      <c r="AK52" s="253"/>
      <c r="AL52" s="352"/>
      <c r="AM52" s="351" t="s">
        <v>460</v>
      </c>
      <c r="AN52" s="1319"/>
      <c r="AO52" s="1422"/>
      <c r="AP52" s="1319"/>
      <c r="AQ52" s="1319"/>
      <c r="AR52" s="1319"/>
      <c r="AS52" s="1319"/>
      <c r="AT52" s="1316"/>
      <c r="AU52" s="2208"/>
      <c r="AW52" s="436"/>
      <c r="AX52" s="436"/>
      <c r="AY52" s="436"/>
      <c r="AZ52" s="436"/>
      <c r="BA52" s="1081">
        <v>11</v>
      </c>
    </row>
    <row r="53" spans="1:53" ht="11.45" customHeight="1">
      <c r="A53" s="1289" t="s">
        <v>195</v>
      </c>
      <c r="B53" s="1289"/>
      <c r="C53" s="1289"/>
      <c r="D53" s="1289"/>
      <c r="E53" s="2185"/>
      <c r="F53" s="2185"/>
      <c r="G53" s="2185"/>
      <c r="H53" s="2185"/>
      <c r="I53" s="2187"/>
      <c r="J53" s="2187"/>
      <c r="K53" s="2186"/>
      <c r="L53" s="1290"/>
      <c r="P53" s="2188"/>
      <c r="Q53" s="2188"/>
      <c r="R53" s="293"/>
      <c r="S53" s="2242"/>
      <c r="T53" s="2239"/>
      <c r="U53" s="237"/>
      <c r="V53" s="1319"/>
      <c r="W53" s="1422"/>
      <c r="X53" s="1319"/>
      <c r="Y53" s="1319"/>
      <c r="Z53" s="1319"/>
      <c r="AA53" s="1319"/>
      <c r="AB53" s="2066"/>
      <c r="AC53" s="2237"/>
      <c r="AD53" s="2141"/>
      <c r="AE53" s="2229"/>
      <c r="AF53" s="2066"/>
      <c r="AG53" s="231"/>
      <c r="AH53" s="351"/>
      <c r="AI53" s="351" t="s">
        <v>461</v>
      </c>
      <c r="AJ53" s="1319"/>
      <c r="AK53" s="1319"/>
      <c r="AL53" s="1319"/>
      <c r="AM53" s="1319"/>
      <c r="AN53" s="1319"/>
      <c r="AO53" s="1422"/>
      <c r="AP53" s="1319"/>
      <c r="AQ53" s="1319"/>
      <c r="AR53" s="1319"/>
      <c r="AS53" s="1319"/>
      <c r="AT53" s="1316"/>
      <c r="AU53" s="2208"/>
      <c r="AW53" s="436"/>
      <c r="AX53" s="436"/>
      <c r="AY53" s="436"/>
      <c r="AZ53" s="436"/>
      <c r="BA53" s="1081">
        <v>11</v>
      </c>
    </row>
    <row r="54" spans="1:53" ht="11.45" customHeight="1">
      <c r="A54" s="1289" t="s">
        <v>195</v>
      </c>
      <c r="B54" s="1289" t="s">
        <v>196</v>
      </c>
      <c r="C54" s="1289" t="s">
        <v>197</v>
      </c>
      <c r="D54" s="1289" t="s">
        <v>198</v>
      </c>
      <c r="E54" s="2185"/>
      <c r="F54" s="2185"/>
      <c r="G54" s="2185"/>
      <c r="H54" s="2185"/>
      <c r="I54" s="2187"/>
      <c r="J54" s="2187"/>
      <c r="K54" s="2186"/>
      <c r="L54" s="1290"/>
      <c r="P54" s="2188"/>
      <c r="Q54" s="2188"/>
      <c r="R54" s="293"/>
      <c r="S54" s="2243"/>
      <c r="T54" s="2240"/>
      <c r="U54" s="237"/>
      <c r="V54" s="1319"/>
      <c r="W54" s="1320" t="str">
        <f>X51&amp;"-"&amp;Z51</f>
        <v>-</v>
      </c>
      <c r="X54" s="1319"/>
      <c r="Y54" s="1319"/>
      <c r="Z54" s="1319"/>
      <c r="AA54" s="1319"/>
      <c r="AB54" s="2066"/>
      <c r="AC54" s="249"/>
      <c r="AD54" s="251"/>
      <c r="AE54" s="351" t="s">
        <v>462</v>
      </c>
      <c r="AF54" s="1319"/>
      <c r="AG54" s="1319"/>
      <c r="AH54" s="1319"/>
      <c r="AI54" s="1319"/>
      <c r="AJ54" s="1319"/>
      <c r="AK54" s="1319"/>
      <c r="AL54" s="1319"/>
      <c r="AM54" s="1319"/>
      <c r="AN54" s="1319"/>
      <c r="AO54" s="1320" t="str">
        <f>AP51&amp;"-"&amp;AR51</f>
        <v>-</v>
      </c>
      <c r="AP54" s="1319"/>
      <c r="AQ54" s="1319"/>
      <c r="AR54" s="1319"/>
      <c r="AS54" s="1319"/>
      <c r="AT54" s="1275"/>
      <c r="AU54" s="2208"/>
      <c r="AW54" s="436"/>
      <c r="AX54" s="436" t="str">
        <f t="shared" ref="AX54:AX62" si="3">IF(T54="","",T54)</f>
        <v/>
      </c>
      <c r="AY54" s="436"/>
      <c r="AZ54" s="436"/>
      <c r="BA54" s="1081">
        <v>11</v>
      </c>
    </row>
    <row r="55" spans="1:53" ht="11.45" customHeight="1">
      <c r="A55" s="1289" t="s">
        <v>195</v>
      </c>
      <c r="B55" s="1289" t="s">
        <v>196</v>
      </c>
      <c r="C55" s="1289" t="s">
        <v>197</v>
      </c>
      <c r="D55" s="1289" t="s">
        <v>198</v>
      </c>
      <c r="E55" s="2185"/>
      <c r="F55" s="2185"/>
      <c r="G55" s="2185"/>
      <c r="H55" s="2185"/>
      <c r="I55" s="2187"/>
      <c r="J55" s="2186"/>
      <c r="K55" s="1289"/>
      <c r="L55" s="1290"/>
      <c r="P55" s="2188"/>
      <c r="Q55" s="2188"/>
      <c r="R55" s="292"/>
      <c r="S55" s="1204"/>
      <c r="T55" s="224" t="s">
        <v>463</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09"/>
      <c r="AW55" s="436"/>
      <c r="AX55" s="436" t="str">
        <f t="shared" si="3"/>
        <v>Добавить строку</v>
      </c>
      <c r="AY55" s="436"/>
      <c r="AZ55" s="436"/>
      <c r="BA55" s="1081">
        <v>11</v>
      </c>
    </row>
    <row r="56" spans="1:53" s="1568" customFormat="1" ht="1.1499999999999999" customHeight="1">
      <c r="A56" s="1269" t="s">
        <v>195</v>
      </c>
      <c r="B56" s="1269" t="s">
        <v>196</v>
      </c>
      <c r="C56" s="1269" t="s">
        <v>197</v>
      </c>
      <c r="D56" s="1269" t="s">
        <v>198</v>
      </c>
      <c r="E56" s="2185"/>
      <c r="F56" s="2185"/>
      <c r="G56" s="2185"/>
      <c r="H56" s="2185"/>
      <c r="I56" s="2186"/>
      <c r="J56" s="1269"/>
      <c r="K56" s="1269"/>
      <c r="L56" s="1272"/>
      <c r="M56" s="446"/>
      <c r="N56" s="446"/>
      <c r="O56" s="446"/>
      <c r="P56" s="2188"/>
      <c r="Q56" s="1257"/>
      <c r="R56" s="292"/>
      <c r="S56" s="1312"/>
      <c r="T56" s="1313" t="s">
        <v>407</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195</v>
      </c>
      <c r="B57" s="1269" t="s">
        <v>196</v>
      </c>
      <c r="C57" s="1269" t="s">
        <v>197</v>
      </c>
      <c r="D57" s="1269" t="s">
        <v>198</v>
      </c>
      <c r="E57" s="2185"/>
      <c r="F57" s="2185"/>
      <c r="G57" s="2185"/>
      <c r="H57" s="2184"/>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195</v>
      </c>
      <c r="B58" s="1269" t="s">
        <v>196</v>
      </c>
      <c r="C58" s="1269" t="s">
        <v>197</v>
      </c>
      <c r="D58" s="1240"/>
      <c r="E58" s="2185"/>
      <c r="F58" s="2185"/>
      <c r="G58" s="2184"/>
      <c r="H58" s="1240"/>
      <c r="I58" s="1240"/>
      <c r="J58" s="1240"/>
      <c r="K58" s="1240"/>
      <c r="L58" s="1265"/>
      <c r="M58" s="1241"/>
      <c r="N58" s="1241"/>
      <c r="P58" s="1242"/>
      <c r="Q58" s="1243"/>
      <c r="R58" s="1242"/>
      <c r="S58" s="1248"/>
      <c r="T58" s="1251" t="s">
        <v>409</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195</v>
      </c>
      <c r="B59" s="1269" t="s">
        <v>196</v>
      </c>
      <c r="C59" s="1240"/>
      <c r="D59" s="1240"/>
      <c r="E59" s="2185"/>
      <c r="F59" s="2184"/>
      <c r="G59" s="1240"/>
      <c r="H59" s="1240"/>
      <c r="I59" s="1240"/>
      <c r="J59" s="1240"/>
      <c r="K59" s="1240"/>
      <c r="L59" s="1265"/>
      <c r="M59" s="1247"/>
      <c r="N59" s="1247"/>
      <c r="P59" s="1242"/>
      <c r="Q59" s="1243"/>
      <c r="R59" s="1242"/>
      <c r="S59" s="1248"/>
      <c r="T59" s="1251" t="s">
        <v>410</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195</v>
      </c>
      <c r="B60" s="1269"/>
      <c r="C60" s="1269"/>
      <c r="D60" s="1269"/>
      <c r="E60" s="2185"/>
      <c r="F60" s="1269"/>
      <c r="G60" s="1269"/>
      <c r="H60" s="1269"/>
      <c r="I60" s="1269"/>
      <c r="J60" s="1269"/>
      <c r="K60" s="1269"/>
      <c r="L60" s="1272"/>
      <c r="M60" s="1247"/>
      <c r="N60" s="1247"/>
      <c r="O60" s="454"/>
      <c r="P60" s="316"/>
      <c r="Q60" s="1270"/>
      <c r="R60" s="316"/>
      <c r="S60" s="1248"/>
      <c r="T60" s="1251" t="s">
        <v>411</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195</v>
      </c>
      <c r="B61" s="1269"/>
      <c r="C61" s="1269"/>
      <c r="D61" s="1269"/>
      <c r="E61" s="2184"/>
      <c r="F61" s="1269"/>
      <c r="G61" s="1269"/>
      <c r="H61" s="1269"/>
      <c r="I61" s="1269"/>
      <c r="J61" s="1269"/>
      <c r="K61" s="1269"/>
      <c r="L61" s="1272"/>
      <c r="M61" s="1247"/>
      <c r="N61" s="1247"/>
      <c r="O61" s="454"/>
      <c r="P61" s="316"/>
      <c r="Q61" s="1270"/>
      <c r="R61" s="316"/>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1">
        <v>19</v>
      </c>
    </row>
    <row r="65" spans="1:53" ht="21" customHeight="1">
      <c r="O65" s="473"/>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1">
        <v>19</v>
      </c>
    </row>
    <row r="68" spans="1:53" ht="16.899999999999999" customHeight="1">
      <c r="O68" s="473"/>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1">
        <v>16</v>
      </c>
    </row>
    <row r="69" spans="1:53" ht="14.65" customHeight="1">
      <c r="O69" s="473"/>
      <c r="BA69" s="1081">
        <v>14</v>
      </c>
    </row>
    <row r="70" spans="1:53" ht="22.5" hidden="1" customHeight="1">
      <c r="A70" s="1086" t="s">
        <v>78</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51"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49"/>
      <c r="Q3" s="288"/>
      <c r="R3" s="289"/>
      <c r="S3" s="1351"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51"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48"/>
      <c r="R5" s="292"/>
      <c r="S5" s="1351"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51"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51"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50"/>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48"/>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52"/>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47"/>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278" t="s">
        <v>484</v>
      </c>
      <c r="W38" s="2038" t="s">
        <v>430</v>
      </c>
      <c r="X38" s="2037"/>
      <c r="Y38" s="2038" t="s">
        <v>431</v>
      </c>
      <c r="Z38" s="2043"/>
      <c r="AA38" s="2037"/>
      <c r="AB38" s="2202"/>
      <c r="AC38" s="12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278" t="s">
        <v>487</v>
      </c>
      <c r="W39" s="1148" t="s">
        <v>488</v>
      </c>
      <c r="X39" s="1148" t="s">
        <v>489</v>
      </c>
      <c r="Y39" s="1283" t="s">
        <v>441</v>
      </c>
      <c r="Z39" s="2150" t="s">
        <v>442</v>
      </c>
      <c r="AA39" s="2164"/>
      <c r="AB39" s="2203"/>
      <c r="AC39" s="1278" t="s">
        <v>487</v>
      </c>
      <c r="AD39" s="1148" t="s">
        <v>488</v>
      </c>
      <c r="AE39" s="1148" t="s">
        <v>489</v>
      </c>
      <c r="AF39" s="1283" t="s">
        <v>441</v>
      </c>
      <c r="AG39" s="2150" t="s">
        <v>442</v>
      </c>
      <c r="AH39" s="2164"/>
      <c r="AI39" s="2203"/>
      <c r="AJ39" s="2206"/>
      <c r="AK39" s="2056"/>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279">
        <f ca="1">OFFSET(V40,0,-1)+1</f>
        <v>3</v>
      </c>
      <c r="W40" s="1279">
        <f ca="1">OFFSET(W40,0,-1)+1</f>
        <v>4</v>
      </c>
      <c r="X40" s="1279">
        <f ca="1">OFFSET(X40,0,-1)+1</f>
        <v>5</v>
      </c>
      <c r="Y40" s="1279">
        <f ca="1">OFFSET(Y40,0,-1)+1</f>
        <v>6</v>
      </c>
      <c r="Z40" s="2195">
        <f ca="1">OFFSET(Z40,0,-1)+1</f>
        <v>7</v>
      </c>
      <c r="AA40" s="2195"/>
      <c r="AB40" s="1279">
        <f ca="1">OFFSET(AB40,0,-2)+1</f>
        <v>8</v>
      </c>
      <c r="AC40" s="1279">
        <f ca="1">OFFSET(AC40,0,-1)+1</f>
        <v>9</v>
      </c>
      <c r="AD40" s="1279">
        <f ca="1">OFFSET(AD40,0,-1)+1</f>
        <v>10</v>
      </c>
      <c r="AE40" s="1279">
        <f ca="1">OFFSET(AE40,0,-1)+1</f>
        <v>11</v>
      </c>
      <c r="AF40" s="1279">
        <f ca="1">OFFSET(AF40,0,-1)+1</f>
        <v>12</v>
      </c>
      <c r="AG40" s="2195">
        <f ca="1">OFFSET(AG40,0,-1)+1</f>
        <v>13</v>
      </c>
      <c r="AH40" s="2195"/>
      <c r="AI40" s="1279">
        <f ca="1">OFFSET(AI40,0,-2)+1</f>
        <v>14</v>
      </c>
      <c r="AJ40" s="1171">
        <f ca="1">OFFSET(AJ40,0,-1)</f>
        <v>14</v>
      </c>
      <c r="AK40" s="1279">
        <f ca="1">OFFSET(AK40,0,-1)+1</f>
        <v>15</v>
      </c>
      <c r="AL40" s="447"/>
      <c r="AM40" s="447"/>
      <c r="AN40" s="447"/>
      <c r="AO40" s="447"/>
      <c r="AP40" s="447"/>
      <c r="AQ40" s="432">
        <v>0</v>
      </c>
    </row>
    <row r="41" spans="1:43" ht="24" customHeight="1">
      <c r="A41" s="1289" t="s">
        <v>221</v>
      </c>
      <c r="B41" s="1289"/>
      <c r="C41" s="1289"/>
      <c r="D41" s="1289"/>
      <c r="E41" s="2184">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221</v>
      </c>
      <c r="B42" s="1289" t="s">
        <v>222</v>
      </c>
      <c r="C42" s="1289"/>
      <c r="D42" s="1289"/>
      <c r="E42" s="2185"/>
      <c r="F42" s="2184">
        <v>1</v>
      </c>
      <c r="G42" s="1289"/>
      <c r="H42" s="1289"/>
      <c r="I42" s="1289"/>
      <c r="J42" s="1289"/>
      <c r="K42" s="1289"/>
      <c r="L42" s="1290"/>
      <c r="M42" s="1291"/>
      <c r="N42" s="1291"/>
      <c r="O42" s="1291"/>
      <c r="P42" s="1282"/>
      <c r="Q42" s="288"/>
      <c r="R42" s="289"/>
      <c r="S42" s="1284"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221</v>
      </c>
      <c r="B43" s="1289" t="s">
        <v>222</v>
      </c>
      <c r="C43" s="1289" t="s">
        <v>223</v>
      </c>
      <c r="D43" s="1289"/>
      <c r="E43" s="2185"/>
      <c r="F43" s="2185"/>
      <c r="G43" s="2184">
        <v>1</v>
      </c>
      <c r="H43" s="1289"/>
      <c r="I43" s="1289"/>
      <c r="J43" s="1289"/>
      <c r="K43" s="1289"/>
      <c r="L43" s="1290"/>
      <c r="M43" s="1291"/>
      <c r="N43" s="1291"/>
      <c r="O43" s="1291"/>
      <c r="P43" s="290"/>
      <c r="Q43" s="288"/>
      <c r="R43" s="289"/>
      <c r="S43" s="1284"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221</v>
      </c>
      <c r="B44" s="1289" t="s">
        <v>222</v>
      </c>
      <c r="C44" s="1289" t="s">
        <v>223</v>
      </c>
      <c r="D44" s="1289" t="s">
        <v>490</v>
      </c>
      <c r="E44" s="2185"/>
      <c r="F44" s="2185"/>
      <c r="G44" s="2185"/>
      <c r="H44" s="2185"/>
      <c r="I44" s="2186" t="str">
        <f>S43&amp;".1"</f>
        <v>...1</v>
      </c>
      <c r="J44" s="1289"/>
      <c r="K44" s="1289"/>
      <c r="L44" s="1290"/>
      <c r="P44" s="2188">
        <v>1</v>
      </c>
      <c r="Q44" s="1280"/>
      <c r="R44" s="292"/>
      <c r="S44" s="1284"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221</v>
      </c>
      <c r="B45" s="1289" t="s">
        <v>222</v>
      </c>
      <c r="C45" s="1289" t="s">
        <v>223</v>
      </c>
      <c r="D45" s="1289" t="s">
        <v>490</v>
      </c>
      <c r="E45" s="2185"/>
      <c r="F45" s="2185"/>
      <c r="G45" s="2185"/>
      <c r="H45" s="2185"/>
      <c r="I45" s="2187"/>
      <c r="J45" s="2186" t="str">
        <f>I44&amp;".1"</f>
        <v>...1.1</v>
      </c>
      <c r="K45" s="1289"/>
      <c r="L45" s="1290" t="s">
        <v>401</v>
      </c>
      <c r="P45" s="2188"/>
      <c r="Q45" s="2188">
        <v>1</v>
      </c>
      <c r="R45" s="293"/>
      <c r="S45" s="1284"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221</v>
      </c>
      <c r="B46" s="1289" t="s">
        <v>222</v>
      </c>
      <c r="C46" s="1289" t="s">
        <v>223</v>
      </c>
      <c r="D46" s="1289" t="s">
        <v>490</v>
      </c>
      <c r="E46" s="2185"/>
      <c r="F46" s="2185"/>
      <c r="G46" s="2185"/>
      <c r="H46" s="2185"/>
      <c r="I46" s="2187"/>
      <c r="J46" s="2187"/>
      <c r="K46" s="2186" t="str">
        <f>J45&amp;".1"</f>
        <v>...1.1.1</v>
      </c>
      <c r="L46" s="1290"/>
      <c r="P46" s="2188"/>
      <c r="Q46" s="2188"/>
      <c r="R46" s="293">
        <v>1</v>
      </c>
      <c r="S46" s="1284" t="str">
        <f>$K46</f>
        <v>...1.1.1</v>
      </c>
      <c r="T46" s="1363"/>
      <c r="U46" s="237"/>
      <c r="V46" s="1286"/>
      <c r="W46" s="1286"/>
      <c r="X46" s="1287"/>
      <c r="Y46" s="2182"/>
      <c r="Z46" s="2181" t="s">
        <v>66</v>
      </c>
      <c r="AA46" s="2182"/>
      <c r="AB46" s="2181" t="s">
        <v>66</v>
      </c>
      <c r="AC46" s="687"/>
      <c r="AD46" s="687"/>
      <c r="AE46" s="1183"/>
      <c r="AF46" s="2189"/>
      <c r="AG46" s="2066" t="s">
        <v>66</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221</v>
      </c>
      <c r="B47" s="1289" t="s">
        <v>222</v>
      </c>
      <c r="C47" s="1289" t="s">
        <v>223</v>
      </c>
      <c r="D47" s="1289" t="s">
        <v>490</v>
      </c>
      <c r="E47" s="2185"/>
      <c r="F47" s="2185"/>
      <c r="G47" s="2185"/>
      <c r="H47" s="2185"/>
      <c r="I47" s="2187"/>
      <c r="J47" s="2187"/>
      <c r="K47" s="2186"/>
      <c r="L47" s="1290"/>
      <c r="P47" s="2188"/>
      <c r="Q47" s="2188"/>
      <c r="R47" s="293"/>
      <c r="S47" s="1285"/>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221</v>
      </c>
      <c r="B48" s="1289" t="s">
        <v>222</v>
      </c>
      <c r="C48" s="1289" t="s">
        <v>223</v>
      </c>
      <c r="D48" s="1289" t="s">
        <v>490</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221</v>
      </c>
      <c r="B49" s="1289" t="s">
        <v>222</v>
      </c>
      <c r="C49" s="1289" t="s">
        <v>223</v>
      </c>
      <c r="D49" s="1289" t="s">
        <v>490</v>
      </c>
      <c r="E49" s="2185"/>
      <c r="F49" s="2185"/>
      <c r="G49" s="2185"/>
      <c r="H49" s="2185"/>
      <c r="I49" s="2186"/>
      <c r="J49" s="1289"/>
      <c r="K49" s="1289"/>
      <c r="L49" s="1290"/>
      <c r="P49" s="2188"/>
      <c r="Q49" s="1280"/>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221</v>
      </c>
      <c r="B50" s="1289" t="s">
        <v>222</v>
      </c>
      <c r="C50" s="1289" t="s">
        <v>223</v>
      </c>
      <c r="D50" s="1289" t="s">
        <v>490</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221</v>
      </c>
      <c r="B51" s="1269" t="s">
        <v>222</v>
      </c>
      <c r="C51" s="1240"/>
      <c r="D51" s="1240"/>
      <c r="E51" s="2185"/>
      <c r="F51" s="2184"/>
      <c r="G51" s="1240"/>
      <c r="H51" s="1240"/>
      <c r="I51" s="1240"/>
      <c r="J51" s="1240"/>
      <c r="K51" s="1240"/>
      <c r="L51" s="1352"/>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221</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83"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378" t="s">
        <v>484</v>
      </c>
      <c r="W38" s="2038" t="s">
        <v>430</v>
      </c>
      <c r="X38" s="2037"/>
      <c r="Y38" s="2038" t="s">
        <v>431</v>
      </c>
      <c r="Z38" s="2043"/>
      <c r="AA38" s="2037"/>
      <c r="AB38" s="2202"/>
      <c r="AC38" s="13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378" t="s">
        <v>487</v>
      </c>
      <c r="W39" s="1148" t="s">
        <v>488</v>
      </c>
      <c r="X39" s="1148" t="s">
        <v>489</v>
      </c>
      <c r="Y39" s="1381" t="s">
        <v>441</v>
      </c>
      <c r="Z39" s="2150" t="s">
        <v>442</v>
      </c>
      <c r="AA39" s="2164"/>
      <c r="AB39" s="2203"/>
      <c r="AC39" s="1378" t="s">
        <v>487</v>
      </c>
      <c r="AD39" s="1148" t="s">
        <v>488</v>
      </c>
      <c r="AE39" s="1148" t="s">
        <v>489</v>
      </c>
      <c r="AF39" s="1381" t="s">
        <v>441</v>
      </c>
      <c r="AG39" s="2150" t="s">
        <v>442</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226</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491</v>
      </c>
      <c r="E44" s="2185"/>
      <c r="F44" s="2185"/>
      <c r="G44" s="2185"/>
      <c r="H44" s="2185"/>
      <c r="I44" s="2186" t="str">
        <f>S43&amp;".1"</f>
        <v>...1</v>
      </c>
      <c r="J44" s="1289"/>
      <c r="K44" s="1289"/>
      <c r="L44" s="1290"/>
      <c r="P44" s="2188">
        <v>1</v>
      </c>
      <c r="Q44" s="1376"/>
      <c r="R44" s="292"/>
      <c r="S44" s="1383"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491</v>
      </c>
      <c r="E45" s="2185"/>
      <c r="F45" s="2185"/>
      <c r="G45" s="2185"/>
      <c r="H45" s="2185"/>
      <c r="I45" s="2187"/>
      <c r="J45" s="2186" t="str">
        <f>I44&amp;".1"</f>
        <v>...1.1</v>
      </c>
      <c r="K45" s="1289"/>
      <c r="L45" s="1290" t="s">
        <v>401</v>
      </c>
      <c r="P45" s="2188"/>
      <c r="Q45" s="2188">
        <v>1</v>
      </c>
      <c r="R45" s="293"/>
      <c r="S45" s="1383"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226</v>
      </c>
      <c r="B46" s="1289" t="s">
        <v>227</v>
      </c>
      <c r="C46" s="1289" t="s">
        <v>228</v>
      </c>
      <c r="D46" s="1289" t="s">
        <v>491</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66</v>
      </c>
      <c r="AA46" s="2189"/>
      <c r="AB46" s="2066" t="s">
        <v>66</v>
      </c>
      <c r="AC46" s="687"/>
      <c r="AD46" s="687"/>
      <c r="AE46" s="1183"/>
      <c r="AF46" s="2189"/>
      <c r="AG46" s="2066" t="s">
        <v>66</v>
      </c>
      <c r="AH46" s="2191"/>
      <c r="AI46" s="2066" t="s">
        <v>66</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491</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226</v>
      </c>
      <c r="B48" s="1289" t="s">
        <v>227</v>
      </c>
      <c r="C48" s="1289" t="s">
        <v>228</v>
      </c>
      <c r="D48" s="1289" t="s">
        <v>491</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226</v>
      </c>
      <c r="B49" s="1289" t="s">
        <v>227</v>
      </c>
      <c r="C49" s="1289" t="s">
        <v>228</v>
      </c>
      <c r="D49" s="1289" t="s">
        <v>491</v>
      </c>
      <c r="E49" s="2185"/>
      <c r="F49" s="2185"/>
      <c r="G49" s="2185"/>
      <c r="H49" s="2185"/>
      <c r="I49" s="2186"/>
      <c r="J49" s="1289"/>
      <c r="K49" s="1289"/>
      <c r="L49" s="1290"/>
      <c r="P49" s="2188"/>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226</v>
      </c>
      <c r="B50" s="1289" t="s">
        <v>227</v>
      </c>
      <c r="C50" s="1289" t="s">
        <v>228</v>
      </c>
      <c r="D50" s="1289" t="s">
        <v>491</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185"/>
      <c r="F51" s="2184"/>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83"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378" t="s">
        <v>484</v>
      </c>
      <c r="W38" s="2038" t="s">
        <v>430</v>
      </c>
      <c r="X38" s="2037"/>
      <c r="Y38" s="2038" t="s">
        <v>431</v>
      </c>
      <c r="Z38" s="2043"/>
      <c r="AA38" s="2037"/>
      <c r="AB38" s="2202"/>
      <c r="AC38" s="13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378" t="s">
        <v>487</v>
      </c>
      <c r="W39" s="1148" t="s">
        <v>488</v>
      </c>
      <c r="X39" s="1148" t="s">
        <v>489</v>
      </c>
      <c r="Y39" s="1381" t="s">
        <v>441</v>
      </c>
      <c r="Z39" s="2150" t="s">
        <v>442</v>
      </c>
      <c r="AA39" s="2164"/>
      <c r="AB39" s="2203"/>
      <c r="AC39" s="1378" t="s">
        <v>487</v>
      </c>
      <c r="AD39" s="1148" t="s">
        <v>488</v>
      </c>
      <c r="AE39" s="1148" t="s">
        <v>489</v>
      </c>
      <c r="AF39" s="1381" t="s">
        <v>441</v>
      </c>
      <c r="AG39" s="2150" t="s">
        <v>442</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231</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492</v>
      </c>
      <c r="E44" s="2185"/>
      <c r="F44" s="2185"/>
      <c r="G44" s="2185"/>
      <c r="H44" s="2185"/>
      <c r="I44" s="2186" t="str">
        <f>S43&amp;".1"</f>
        <v>...1</v>
      </c>
      <c r="J44" s="1289"/>
      <c r="K44" s="1289"/>
      <c r="L44" s="1290"/>
      <c r="P44" s="2188">
        <v>1</v>
      </c>
      <c r="Q44" s="1376"/>
      <c r="R44" s="292"/>
      <c r="S44" s="1383"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492</v>
      </c>
      <c r="E45" s="2185"/>
      <c r="F45" s="2185"/>
      <c r="G45" s="2185"/>
      <c r="H45" s="2185"/>
      <c r="I45" s="2187"/>
      <c r="J45" s="2186" t="str">
        <f>I44&amp;".1"</f>
        <v>...1.1</v>
      </c>
      <c r="K45" s="1289"/>
      <c r="L45" s="1290" t="s">
        <v>401</v>
      </c>
      <c r="P45" s="2188"/>
      <c r="Q45" s="2188">
        <v>1</v>
      </c>
      <c r="R45" s="293"/>
      <c r="S45" s="1383"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231</v>
      </c>
      <c r="B46" s="1289" t="s">
        <v>232</v>
      </c>
      <c r="C46" s="1289" t="s">
        <v>233</v>
      </c>
      <c r="D46" s="1289" t="s">
        <v>492</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66</v>
      </c>
      <c r="AA46" s="2189"/>
      <c r="AB46" s="2066" t="s">
        <v>66</v>
      </c>
      <c r="AC46" s="687"/>
      <c r="AD46" s="687"/>
      <c r="AE46" s="1183"/>
      <c r="AF46" s="2189"/>
      <c r="AG46" s="2066" t="s">
        <v>66</v>
      </c>
      <c r="AH46" s="2191"/>
      <c r="AI46" s="2066" t="s">
        <v>66</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492</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231</v>
      </c>
      <c r="B48" s="1289" t="s">
        <v>232</v>
      </c>
      <c r="C48" s="1289" t="s">
        <v>233</v>
      </c>
      <c r="D48" s="1289" t="s">
        <v>492</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231</v>
      </c>
      <c r="B49" s="1289" t="s">
        <v>232</v>
      </c>
      <c r="C49" s="1289" t="s">
        <v>233</v>
      </c>
      <c r="D49" s="1289" t="s">
        <v>492</v>
      </c>
      <c r="E49" s="2185"/>
      <c r="F49" s="2185"/>
      <c r="G49" s="2185"/>
      <c r="H49" s="2185"/>
      <c r="I49" s="2186"/>
      <c r="J49" s="1289"/>
      <c r="K49" s="1289"/>
      <c r="L49" s="1290"/>
      <c r="P49" s="2188"/>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231</v>
      </c>
      <c r="B50" s="1289" t="s">
        <v>232</v>
      </c>
      <c r="C50" s="1289" t="s">
        <v>233</v>
      </c>
      <c r="D50" s="1289" t="s">
        <v>492</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185"/>
      <c r="F51" s="2184"/>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83"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378" t="s">
        <v>484</v>
      </c>
      <c r="W38" s="2038" t="s">
        <v>430</v>
      </c>
      <c r="X38" s="2037"/>
      <c r="Y38" s="2038" t="s">
        <v>431</v>
      </c>
      <c r="Z38" s="2043"/>
      <c r="AA38" s="2037"/>
      <c r="AB38" s="2202"/>
      <c r="AC38" s="13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378" t="s">
        <v>487</v>
      </c>
      <c r="W39" s="1148" t="s">
        <v>488</v>
      </c>
      <c r="X39" s="1148" t="s">
        <v>489</v>
      </c>
      <c r="Y39" s="1381" t="s">
        <v>441</v>
      </c>
      <c r="Z39" s="2150" t="s">
        <v>442</v>
      </c>
      <c r="AA39" s="2164"/>
      <c r="AB39" s="2203"/>
      <c r="AC39" s="1378" t="s">
        <v>487</v>
      </c>
      <c r="AD39" s="1148" t="s">
        <v>488</v>
      </c>
      <c r="AE39" s="1148" t="s">
        <v>489</v>
      </c>
      <c r="AF39" s="1381" t="s">
        <v>441</v>
      </c>
      <c r="AG39" s="2150" t="s">
        <v>442</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493</v>
      </c>
      <c r="E44" s="2185"/>
      <c r="F44" s="2185"/>
      <c r="G44" s="2185"/>
      <c r="H44" s="2185"/>
      <c r="I44" s="2186" t="str">
        <f>S43&amp;".1"</f>
        <v>...1</v>
      </c>
      <c r="J44" s="1289"/>
      <c r="K44" s="1289"/>
      <c r="L44" s="1290"/>
      <c r="P44" s="2188">
        <v>1</v>
      </c>
      <c r="Q44" s="1376"/>
      <c r="R44" s="292"/>
      <c r="S44" s="1383"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493</v>
      </c>
      <c r="E45" s="2185"/>
      <c r="F45" s="2185"/>
      <c r="G45" s="2185"/>
      <c r="H45" s="2185"/>
      <c r="I45" s="2187"/>
      <c r="J45" s="2186" t="str">
        <f>I44&amp;".1"</f>
        <v>...1.1</v>
      </c>
      <c r="K45" s="1289"/>
      <c r="L45" s="1290" t="s">
        <v>401</v>
      </c>
      <c r="P45" s="2188"/>
      <c r="Q45" s="2188">
        <v>1</v>
      </c>
      <c r="R45" s="293"/>
      <c r="S45" s="1383"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236</v>
      </c>
      <c r="B46" s="1289" t="s">
        <v>237</v>
      </c>
      <c r="C46" s="1289" t="s">
        <v>238</v>
      </c>
      <c r="D46" s="1289" t="s">
        <v>493</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66</v>
      </c>
      <c r="AA46" s="2189"/>
      <c r="AB46" s="2066" t="s">
        <v>66</v>
      </c>
      <c r="AC46" s="687"/>
      <c r="AD46" s="687"/>
      <c r="AE46" s="1183"/>
      <c r="AF46" s="2189"/>
      <c r="AG46" s="2066" t="s">
        <v>66</v>
      </c>
      <c r="AH46" s="2191"/>
      <c r="AI46" s="2066" t="s">
        <v>66</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493</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236</v>
      </c>
      <c r="B48" s="1289" t="s">
        <v>237</v>
      </c>
      <c r="C48" s="1289" t="s">
        <v>238</v>
      </c>
      <c r="D48" s="1289" t="s">
        <v>493</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236</v>
      </c>
      <c r="B49" s="1289" t="s">
        <v>237</v>
      </c>
      <c r="C49" s="1289" t="s">
        <v>238</v>
      </c>
      <c r="D49" s="1289" t="s">
        <v>493</v>
      </c>
      <c r="E49" s="2185"/>
      <c r="F49" s="2185"/>
      <c r="G49" s="2185"/>
      <c r="H49" s="2185"/>
      <c r="I49" s="2186"/>
      <c r="J49" s="1289"/>
      <c r="K49" s="1289"/>
      <c r="L49" s="1290"/>
      <c r="P49" s="2188"/>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236</v>
      </c>
      <c r="B50" s="1289" t="s">
        <v>237</v>
      </c>
      <c r="C50" s="1289" t="s">
        <v>238</v>
      </c>
      <c r="D50" s="1289" t="s">
        <v>493</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185"/>
      <c r="F51" s="2184"/>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9" hidden="1" customWidth="1"/>
    <col min="13" max="15" width="10.1406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10">
        <v>1</v>
      </c>
      <c r="F2" s="1193"/>
      <c r="G2" s="1193"/>
      <c r="H2" s="1193"/>
      <c r="I2" s="1193"/>
      <c r="J2" s="1193"/>
      <c r="K2" s="1193"/>
      <c r="L2" s="1236"/>
      <c r="M2" s="1536"/>
      <c r="N2" s="1536"/>
      <c r="O2" s="1536"/>
      <c r="P2" s="1335"/>
      <c r="Q2" s="803"/>
      <c r="R2" s="291"/>
      <c r="S2" s="1880" t="e">
        <f>INDEX(PT_DIFFERENTIATION_NUM_NTAR,MATCH(A2,PT_DIFFERENTIATION_NTAR_ID,0))</f>
        <v>#N/A</v>
      </c>
      <c r="T2" s="1451" t="s">
        <v>120</v>
      </c>
      <c r="U2" s="237"/>
      <c r="V2" s="2179"/>
      <c r="W2" s="2179"/>
      <c r="X2" s="2179"/>
      <c r="Y2" s="2179"/>
      <c r="Z2" s="2179"/>
      <c r="AA2" s="2180"/>
      <c r="AB2" s="1874"/>
      <c r="AC2" s="2179" t="e">
        <f>INDEX(PT_DIFFERENTIATION_NTAR,MATCH(A2,PT_DIFFERENTIATION_NTAR_ID,0))</f>
        <v>#N/A</v>
      </c>
      <c r="AD2" s="2179"/>
      <c r="AE2" s="2179"/>
      <c r="AF2" s="2179"/>
      <c r="AG2" s="2179"/>
      <c r="AH2" s="2179"/>
      <c r="AI2" s="2179"/>
      <c r="AJ2" s="2180"/>
      <c r="AK2" s="1184" t="s">
        <v>391</v>
      </c>
      <c r="AM2" s="1550"/>
      <c r="AN2" s="1550" t="str">
        <f t="shared" ref="AN2:AN14" si="0">IF(T2="","",T2)</f>
        <v>Наименование тарифа</v>
      </c>
      <c r="AO2" s="1550"/>
      <c r="AP2" s="1550"/>
      <c r="AQ2" s="1557">
        <v>0</v>
      </c>
    </row>
    <row r="3" spans="1:43" ht="21" hidden="1" customHeight="1">
      <c r="A3" s="1193"/>
      <c r="B3" s="1193"/>
      <c r="C3" s="1193"/>
      <c r="D3" s="1193"/>
      <c r="E3" s="2211"/>
      <c r="F3" s="2210">
        <v>1</v>
      </c>
      <c r="G3" s="1193"/>
      <c r="H3" s="1193"/>
      <c r="I3" s="1193"/>
      <c r="J3" s="1193"/>
      <c r="K3" s="1193"/>
      <c r="L3" s="1236"/>
      <c r="M3" s="1536"/>
      <c r="N3" s="1536"/>
      <c r="O3" s="1536"/>
      <c r="P3" s="1891"/>
      <c r="Q3" s="1337"/>
      <c r="R3" s="289"/>
      <c r="S3" s="1880" t="e">
        <f>INDEX(PT_DIFFERENTIATION_NUM_TER,MATCH(B3,PT_DIFFERENTIATION_TER_ID,0))</f>
        <v>#N/A</v>
      </c>
      <c r="T3" s="1448" t="s">
        <v>392</v>
      </c>
      <c r="U3" s="237"/>
      <c r="V3" s="2179"/>
      <c r="W3" s="2179"/>
      <c r="X3" s="2179"/>
      <c r="Y3" s="2179"/>
      <c r="Z3" s="2179"/>
      <c r="AA3" s="2180"/>
      <c r="AB3" s="1874"/>
      <c r="AC3" s="2179" t="e">
        <f>INDEX(PT_DIFFERENTIATION_TER,MATCH(B3,PT_DIFFERENTIATION_TER_ID,0))</f>
        <v>#N/A</v>
      </c>
      <c r="AD3" s="2179"/>
      <c r="AE3" s="2179"/>
      <c r="AF3" s="2179"/>
      <c r="AG3" s="2179"/>
      <c r="AH3" s="2179"/>
      <c r="AI3" s="2179"/>
      <c r="AJ3" s="2180"/>
      <c r="AK3" s="1184" t="s">
        <v>393</v>
      </c>
      <c r="AM3" s="1550"/>
      <c r="AN3" s="1550" t="str">
        <f t="shared" si="0"/>
        <v>Территория действия тарифа</v>
      </c>
      <c r="AO3" s="1550"/>
      <c r="AP3" s="1550"/>
      <c r="AQ3" s="1557">
        <v>0</v>
      </c>
    </row>
    <row r="4" spans="1:43" ht="22.5" hidden="1" customHeight="1">
      <c r="A4" s="1193"/>
      <c r="B4" s="1193"/>
      <c r="C4" s="1193"/>
      <c r="D4" s="1193"/>
      <c r="E4" s="2211"/>
      <c r="F4" s="2211"/>
      <c r="G4" s="2210">
        <v>1</v>
      </c>
      <c r="H4" s="1193"/>
      <c r="I4" s="1193"/>
      <c r="J4" s="1193"/>
      <c r="K4" s="1193"/>
      <c r="L4" s="1236"/>
      <c r="M4" s="1536"/>
      <c r="N4" s="1536"/>
      <c r="O4" s="1536"/>
      <c r="P4" s="1338"/>
      <c r="Q4" s="1337"/>
      <c r="R4" s="289"/>
      <c r="S4" s="1880" t="e">
        <f>INDEX(PT_DIFFERENTIATION_NUM_CS,MATCH(C4,PT_DIFFERENTIATION_CS_ID,0))</f>
        <v>#N/A</v>
      </c>
      <c r="T4" s="246" t="s">
        <v>394</v>
      </c>
      <c r="U4" s="237"/>
      <c r="V4" s="2179"/>
      <c r="W4" s="2179"/>
      <c r="X4" s="2179"/>
      <c r="Y4" s="2179"/>
      <c r="Z4" s="2179"/>
      <c r="AA4" s="2180"/>
      <c r="AB4" s="1874"/>
      <c r="AC4" s="2179" t="e">
        <f>INDEX(PT_DIFFERENTIATION_CS,MATCH(C4,PT_DIFFERENTIATION_CS_ID,0))</f>
        <v>#N/A</v>
      </c>
      <c r="AD4" s="2179"/>
      <c r="AE4" s="2179"/>
      <c r="AF4" s="2179"/>
      <c r="AG4" s="2179"/>
      <c r="AH4" s="2179"/>
      <c r="AI4" s="2179"/>
      <c r="AJ4" s="2180"/>
      <c r="AK4" s="1184" t="s">
        <v>395</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1"/>
      <c r="F5" s="2211"/>
      <c r="G5" s="2211"/>
      <c r="H5" s="2210">
        <v>1</v>
      </c>
      <c r="I5" s="1193"/>
      <c r="J5" s="1193"/>
      <c r="K5" s="1193"/>
      <c r="L5" s="1236"/>
      <c r="M5" s="1536"/>
      <c r="N5" s="1536"/>
      <c r="O5" s="1536"/>
      <c r="P5" s="1338"/>
      <c r="Q5" s="1337"/>
      <c r="R5" s="289"/>
      <c r="S5" s="1880" t="e">
        <f>INDEX(PT_DIFFERENTIATION_NUM_IST_TE,MATCH(D5,PT_DIFFERENTIATION_IST_TE_ID,0))</f>
        <v>#N/A</v>
      </c>
      <c r="T5" s="247" t="s">
        <v>396</v>
      </c>
      <c r="U5" s="237"/>
      <c r="V5" s="2179"/>
      <c r="W5" s="2179"/>
      <c r="X5" s="2179"/>
      <c r="Y5" s="2179"/>
      <c r="Z5" s="2179"/>
      <c r="AA5" s="2180"/>
      <c r="AB5" s="1874"/>
      <c r="AC5" s="2179" t="e">
        <f>INDEX(PT_DIFFERENTIATION_IST_TE,MATCH(D5,PT_DIFFERENTIATION_IST_TE_ID,0))</f>
        <v>#N/A</v>
      </c>
      <c r="AD5" s="2179"/>
      <c r="AE5" s="2179"/>
      <c r="AF5" s="2179"/>
      <c r="AG5" s="2179"/>
      <c r="AH5" s="2179"/>
      <c r="AI5" s="2179"/>
      <c r="AJ5" s="2180"/>
      <c r="AK5" s="1184" t="s">
        <v>397</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1"/>
      <c r="F6" s="2211"/>
      <c r="G6" s="2211"/>
      <c r="H6" s="2211"/>
      <c r="I6" s="2056" t="e">
        <f>S5&amp;".1"</f>
        <v>#N/A</v>
      </c>
      <c r="J6" s="1301"/>
      <c r="K6" s="1301"/>
      <c r="L6" s="1307" t="s">
        <v>398</v>
      </c>
      <c r="M6" s="1172"/>
      <c r="N6" s="1172"/>
      <c r="O6" s="1172"/>
      <c r="P6" s="2188">
        <v>1</v>
      </c>
      <c r="Q6" s="1876"/>
      <c r="R6" s="292"/>
      <c r="S6" s="971"/>
      <c r="T6" s="1309"/>
      <c r="U6" s="1310"/>
      <c r="V6" s="2216"/>
      <c r="W6" s="2216"/>
      <c r="X6" s="2216"/>
      <c r="Y6" s="2216"/>
      <c r="Z6" s="2216"/>
      <c r="AA6" s="2217"/>
      <c r="AB6" s="1882"/>
      <c r="AC6" s="2216"/>
      <c r="AD6" s="2216"/>
      <c r="AE6" s="2216"/>
      <c r="AF6" s="2216"/>
      <c r="AG6" s="2216"/>
      <c r="AH6" s="2216"/>
      <c r="AI6" s="2216"/>
      <c r="AJ6" s="2217"/>
      <c r="AK6" s="1311"/>
      <c r="AM6" s="1550"/>
      <c r="AN6" s="1550" t="str">
        <f t="shared" si="0"/>
        <v/>
      </c>
      <c r="AO6" s="1550"/>
      <c r="AP6" s="1550"/>
      <c r="AQ6" s="1562">
        <v>0</v>
      </c>
    </row>
    <row r="7" spans="1:43" s="1568" customFormat="1" ht="0.75" hidden="1" customHeight="1">
      <c r="A7" s="1301"/>
      <c r="B7" s="1301"/>
      <c r="C7" s="1301"/>
      <c r="D7" s="1301"/>
      <c r="E7" s="2211"/>
      <c r="F7" s="2211"/>
      <c r="G7" s="2211"/>
      <c r="H7" s="2211"/>
      <c r="I7" s="2038"/>
      <c r="J7" s="2056" t="e">
        <f>S5&amp;".1"</f>
        <v>#N/A</v>
      </c>
      <c r="K7" s="1301"/>
      <c r="L7" s="1307"/>
      <c r="M7" s="1172"/>
      <c r="N7" s="1172"/>
      <c r="O7" s="1172"/>
      <c r="P7" s="2188"/>
      <c r="Q7" s="2188">
        <v>1</v>
      </c>
      <c r="R7" s="293"/>
      <c r="S7" s="971"/>
      <c r="T7" s="1325"/>
      <c r="U7" s="1310"/>
      <c r="V7" s="2216"/>
      <c r="W7" s="2216"/>
      <c r="X7" s="2216"/>
      <c r="Y7" s="2216"/>
      <c r="Z7" s="2216"/>
      <c r="AA7" s="2217"/>
      <c r="AB7" s="1882"/>
      <c r="AC7" s="2216"/>
      <c r="AD7" s="2216"/>
      <c r="AE7" s="2216"/>
      <c r="AF7" s="2216"/>
      <c r="AG7" s="2216"/>
      <c r="AH7" s="2216"/>
      <c r="AI7" s="2216"/>
      <c r="AJ7" s="2217"/>
      <c r="AK7" s="1311"/>
      <c r="AM7" s="1550"/>
      <c r="AN7" s="1550" t="str">
        <f t="shared" si="0"/>
        <v/>
      </c>
      <c r="AO7" s="1550"/>
      <c r="AP7" s="1550"/>
      <c r="AQ7" s="1562">
        <v>0</v>
      </c>
    </row>
    <row r="8" spans="1:43" ht="21" hidden="1" customHeight="1">
      <c r="A8" s="1193"/>
      <c r="B8" s="1193"/>
      <c r="C8" s="1193"/>
      <c r="D8" s="1193"/>
      <c r="E8" s="2211"/>
      <c r="F8" s="2211"/>
      <c r="G8" s="2211"/>
      <c r="H8" s="2211"/>
      <c r="I8" s="2038"/>
      <c r="J8" s="2038"/>
      <c r="K8" s="1913" t="e">
        <f>S5&amp;".1"</f>
        <v>#N/A</v>
      </c>
      <c r="L8" s="1236"/>
      <c r="P8" s="2188"/>
      <c r="Q8" s="2188"/>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7" t="s">
        <v>459</v>
      </c>
      <c r="AL8" s="1562" t="e">
        <f ca="1">STRCHECKDATE(#REF!)</f>
        <v>#NAME?</v>
      </c>
      <c r="AM8" s="1550"/>
      <c r="AN8" s="1550" t="str">
        <f t="shared" si="0"/>
        <v/>
      </c>
      <c r="AO8" s="1550"/>
      <c r="AP8" s="1550"/>
      <c r="AQ8" s="1557">
        <v>0</v>
      </c>
    </row>
    <row r="9" spans="1:43" ht="11.25" hidden="1" customHeight="1">
      <c r="A9" s="1193"/>
      <c r="B9" s="1193"/>
      <c r="C9" s="1193"/>
      <c r="D9" s="1193"/>
      <c r="E9" s="2211"/>
      <c r="F9" s="2211"/>
      <c r="G9" s="2211"/>
      <c r="H9" s="2211"/>
      <c r="I9" s="2038"/>
      <c r="J9" s="2056"/>
      <c r="K9" s="1193"/>
      <c r="L9" s="1236"/>
      <c r="P9" s="2188"/>
      <c r="Q9" s="2188"/>
      <c r="R9" s="292"/>
      <c r="S9" s="1204"/>
      <c r="T9" s="224" t="s">
        <v>463</v>
      </c>
      <c r="U9" s="536"/>
      <c r="V9" s="536"/>
      <c r="W9" s="536"/>
      <c r="X9" s="536"/>
      <c r="Y9" s="536"/>
      <c r="Z9" s="536"/>
      <c r="AA9" s="536"/>
      <c r="AB9" s="536"/>
      <c r="AC9" s="536"/>
      <c r="AD9" s="536"/>
      <c r="AE9" s="536"/>
      <c r="AF9" s="536"/>
      <c r="AG9" s="536"/>
      <c r="AH9" s="536"/>
      <c r="AI9" s="536"/>
      <c r="AJ9" s="261"/>
      <c r="AK9" s="2209"/>
      <c r="AM9" s="1550"/>
      <c r="AN9" s="1550" t="str">
        <f t="shared" si="0"/>
        <v>Добавить строку</v>
      </c>
      <c r="AO9" s="1550"/>
      <c r="AP9" s="1550"/>
      <c r="AQ9" s="1557">
        <v>0</v>
      </c>
    </row>
    <row r="10" spans="1:43" s="1568" customFormat="1" ht="0.75" hidden="1" customHeight="1">
      <c r="A10" s="1301"/>
      <c r="B10" s="1301"/>
      <c r="C10" s="1301"/>
      <c r="D10" s="1301"/>
      <c r="E10" s="2211"/>
      <c r="F10" s="2211"/>
      <c r="G10" s="2211"/>
      <c r="H10" s="2211"/>
      <c r="I10" s="2056"/>
      <c r="J10" s="1301"/>
      <c r="K10" s="1301"/>
      <c r="L10" s="1307"/>
      <c r="M10" s="1172"/>
      <c r="N10" s="1172"/>
      <c r="O10" s="1172"/>
      <c r="P10" s="2188"/>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1"/>
      <c r="F11" s="2211"/>
      <c r="G11" s="2211"/>
      <c r="H11" s="2210"/>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1"/>
      <c r="F12" s="2211"/>
      <c r="G12" s="2210"/>
      <c r="H12" s="1300"/>
      <c r="I12" s="1300"/>
      <c r="J12" s="1300"/>
      <c r="K12" s="1300"/>
      <c r="L12" s="1303"/>
      <c r="M12" s="1304"/>
      <c r="N12" s="1304"/>
      <c r="O12" s="287"/>
      <c r="P12" s="1242"/>
      <c r="Q12" s="1243"/>
      <c r="R12" s="1242"/>
      <c r="S12" s="1248"/>
      <c r="T12" s="1251" t="s">
        <v>409</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1"/>
      <c r="F13" s="2210"/>
      <c r="G13" s="1300"/>
      <c r="H13" s="1300"/>
      <c r="I13" s="1300"/>
      <c r="J13" s="1300"/>
      <c r="K13" s="1300"/>
      <c r="L13" s="1303"/>
      <c r="M13" s="1305"/>
      <c r="N13" s="1305"/>
      <c r="O13" s="287"/>
      <c r="P13" s="1242"/>
      <c r="Q13" s="1243"/>
      <c r="R13" s="1242"/>
      <c r="S13" s="1248"/>
      <c r="T13" s="1251" t="s">
        <v>410</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0"/>
      <c r="F14" s="1301"/>
      <c r="G14" s="1301"/>
      <c r="H14" s="1301"/>
      <c r="I14" s="1301"/>
      <c r="J14" s="1301"/>
      <c r="K14" s="1301"/>
      <c r="L14" s="1307"/>
      <c r="M14" s="1305"/>
      <c r="N14" s="1305"/>
      <c r="O14" s="287"/>
      <c r="P14" s="316"/>
      <c r="Q14" s="1270"/>
      <c r="R14" s="316"/>
      <c r="S14" s="1248"/>
      <c r="T14" s="1251" t="s">
        <v>411</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412</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413</v>
      </c>
      <c r="P20" s="1434"/>
      <c r="Q20" s="1436"/>
      <c r="R20" s="1436"/>
      <c r="Y20" s="1433" t="s">
        <v>415</v>
      </c>
      <c r="AA20" s="1433" t="s">
        <v>416</v>
      </c>
      <c r="AC20" s="1433" t="s">
        <v>465</v>
      </c>
      <c r="AG20" s="1433" t="s">
        <v>415</v>
      </c>
      <c r="AI20" s="1433" t="s">
        <v>416</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69"/>
      <c r="AQ24" s="1557">
        <v>38</v>
      </c>
    </row>
    <row r="25" spans="1:43" ht="14.65" customHeight="1">
      <c r="Q25" s="228"/>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5" t="s">
        <v>42</v>
      </c>
      <c r="T27" s="2175"/>
      <c r="U27" s="1298"/>
      <c r="V27" s="2177" t="str">
        <f>IF(TITLE_NAME_OR_PR_CHANGE="",IF(TITLE_NAME_OR_PR="","",TITLE_NAME_OR_PR),TITLE_NAME_OR_PR_CHANGE)</f>
        <v/>
      </c>
      <c r="W27" s="2177"/>
      <c r="X27" s="2177"/>
      <c r="Y27" s="2177"/>
      <c r="Z27" s="2177"/>
      <c r="AA27" s="1561"/>
      <c r="AB27" s="1561"/>
      <c r="AC27" s="2177"/>
      <c r="AD27" s="2177"/>
      <c r="AE27" s="2177"/>
      <c r="AF27" s="2177"/>
      <c r="AG27" s="2177"/>
      <c r="AH27" s="2177"/>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5" t="s">
        <v>418</v>
      </c>
      <c r="T28" s="2175"/>
      <c r="U28" s="1298"/>
      <c r="V28" s="2176" t="str">
        <f>IF(TITLE_DATE_PR_CHANGE="",IF(TITLE_DATE_PR="","",TITLE_DATE_PR),TITLE_DATE_PR_CHANGE)</f>
        <v/>
      </c>
      <c r="W28" s="2176"/>
      <c r="X28" s="2176"/>
      <c r="Y28" s="2176"/>
      <c r="Z28" s="2176"/>
      <c r="AA28" s="1561"/>
      <c r="AB28" s="1561"/>
      <c r="AC28" s="2176"/>
      <c r="AD28" s="2176"/>
      <c r="AE28" s="2176"/>
      <c r="AF28" s="2176"/>
      <c r="AG28" s="2176"/>
      <c r="AH28" s="2176"/>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5" t="s">
        <v>419</v>
      </c>
      <c r="T29" s="2175"/>
      <c r="U29" s="1298"/>
      <c r="V29" s="2177" t="str">
        <f>IF(TITLE_NUMBER_PR_CHANGE="",IF(TITLE_NUMBER_PR="","",TITLE_NUMBER_PR),TITLE_NUMBER_PR_CHANGE)</f>
        <v/>
      </c>
      <c r="W29" s="2177"/>
      <c r="X29" s="2177"/>
      <c r="Y29" s="2177"/>
      <c r="Z29" s="2177"/>
      <c r="AA29" s="1561"/>
      <c r="AB29" s="1561"/>
      <c r="AC29" s="2177"/>
      <c r="AD29" s="2177"/>
      <c r="AE29" s="2177"/>
      <c r="AF29" s="2177"/>
      <c r="AG29" s="2177"/>
      <c r="AH29" s="2177"/>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5" t="s">
        <v>43</v>
      </c>
      <c r="T30" s="2175"/>
      <c r="U30" s="1298"/>
      <c r="V30" s="2177" t="str">
        <f>IF(TITLE_IST_PUB_CHANGE="",IF(TITLE_IST_PUB="","",TITLE_IST_PUB),TITLE_IST_PUB_CHANGE)</f>
        <v/>
      </c>
      <c r="W30" s="2177"/>
      <c r="X30" s="2177"/>
      <c r="Y30" s="2177"/>
      <c r="Z30" s="2177"/>
      <c r="AA30" s="1561"/>
      <c r="AB30" s="1561"/>
      <c r="AC30" s="2177"/>
      <c r="AD30" s="2177"/>
      <c r="AE30" s="2177"/>
      <c r="AF30" s="2177"/>
      <c r="AG30" s="2177"/>
      <c r="AH30" s="2177"/>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5" t="s">
        <v>418</v>
      </c>
      <c r="T32" s="2175"/>
      <c r="U32" s="1298"/>
      <c r="V32" s="2176" t="str">
        <f>IF(TITLE_DATE_PR_CHANGE="",IF(TITLE_DATE_PR="","",TITLE_DATE_PR),TITLE_DATE_PR_CHANGE)</f>
        <v/>
      </c>
      <c r="W32" s="2176"/>
      <c r="X32" s="2176"/>
      <c r="Y32" s="2176"/>
      <c r="Z32" s="2176"/>
      <c r="AA32" s="1561"/>
      <c r="AB32" s="1561"/>
      <c r="AC32" s="2176"/>
      <c r="AD32" s="2176"/>
      <c r="AE32" s="2176"/>
      <c r="AF32" s="2176"/>
      <c r="AG32" s="2176"/>
      <c r="AH32" s="2176"/>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5" t="s">
        <v>419</v>
      </c>
      <c r="T33" s="2175"/>
      <c r="U33" s="1298"/>
      <c r="V33" s="2177" t="str">
        <f>IF(TITLE_NUMBER_PR_CHANGE="",IF(TITLE_NUMBER_PR="","",TITLE_NUMBER_PR),TITLE_NUMBER_PR_CHANGE)</f>
        <v/>
      </c>
      <c r="W33" s="2177"/>
      <c r="X33" s="2177"/>
      <c r="Y33" s="2177"/>
      <c r="Z33" s="2177"/>
      <c r="AA33" s="1561"/>
      <c r="AB33" s="1561"/>
      <c r="AC33" s="2177"/>
      <c r="AD33" s="2177"/>
      <c r="AE33" s="2177"/>
      <c r="AF33" s="2177"/>
      <c r="AG33" s="2177"/>
      <c r="AH33" s="2177"/>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422</v>
      </c>
      <c r="AB34" s="1568"/>
      <c r="AC34" s="1561"/>
      <c r="AD34" s="1561"/>
      <c r="AE34" s="1561"/>
      <c r="AF34" s="1561"/>
      <c r="AG34" s="1561"/>
      <c r="AH34" s="1561"/>
      <c r="AI34" s="1568" t="s">
        <v>422</v>
      </c>
      <c r="AL34" s="304"/>
      <c r="AM34" s="304"/>
      <c r="AN34" s="304"/>
      <c r="AO34" s="304"/>
      <c r="AP34" s="304"/>
      <c r="AQ34" s="354">
        <v>1</v>
      </c>
    </row>
    <row r="35" spans="1:43" ht="14.65" customHeight="1">
      <c r="Q35" s="228"/>
      <c r="R35" s="312"/>
      <c r="S35" s="1201"/>
      <c r="T35" s="393"/>
      <c r="U35" s="1170"/>
      <c r="V35" s="2196"/>
      <c r="W35" s="2196"/>
      <c r="X35" s="2196"/>
      <c r="Y35" s="2196"/>
      <c r="Z35" s="2196"/>
      <c r="AA35" s="2196"/>
      <c r="AB35" s="1879"/>
      <c r="AC35" s="2196"/>
      <c r="AD35" s="2196"/>
      <c r="AE35" s="2196"/>
      <c r="AF35" s="2196"/>
      <c r="AG35" s="2196"/>
      <c r="AH35" s="2196"/>
      <c r="AI35" s="2196"/>
      <c r="AQ35" s="1557">
        <v>14</v>
      </c>
    </row>
    <row r="36" spans="1:43" ht="14.65" customHeight="1">
      <c r="Q36" s="228"/>
      <c r="R36" s="312"/>
      <c r="S36" s="2056" t="s">
        <v>295</v>
      </c>
      <c r="T36" s="2056"/>
      <c r="U36" s="2056"/>
      <c r="V36" s="2056"/>
      <c r="W36" s="2056"/>
      <c r="X36" s="2056"/>
      <c r="Y36" s="2056"/>
      <c r="Z36" s="2056"/>
      <c r="AA36" s="2115"/>
      <c r="AB36" s="2115"/>
      <c r="AC36" s="2115"/>
      <c r="AD36" s="2056"/>
      <c r="AE36" s="2056"/>
      <c r="AF36" s="2056"/>
      <c r="AG36" s="2056"/>
      <c r="AH36" s="2056"/>
      <c r="AI36" s="2056"/>
      <c r="AJ36" s="2056"/>
      <c r="AK36" s="2056" t="s">
        <v>296</v>
      </c>
      <c r="AQ36" s="1557">
        <v>14</v>
      </c>
    </row>
    <row r="37" spans="1:43" ht="14.65" customHeight="1">
      <c r="Q37" s="228"/>
      <c r="R37" s="312"/>
      <c r="S37" s="2197" t="s">
        <v>84</v>
      </c>
      <c r="T37" s="2145" t="s">
        <v>494</v>
      </c>
      <c r="U37" s="274"/>
      <c r="V37" s="2199"/>
      <c r="W37" s="2199"/>
      <c r="X37" s="2199"/>
      <c r="Y37" s="2199"/>
      <c r="Z37" s="2199"/>
      <c r="AA37" s="2145" t="s">
        <v>425</v>
      </c>
      <c r="AB37" s="2144" t="s">
        <v>495</v>
      </c>
      <c r="AC37" s="2144" t="s">
        <v>469</v>
      </c>
      <c r="AD37" s="2214" t="s">
        <v>424</v>
      </c>
      <c r="AE37" s="2214"/>
      <c r="AF37" s="2199"/>
      <c r="AG37" s="2199"/>
      <c r="AH37" s="2200"/>
      <c r="AI37" s="2201" t="s">
        <v>425</v>
      </c>
      <c r="AJ37" s="2204" t="s">
        <v>427</v>
      </c>
      <c r="AK37" s="2056"/>
      <c r="AQ37" s="1557">
        <v>14</v>
      </c>
    </row>
    <row r="38" spans="1:43" ht="35.65" customHeight="1">
      <c r="Q38" s="228"/>
      <c r="R38" s="312"/>
      <c r="S38" s="2197"/>
      <c r="T38" s="2145"/>
      <c r="U38" s="960"/>
      <c r="V38" s="2037" t="s">
        <v>472</v>
      </c>
      <c r="W38" s="2056"/>
      <c r="X38" s="2116" t="s">
        <v>431</v>
      </c>
      <c r="Y38" s="2226"/>
      <c r="Z38" s="2226"/>
      <c r="AA38" s="2145"/>
      <c r="AB38" s="2144"/>
      <c r="AC38" s="2144"/>
      <c r="AD38" s="2037" t="s">
        <v>472</v>
      </c>
      <c r="AE38" s="2056"/>
      <c r="AF38" s="2226" t="s">
        <v>431</v>
      </c>
      <c r="AG38" s="2226"/>
      <c r="AH38" s="2117"/>
      <c r="AI38" s="2202"/>
      <c r="AJ38" s="2205"/>
      <c r="AK38" s="2056"/>
      <c r="AQ38" s="1557">
        <v>34</v>
      </c>
    </row>
    <row r="39" spans="1:43" ht="14.65" customHeight="1">
      <c r="Q39" s="228"/>
      <c r="R39" s="312"/>
      <c r="S39" s="2197"/>
      <c r="T39" s="2145"/>
      <c r="U39" s="960"/>
      <c r="V39" s="2250" t="str">
        <f>IF($AD$39&lt;&gt;"",$AD$39,"")</f>
        <v/>
      </c>
      <c r="W39" s="2250"/>
      <c r="X39" s="2121"/>
      <c r="Y39" s="2227"/>
      <c r="Z39" s="2227"/>
      <c r="AA39" s="2145"/>
      <c r="AB39" s="2144"/>
      <c r="AC39" s="2144"/>
      <c r="AD39" s="2259"/>
      <c r="AE39" s="2249"/>
      <c r="AF39" s="2227"/>
      <c r="AG39" s="2227"/>
      <c r="AH39" s="2122"/>
      <c r="AI39" s="2202"/>
      <c r="AJ39" s="2205"/>
      <c r="AK39" s="2056"/>
      <c r="AQ39" s="1557">
        <v>14</v>
      </c>
    </row>
    <row r="40" spans="1:43" ht="14.65" customHeight="1">
      <c r="A40" s="1192"/>
      <c r="B40" s="1192" t="s">
        <v>132</v>
      </c>
      <c r="C40" s="1192" t="s">
        <v>133</v>
      </c>
      <c r="D40" s="1192" t="s">
        <v>134</v>
      </c>
      <c r="E40" s="1236" t="s">
        <v>432</v>
      </c>
      <c r="F40" s="1236" t="s">
        <v>433</v>
      </c>
      <c r="G40" s="1236" t="s">
        <v>434</v>
      </c>
      <c r="H40" s="1236" t="s">
        <v>435</v>
      </c>
      <c r="I40" s="1236" t="s">
        <v>436</v>
      </c>
      <c r="J40" s="1236" t="s">
        <v>437</v>
      </c>
      <c r="K40" s="1236" t="s">
        <v>438</v>
      </c>
      <c r="L40" s="1236" t="s">
        <v>413</v>
      </c>
      <c r="Q40" s="228"/>
      <c r="R40" s="312"/>
      <c r="S40" s="2197"/>
      <c r="T40" s="2145"/>
      <c r="U40" s="239"/>
      <c r="V40" s="1872" t="s">
        <v>473</v>
      </c>
      <c r="W40" s="1872" t="s">
        <v>474</v>
      </c>
      <c r="X40" s="1860" t="s">
        <v>441</v>
      </c>
      <c r="Y40" s="2150" t="s">
        <v>442</v>
      </c>
      <c r="Z40" s="2163"/>
      <c r="AA40" s="2145"/>
      <c r="AB40" s="2144"/>
      <c r="AC40" s="2144"/>
      <c r="AD40" s="1890" t="s">
        <v>473</v>
      </c>
      <c r="AE40" s="1881" t="s">
        <v>474</v>
      </c>
      <c r="AF40" s="1860" t="s">
        <v>441</v>
      </c>
      <c r="AG40" s="2150" t="s">
        <v>442</v>
      </c>
      <c r="AH40" s="2164"/>
      <c r="AI40" s="2203"/>
      <c r="AJ40" s="2206"/>
      <c r="AK40" s="2056"/>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105</v>
      </c>
      <c r="T41" s="1181" t="s">
        <v>106</v>
      </c>
      <c r="U41" s="1171" t="str">
        <f ca="1">OFFSET(U41,0,-1)</f>
        <v>2</v>
      </c>
      <c r="V41" s="1878">
        <f ca="1">OFFSET(V41,0,-1)+1</f>
        <v>3</v>
      </c>
      <c r="W41" s="1878">
        <f ca="1">OFFSET(W41,0,-1)+1</f>
        <v>4</v>
      </c>
      <c r="X41" s="1878">
        <f ca="1">OFFSET(X41,0,-1)+1</f>
        <v>5</v>
      </c>
      <c r="Y41" s="2195">
        <f ca="1">OFFSET(Y41,0,-1)+1</f>
        <v>6</v>
      </c>
      <c r="Z41" s="2195"/>
      <c r="AA41" s="1267">
        <f ca="1">OFFSET(AA41,0,-2)+1</f>
        <v>7</v>
      </c>
      <c r="AB41" s="1267"/>
      <c r="AC41" s="1267"/>
      <c r="AD41" s="1878">
        <f ca="1">OFFSET(AD41,0,-1)+1</f>
        <v>1</v>
      </c>
      <c r="AE41" s="1878">
        <f ca="1">OFFSET(AE41,0,-1)+1</f>
        <v>2</v>
      </c>
      <c r="AF41" s="1878">
        <f ca="1">OFFSET(AF41,0,-1)+1</f>
        <v>3</v>
      </c>
      <c r="AG41" s="2195">
        <f ca="1">OFFSET(AG41,0,-1)+1</f>
        <v>4</v>
      </c>
      <c r="AH41" s="2195"/>
      <c r="AI41" s="1878">
        <f ca="1">OFFSET(AI41,0,-2)+1</f>
        <v>5</v>
      </c>
      <c r="AJ41" s="1171">
        <f ca="1">OFFSET(AJ41,0,-1)</f>
        <v>5</v>
      </c>
      <c r="AK41" s="1878">
        <f ca="1">OFFSET(AK41,0,-1)+1</f>
        <v>6</v>
      </c>
      <c r="AL41" s="1562"/>
      <c r="AM41" s="1562"/>
      <c r="AN41" s="1562"/>
      <c r="AO41" s="1562"/>
      <c r="AP41" s="1562"/>
      <c r="AQ41" s="1567">
        <v>0</v>
      </c>
    </row>
    <row r="42" spans="1:43" ht="107.25" customHeight="1">
      <c r="A42" s="1193" t="s">
        <v>201</v>
      </c>
      <c r="B42" s="1193"/>
      <c r="C42" s="1193"/>
      <c r="D42" s="1193"/>
      <c r="E42" s="2210">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120</v>
      </c>
      <c r="U42" s="237"/>
      <c r="V42" s="2179"/>
      <c r="W42" s="2179"/>
      <c r="X42" s="2179"/>
      <c r="Y42" s="2179"/>
      <c r="Z42" s="2179"/>
      <c r="AA42" s="2180"/>
      <c r="AB42" s="1874"/>
      <c r="AC42" s="2179" t="str">
        <f>INDEX(PT_DIFFERENTIATION_NTAR,MATCH(A42,PT_DIFFERENTIATION_NTAR_ID,0))</f>
        <v/>
      </c>
      <c r="AD42" s="2179"/>
      <c r="AE42" s="2179"/>
      <c r="AF42" s="2179"/>
      <c r="AG42" s="2179"/>
      <c r="AH42" s="2179"/>
      <c r="AI42" s="2179"/>
      <c r="AJ42" s="2180"/>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201</v>
      </c>
      <c r="B43" s="1193" t="s">
        <v>202</v>
      </c>
      <c r="C43" s="1193"/>
      <c r="D43" s="1193"/>
      <c r="E43" s="2211"/>
      <c r="F43" s="2210">
        <v>1</v>
      </c>
      <c r="G43" s="1193"/>
      <c r="H43" s="1193"/>
      <c r="I43" s="1193"/>
      <c r="J43" s="1193"/>
      <c r="K43" s="1193"/>
      <c r="L43" s="1236"/>
      <c r="M43" s="1536"/>
      <c r="N43" s="1536"/>
      <c r="O43" s="1536"/>
      <c r="P43" s="1891"/>
      <c r="Q43" s="1337"/>
      <c r="R43" s="289"/>
      <c r="S43" s="1880" t="str">
        <f>INDEX(PT_DIFFERENTIATION_NUM_TER,MATCH(B43,PT_DIFFERENTIATION_TER_ID,0))</f>
        <v>.</v>
      </c>
      <c r="T43" s="1448" t="s">
        <v>392</v>
      </c>
      <c r="U43" s="237"/>
      <c r="V43" s="2179"/>
      <c r="W43" s="2179"/>
      <c r="X43" s="2179"/>
      <c r="Y43" s="2179"/>
      <c r="Z43" s="2179"/>
      <c r="AA43" s="2180"/>
      <c r="AB43" s="1874"/>
      <c r="AC43" s="2179" t="str">
        <f>INDEX(PT_DIFFERENTIATION_TER,MATCH(B43,PT_DIFFERENTIATION_TER_ID,0))</f>
        <v/>
      </c>
      <c r="AD43" s="2179"/>
      <c r="AE43" s="2179"/>
      <c r="AF43" s="2179"/>
      <c r="AG43" s="2179"/>
      <c r="AH43" s="2179"/>
      <c r="AI43" s="2179"/>
      <c r="AJ43" s="2180"/>
      <c r="AK43" s="1184" t="s">
        <v>393</v>
      </c>
      <c r="AM43" s="1550"/>
      <c r="AN43" s="1550" t="str">
        <f t="shared" si="1"/>
        <v>Территория действия тарифа</v>
      </c>
      <c r="AO43" s="1550"/>
      <c r="AP43" s="1550"/>
      <c r="AQ43" s="1557">
        <v>21</v>
      </c>
    </row>
    <row r="44" spans="1:43" ht="24" customHeight="1">
      <c r="A44" s="1193" t="s">
        <v>201</v>
      </c>
      <c r="B44" s="1193" t="s">
        <v>202</v>
      </c>
      <c r="C44" s="1193" t="s">
        <v>203</v>
      </c>
      <c r="D44" s="1193"/>
      <c r="E44" s="2211"/>
      <c r="F44" s="2211"/>
      <c r="G44" s="2210">
        <v>1</v>
      </c>
      <c r="H44" s="1193"/>
      <c r="I44" s="1193"/>
      <c r="J44" s="1193"/>
      <c r="K44" s="1193"/>
      <c r="L44" s="1236"/>
      <c r="M44" s="1536"/>
      <c r="N44" s="1536"/>
      <c r="O44" s="1536"/>
      <c r="P44" s="1338"/>
      <c r="Q44" s="1337"/>
      <c r="R44" s="289"/>
      <c r="S44" s="1880" t="str">
        <f>INDEX(PT_DIFFERENTIATION_NUM_CS,MATCH(C44,PT_DIFFERENTIATION_CS_ID,0))</f>
        <v>..</v>
      </c>
      <c r="T44" s="246" t="s">
        <v>394</v>
      </c>
      <c r="U44" s="237"/>
      <c r="V44" s="2179"/>
      <c r="W44" s="2179"/>
      <c r="X44" s="2179"/>
      <c r="Y44" s="2179"/>
      <c r="Z44" s="2179"/>
      <c r="AA44" s="2180"/>
      <c r="AB44" s="1874"/>
      <c r="AC44" s="2179" t="str">
        <f>INDEX(PT_DIFFERENTIATION_CS,MATCH(C44,PT_DIFFERENTIATION_CS_ID,0))</f>
        <v/>
      </c>
      <c r="AD44" s="2179"/>
      <c r="AE44" s="2179"/>
      <c r="AF44" s="2179"/>
      <c r="AG44" s="2179"/>
      <c r="AH44" s="2179"/>
      <c r="AI44" s="2179"/>
      <c r="AJ44" s="2180"/>
      <c r="AK44" s="1184" t="s">
        <v>395</v>
      </c>
      <c r="AM44" s="1550"/>
      <c r="AN44" s="1550" t="str">
        <f t="shared" si="1"/>
        <v xml:space="preserve">Наименование системы теплоснабжения </v>
      </c>
      <c r="AO44" s="1550"/>
      <c r="AP44" s="1550"/>
      <c r="AQ44" s="1557">
        <v>23</v>
      </c>
    </row>
    <row r="45" spans="1:43" ht="21.95" customHeight="1">
      <c r="A45" s="1193" t="s">
        <v>201</v>
      </c>
      <c r="B45" s="1193" t="s">
        <v>202</v>
      </c>
      <c r="C45" s="1193" t="s">
        <v>203</v>
      </c>
      <c r="D45" s="1193" t="s">
        <v>204</v>
      </c>
      <c r="E45" s="2211"/>
      <c r="F45" s="2211"/>
      <c r="G45" s="2211"/>
      <c r="H45" s="2210">
        <v>1</v>
      </c>
      <c r="I45" s="1193"/>
      <c r="J45" s="1193"/>
      <c r="K45" s="1193"/>
      <c r="L45" s="1236"/>
      <c r="M45" s="1536"/>
      <c r="N45" s="1536"/>
      <c r="O45" s="1536"/>
      <c r="P45" s="1338"/>
      <c r="Q45" s="1337"/>
      <c r="R45" s="289"/>
      <c r="S45" s="1880" t="str">
        <f>INDEX(PT_DIFFERENTIATION_NUM_IST_TE,MATCH(D45,PT_DIFFERENTIATION_IST_TE_ID,0))</f>
        <v>...</v>
      </c>
      <c r="T45" s="247" t="s">
        <v>396</v>
      </c>
      <c r="U45" s="237"/>
      <c r="V45" s="2179"/>
      <c r="W45" s="2179"/>
      <c r="X45" s="2179"/>
      <c r="Y45" s="2179"/>
      <c r="Z45" s="2179"/>
      <c r="AA45" s="2180"/>
      <c r="AB45" s="1874"/>
      <c r="AC45" s="2179" t="str">
        <f>INDEX(PT_DIFFERENTIATION_IST_TE,MATCH(D45,PT_DIFFERENTIATION_IST_TE_ID,0))</f>
        <v/>
      </c>
      <c r="AD45" s="2179"/>
      <c r="AE45" s="2179"/>
      <c r="AF45" s="2179"/>
      <c r="AG45" s="2179"/>
      <c r="AH45" s="2179"/>
      <c r="AI45" s="2179"/>
      <c r="AJ45" s="2180"/>
      <c r="AK45" s="1184" t="s">
        <v>397</v>
      </c>
      <c r="AM45" s="1550"/>
      <c r="AN45" s="1550" t="str">
        <f t="shared" si="1"/>
        <v xml:space="preserve">Источник тепловой энергии  </v>
      </c>
      <c r="AO45" s="1550"/>
      <c r="AP45" s="1550"/>
      <c r="AQ45" s="1557">
        <v>21</v>
      </c>
    </row>
    <row r="46" spans="1:43" s="1568" customFormat="1" ht="0" hidden="1" customHeight="1">
      <c r="A46" s="1301" t="s">
        <v>201</v>
      </c>
      <c r="B46" s="1301" t="s">
        <v>202</v>
      </c>
      <c r="C46" s="1301" t="s">
        <v>203</v>
      </c>
      <c r="D46" s="1301" t="s">
        <v>204</v>
      </c>
      <c r="E46" s="2211"/>
      <c r="F46" s="2211"/>
      <c r="G46" s="2211"/>
      <c r="H46" s="2211"/>
      <c r="I46" s="2056" t="str">
        <f>S45&amp;".1"</f>
        <v>....1</v>
      </c>
      <c r="J46" s="1301"/>
      <c r="K46" s="1301"/>
      <c r="L46" s="1307" t="s">
        <v>398</v>
      </c>
      <c r="M46" s="1172"/>
      <c r="N46" s="1172"/>
      <c r="O46" s="1172"/>
      <c r="P46" s="2188">
        <v>1</v>
      </c>
      <c r="Q46" s="1876"/>
      <c r="R46" s="292"/>
      <c r="S46" s="971"/>
      <c r="T46" s="1309"/>
      <c r="U46" s="1310"/>
      <c r="V46" s="2216"/>
      <c r="W46" s="2216"/>
      <c r="X46" s="2216"/>
      <c r="Y46" s="2216"/>
      <c r="Z46" s="2216"/>
      <c r="AA46" s="2217"/>
      <c r="AB46" s="1882"/>
      <c r="AC46" s="2216"/>
      <c r="AD46" s="2216"/>
      <c r="AE46" s="2216"/>
      <c r="AF46" s="2216"/>
      <c r="AG46" s="2216"/>
      <c r="AH46" s="2216"/>
      <c r="AI46" s="2216"/>
      <c r="AJ46" s="2217"/>
      <c r="AK46" s="1311"/>
      <c r="AM46" s="1550"/>
      <c r="AN46" s="1550" t="str">
        <f t="shared" si="1"/>
        <v/>
      </c>
      <c r="AO46" s="1550"/>
      <c r="AP46" s="1550"/>
      <c r="AQ46" s="1562">
        <v>0</v>
      </c>
    </row>
    <row r="47" spans="1:43" s="1568" customFormat="1" ht="0" hidden="1" customHeight="1">
      <c r="A47" s="1301" t="s">
        <v>201</v>
      </c>
      <c r="B47" s="1301" t="s">
        <v>202</v>
      </c>
      <c r="C47" s="1301" t="s">
        <v>203</v>
      </c>
      <c r="D47" s="1301" t="s">
        <v>204</v>
      </c>
      <c r="E47" s="2211"/>
      <c r="F47" s="2211"/>
      <c r="G47" s="2211"/>
      <c r="H47" s="2211"/>
      <c r="I47" s="2038"/>
      <c r="J47" s="2056" t="str">
        <f>S45&amp;".1"</f>
        <v>....1</v>
      </c>
      <c r="K47" s="1301"/>
      <c r="L47" s="1307"/>
      <c r="M47" s="1172"/>
      <c r="N47" s="1172"/>
      <c r="O47" s="1172"/>
      <c r="P47" s="2188"/>
      <c r="Q47" s="2188">
        <v>1</v>
      </c>
      <c r="R47" s="293"/>
      <c r="S47" s="971"/>
      <c r="T47" s="1325"/>
      <c r="U47" s="1310"/>
      <c r="V47" s="2216"/>
      <c r="W47" s="2216"/>
      <c r="X47" s="2216"/>
      <c r="Y47" s="2216"/>
      <c r="Z47" s="2216"/>
      <c r="AA47" s="2217"/>
      <c r="AB47" s="1882"/>
      <c r="AC47" s="2216"/>
      <c r="AD47" s="2216"/>
      <c r="AE47" s="2216"/>
      <c r="AF47" s="2216"/>
      <c r="AG47" s="2216"/>
      <c r="AH47" s="2216"/>
      <c r="AI47" s="2216"/>
      <c r="AJ47" s="2217"/>
      <c r="AK47" s="1311"/>
      <c r="AM47" s="1550"/>
      <c r="AN47" s="1550" t="str">
        <f t="shared" si="1"/>
        <v/>
      </c>
      <c r="AO47" s="1550"/>
      <c r="AP47" s="1550"/>
      <c r="AQ47" s="1562">
        <v>0</v>
      </c>
    </row>
    <row r="48" spans="1:43" ht="21.95" customHeight="1">
      <c r="A48" s="1193" t="s">
        <v>201</v>
      </c>
      <c r="B48" s="1193" t="s">
        <v>202</v>
      </c>
      <c r="C48" s="1193" t="s">
        <v>203</v>
      </c>
      <c r="D48" s="1193" t="s">
        <v>204</v>
      </c>
      <c r="E48" s="2211"/>
      <c r="F48" s="2211"/>
      <c r="G48" s="2211"/>
      <c r="H48" s="2211"/>
      <c r="I48" s="2038"/>
      <c r="J48" s="2038"/>
      <c r="K48" s="1863" t="str">
        <f>S45&amp;".1"</f>
        <v>....1</v>
      </c>
      <c r="L48" s="1236"/>
      <c r="P48" s="2188"/>
      <c r="Q48" s="2188"/>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7" t="s">
        <v>475</v>
      </c>
      <c r="AL48" s="1562" t="e">
        <f ca="1">STRCHECKDATE(#REF!)</f>
        <v>#NAME?</v>
      </c>
      <c r="AM48" s="1550"/>
      <c r="AN48" s="1550" t="str">
        <f t="shared" si="1"/>
        <v/>
      </c>
      <c r="AO48" s="1550"/>
      <c r="AP48" s="1550"/>
      <c r="AQ48" s="1557">
        <v>21</v>
      </c>
    </row>
    <row r="49" spans="1:43" ht="11.45" customHeight="1">
      <c r="A49" s="1193" t="s">
        <v>201</v>
      </c>
      <c r="B49" s="1193" t="s">
        <v>202</v>
      </c>
      <c r="C49" s="1193" t="s">
        <v>203</v>
      </c>
      <c r="D49" s="1193" t="s">
        <v>204</v>
      </c>
      <c r="E49" s="2211"/>
      <c r="F49" s="2211"/>
      <c r="G49" s="2211"/>
      <c r="H49" s="2211"/>
      <c r="I49" s="2038"/>
      <c r="J49" s="2056"/>
      <c r="K49" s="1193"/>
      <c r="L49" s="1236"/>
      <c r="P49" s="2188"/>
      <c r="Q49" s="2188"/>
      <c r="R49" s="292"/>
      <c r="S49" s="1204"/>
      <c r="T49" s="224" t="s">
        <v>463</v>
      </c>
      <c r="U49" s="536"/>
      <c r="V49" s="536"/>
      <c r="W49" s="536"/>
      <c r="X49" s="536"/>
      <c r="Y49" s="536"/>
      <c r="Z49" s="536"/>
      <c r="AA49" s="261"/>
      <c r="AB49" s="536"/>
      <c r="AC49" s="536"/>
      <c r="AD49" s="536"/>
      <c r="AE49" s="536"/>
      <c r="AF49" s="536"/>
      <c r="AG49" s="536"/>
      <c r="AH49" s="536"/>
      <c r="AI49" s="536"/>
      <c r="AJ49" s="261"/>
      <c r="AK49" s="2209"/>
      <c r="AM49" s="1550"/>
      <c r="AN49" s="1550" t="str">
        <f t="shared" si="1"/>
        <v>Добавить строку</v>
      </c>
      <c r="AO49" s="1550"/>
      <c r="AP49" s="1550"/>
      <c r="AQ49" s="1557">
        <v>11</v>
      </c>
    </row>
    <row r="50" spans="1:43" s="1568" customFormat="1" ht="1.1499999999999999" customHeight="1">
      <c r="A50" s="1301" t="s">
        <v>201</v>
      </c>
      <c r="B50" s="1301" t="s">
        <v>202</v>
      </c>
      <c r="C50" s="1301" t="s">
        <v>203</v>
      </c>
      <c r="D50" s="1301" t="s">
        <v>204</v>
      </c>
      <c r="E50" s="2211"/>
      <c r="F50" s="2211"/>
      <c r="G50" s="2211"/>
      <c r="H50" s="2211"/>
      <c r="I50" s="2056"/>
      <c r="J50" s="1301"/>
      <c r="K50" s="1301"/>
      <c r="L50" s="1307"/>
      <c r="M50" s="1172"/>
      <c r="N50" s="1172"/>
      <c r="O50" s="1172"/>
      <c r="P50" s="2188"/>
      <c r="Q50" s="1876"/>
      <c r="R50" s="292"/>
      <c r="S50" s="1312"/>
      <c r="T50" s="1313" t="s">
        <v>407</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201</v>
      </c>
      <c r="B51" s="1301" t="s">
        <v>202</v>
      </c>
      <c r="C51" s="1301" t="s">
        <v>203</v>
      </c>
      <c r="D51" s="1301" t="s">
        <v>204</v>
      </c>
      <c r="E51" s="2211"/>
      <c r="F51" s="2211"/>
      <c r="G51" s="2211"/>
      <c r="H51" s="2210"/>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201</v>
      </c>
      <c r="B52" s="1301" t="s">
        <v>202</v>
      </c>
      <c r="C52" s="1301" t="s">
        <v>203</v>
      </c>
      <c r="D52" s="1300"/>
      <c r="E52" s="2211"/>
      <c r="F52" s="2211"/>
      <c r="G52" s="2210"/>
      <c r="H52" s="1300"/>
      <c r="I52" s="1300"/>
      <c r="J52" s="1300"/>
      <c r="K52" s="1300"/>
      <c r="L52" s="1303"/>
      <c r="M52" s="1304"/>
      <c r="N52" s="1304"/>
      <c r="O52" s="287"/>
      <c r="P52" s="1242"/>
      <c r="Q52" s="1243"/>
      <c r="R52" s="1242"/>
      <c r="S52" s="1248"/>
      <c r="T52" s="1251" t="s">
        <v>409</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201</v>
      </c>
      <c r="B53" s="1301" t="s">
        <v>202</v>
      </c>
      <c r="C53" s="1300"/>
      <c r="D53" s="1300"/>
      <c r="E53" s="2211"/>
      <c r="F53" s="2210"/>
      <c r="G53" s="1300"/>
      <c r="H53" s="1300"/>
      <c r="I53" s="1300"/>
      <c r="J53" s="1300"/>
      <c r="K53" s="1300"/>
      <c r="L53" s="1303"/>
      <c r="M53" s="1305"/>
      <c r="N53" s="1305"/>
      <c r="O53" s="287"/>
      <c r="P53" s="1242"/>
      <c r="Q53" s="1243"/>
      <c r="R53" s="1242"/>
      <c r="S53" s="1248"/>
      <c r="T53" s="1251" t="s">
        <v>410</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201</v>
      </c>
      <c r="B54" s="1301"/>
      <c r="C54" s="1301"/>
      <c r="D54" s="1301"/>
      <c r="E54" s="2211"/>
      <c r="F54" s="1301"/>
      <c r="G54" s="1301"/>
      <c r="H54" s="1301"/>
      <c r="I54" s="1301"/>
      <c r="J54" s="1301"/>
      <c r="K54" s="1301"/>
      <c r="L54" s="1307"/>
      <c r="M54" s="1305"/>
      <c r="N54" s="1305"/>
      <c r="O54" s="287"/>
      <c r="P54" s="316"/>
      <c r="Q54" s="1270"/>
      <c r="R54" s="316"/>
      <c r="S54" s="1248"/>
      <c r="T54" s="1251" t="s">
        <v>411</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201</v>
      </c>
      <c r="B55" s="1301"/>
      <c r="C55" s="1301"/>
      <c r="D55" s="1301"/>
      <c r="E55" s="2210"/>
      <c r="F55" s="1301"/>
      <c r="G55" s="1301"/>
      <c r="H55" s="1301"/>
      <c r="I55" s="1301"/>
      <c r="J55" s="1301"/>
      <c r="K55" s="1301"/>
      <c r="L55" s="1307"/>
      <c r="M55" s="1305"/>
      <c r="N55" s="1305"/>
      <c r="O55" s="287"/>
      <c r="P55" s="316"/>
      <c r="Q55" s="1270"/>
      <c r="R55" s="316"/>
      <c r="S55" s="1248"/>
      <c r="T55" s="1251" t="s">
        <v>411</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443</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183"/>
      <c r="U58" s="2183"/>
      <c r="V58" s="2183"/>
      <c r="W58" s="2183"/>
      <c r="X58" s="2183"/>
      <c r="Y58" s="2183"/>
      <c r="Z58" s="2183"/>
      <c r="AA58" s="2183"/>
      <c r="AB58" s="2183"/>
      <c r="AC58" s="2183"/>
      <c r="AD58" s="2183"/>
      <c r="AE58" s="2183"/>
      <c r="AF58" s="2183"/>
      <c r="AG58" s="2183"/>
      <c r="AH58" s="2183"/>
      <c r="AI58" s="2183"/>
      <c r="AJ58" s="2183"/>
      <c r="AK58" s="2183"/>
      <c r="AQ58" s="1557">
        <v>19</v>
      </c>
    </row>
    <row r="59" spans="1:43" ht="21" customHeight="1">
      <c r="O59" s="1561"/>
      <c r="T59" s="2183"/>
      <c r="U59" s="2183"/>
      <c r="V59" s="2183"/>
      <c r="W59" s="2183"/>
      <c r="X59" s="2183"/>
      <c r="Y59" s="2183"/>
      <c r="Z59" s="2183"/>
      <c r="AA59" s="2183"/>
      <c r="AB59" s="2183"/>
      <c r="AC59" s="2183"/>
      <c r="AD59" s="2183"/>
      <c r="AE59" s="2183"/>
      <c r="AF59" s="2183"/>
      <c r="AG59" s="2183"/>
      <c r="AH59" s="2183"/>
      <c r="AI59" s="2183"/>
      <c r="AJ59" s="2183"/>
      <c r="AK59" s="2183"/>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183"/>
      <c r="U61" s="2183"/>
      <c r="V61" s="2183"/>
      <c r="W61" s="2183"/>
      <c r="X61" s="2183"/>
      <c r="Y61" s="2183"/>
      <c r="Z61" s="2183"/>
      <c r="AA61" s="2183"/>
      <c r="AB61" s="2183"/>
      <c r="AC61" s="2183"/>
      <c r="AD61" s="2183"/>
      <c r="AE61" s="2183"/>
      <c r="AF61" s="2183"/>
      <c r="AG61" s="2183"/>
      <c r="AH61" s="2183"/>
      <c r="AI61" s="2183"/>
      <c r="AJ61" s="2183"/>
      <c r="AK61" s="2183"/>
      <c r="AQ61" s="1557">
        <v>19</v>
      </c>
    </row>
    <row r="62" spans="1:43" ht="16.899999999999999" customHeight="1">
      <c r="O62" s="1561"/>
      <c r="T62" s="2183"/>
      <c r="U62" s="2183"/>
      <c r="V62" s="2183"/>
      <c r="W62" s="2183"/>
      <c r="X62" s="2183"/>
      <c r="Y62" s="2183"/>
      <c r="Z62" s="2183"/>
      <c r="AA62" s="2183"/>
      <c r="AB62" s="2183"/>
      <c r="AC62" s="2183"/>
      <c r="AD62" s="2183"/>
      <c r="AE62" s="2183"/>
      <c r="AF62" s="2183"/>
      <c r="AG62" s="2183"/>
      <c r="AH62" s="2183"/>
      <c r="AI62" s="2183"/>
      <c r="AJ62" s="2183"/>
      <c r="AK62" s="2183"/>
      <c r="AQ62" s="1557">
        <v>16</v>
      </c>
    </row>
    <row r="63" spans="1:43" ht="14.65" customHeight="1">
      <c r="O63" s="1561"/>
      <c r="AQ63" s="1557">
        <v>14</v>
      </c>
    </row>
    <row r="64" spans="1:43" ht="22.5" hidden="1" customHeight="1">
      <c r="A64" s="1557" t="s">
        <v>78</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391" t="e">
        <f>INDEX(PT_DIFFERENTIATION_NUM_NTAR,MATCH(A2,PT_DIFFERENTIATION_NTAR_ID,0))</f>
        <v>#N/A</v>
      </c>
      <c r="T2" s="235" t="s">
        <v>120</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391" t="e">
        <f>INDEX(PT_DIFFERENTIATION_NUM_TER,MATCH(B3,PT_DIFFERENTIATION_TER_ID,0))</f>
        <v>#N/A</v>
      </c>
      <c r="T3" s="245" t="s">
        <v>392</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393</v>
      </c>
      <c r="BE3" s="436"/>
      <c r="BF3" s="436" t="str">
        <f t="shared" si="0"/>
        <v>Территория действия тарифа</v>
      </c>
      <c r="BG3" s="436"/>
      <c r="BH3" s="436"/>
      <c r="BI3" s="1081">
        <v>0</v>
      </c>
    </row>
    <row r="4" spans="1:61" ht="42" hidden="1" customHeight="1">
      <c r="A4" s="1289"/>
      <c r="B4" s="1289"/>
      <c r="C4" s="1289"/>
      <c r="D4" s="1289"/>
      <c r="E4" s="2185"/>
      <c r="F4" s="2185"/>
      <c r="G4" s="2184">
        <v>1</v>
      </c>
      <c r="H4" s="1289"/>
      <c r="I4" s="1289"/>
      <c r="J4" s="1289"/>
      <c r="K4" s="1289"/>
      <c r="L4" s="1290"/>
      <c r="M4" s="1291"/>
      <c r="N4" s="1291"/>
      <c r="O4" s="1291"/>
      <c r="P4" s="1338"/>
      <c r="Q4" s="1337"/>
      <c r="R4" s="289"/>
      <c r="S4" s="1391" t="e">
        <f>INDEX(PT_DIFFERENTIATION_NUM_CS,MATCH(C4,PT_DIFFERENTIATION_CS_ID,0))</f>
        <v>#N/A</v>
      </c>
      <c r="T4" s="246" t="s">
        <v>476</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477</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397</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398</v>
      </c>
      <c r="M6" s="446"/>
      <c r="N6" s="446"/>
      <c r="O6" s="446"/>
      <c r="P6" s="2188">
        <v>1</v>
      </c>
      <c r="Q6" s="1388"/>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85" t="s">
        <v>66</v>
      </c>
      <c r="AB8" s="1660"/>
      <c r="AC8" s="1385" t="s">
        <v>66</v>
      </c>
      <c r="AD8" s="2128" t="s">
        <v>66</v>
      </c>
      <c r="AE8" s="2237"/>
      <c r="AF8" s="2141">
        <v>1</v>
      </c>
      <c r="AG8" s="2260"/>
      <c r="AH8" s="2066" t="s">
        <v>66</v>
      </c>
      <c r="AI8" s="2237"/>
      <c r="AJ8" s="2141">
        <v>1</v>
      </c>
      <c r="AK8" s="2251" t="s">
        <v>22</v>
      </c>
      <c r="AL8" s="2066" t="s">
        <v>66</v>
      </c>
      <c r="AM8" s="2116"/>
      <c r="AN8" s="2141">
        <v>1</v>
      </c>
      <c r="AO8" s="2264"/>
      <c r="AP8" s="2265" t="s">
        <v>66</v>
      </c>
      <c r="AQ8" s="248"/>
      <c r="AR8" s="1389">
        <v>1</v>
      </c>
      <c r="AS8" s="1392" t="s">
        <v>22</v>
      </c>
      <c r="AT8" s="687"/>
      <c r="AU8" s="1183"/>
      <c r="AV8" s="687"/>
      <c r="AW8" s="1183"/>
      <c r="AX8" s="1660"/>
      <c r="AY8" s="1385" t="s">
        <v>66</v>
      </c>
      <c r="AZ8" s="1660"/>
      <c r="BA8" s="1385" t="s">
        <v>66</v>
      </c>
      <c r="BB8" s="1274"/>
      <c r="BC8" s="2207" t="s">
        <v>496</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497</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498</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499</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39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65" customHeight="1">
      <c r="Q29" s="228"/>
      <c r="R29" s="312"/>
      <c r="S29" s="2137" t="str">
        <f>IF(org=0,"Не определено",org)</f>
        <v>ОП АО "Байкалэнерго" - "Саяногорские тепловые сети"</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42</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418</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419</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43</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418</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419</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65" customHeight="1">
      <c r="Q40" s="228"/>
      <c r="R40" s="312"/>
      <c r="S40" s="2056" t="s">
        <v>295</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296</v>
      </c>
      <c r="BI40" s="1081">
        <v>14</v>
      </c>
    </row>
    <row r="41" spans="1:61" ht="14.65" customHeight="1">
      <c r="Q41" s="228"/>
      <c r="R41" s="312"/>
      <c r="S41" s="2197" t="s">
        <v>84</v>
      </c>
      <c r="T41" s="2145" t="s">
        <v>502</v>
      </c>
      <c r="U41" s="238"/>
      <c r="V41" s="2198" t="s">
        <v>424</v>
      </c>
      <c r="W41" s="2199"/>
      <c r="X41" s="2199"/>
      <c r="Y41" s="2199"/>
      <c r="Z41" s="2199"/>
      <c r="AA41" s="2199"/>
      <c r="AB41" s="2200"/>
      <c r="AC41" s="2201" t="s">
        <v>425</v>
      </c>
      <c r="AD41" s="2230" t="s">
        <v>503</v>
      </c>
      <c r="AE41" s="2214"/>
      <c r="AF41" s="2214"/>
      <c r="AG41" s="2231"/>
      <c r="AH41" s="2230" t="s">
        <v>504</v>
      </c>
      <c r="AI41" s="2214"/>
      <c r="AJ41" s="2214"/>
      <c r="AK41" s="2231"/>
      <c r="AL41" s="2230" t="s">
        <v>505</v>
      </c>
      <c r="AM41" s="2214"/>
      <c r="AN41" s="2214"/>
      <c r="AO41" s="2231"/>
      <c r="AP41" s="2230" t="s">
        <v>506</v>
      </c>
      <c r="AQ41" s="2214"/>
      <c r="AR41" s="2214"/>
      <c r="AS41" s="2231"/>
      <c r="AT41" s="2198" t="s">
        <v>424</v>
      </c>
      <c r="AU41" s="2199"/>
      <c r="AV41" s="2199"/>
      <c r="AW41" s="2199"/>
      <c r="AX41" s="2199"/>
      <c r="AY41" s="2199"/>
      <c r="AZ41" s="2200"/>
      <c r="BA41" s="2201" t="s">
        <v>425</v>
      </c>
      <c r="BB41" s="2204" t="s">
        <v>427</v>
      </c>
      <c r="BC41" s="2056"/>
      <c r="BI41" s="1081">
        <v>14</v>
      </c>
    </row>
    <row r="42" spans="1:61" ht="35.65" customHeight="1">
      <c r="Q42" s="228"/>
      <c r="R42" s="312"/>
      <c r="S42" s="2197"/>
      <c r="T42" s="2145"/>
      <c r="U42" s="960"/>
      <c r="V42" s="2116" t="s">
        <v>507</v>
      </c>
      <c r="W42" s="2117"/>
      <c r="X42" s="2116" t="s">
        <v>508</v>
      </c>
      <c r="Y42" s="2117"/>
      <c r="Z42" s="2116" t="s">
        <v>509</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507</v>
      </c>
      <c r="AU42" s="2117"/>
      <c r="AV42" s="2116" t="s">
        <v>508</v>
      </c>
      <c r="AW42" s="2117"/>
      <c r="AX42" s="2116" t="s">
        <v>509</v>
      </c>
      <c r="AY42" s="2226"/>
      <c r="AZ42" s="2117"/>
      <c r="BA42" s="2202"/>
      <c r="BB42" s="2205"/>
      <c r="BC42" s="2056"/>
      <c r="BI42" s="1081">
        <v>34</v>
      </c>
    </row>
    <row r="43" spans="1:61" ht="14.65"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7"/>
      <c r="T44" s="2145"/>
      <c r="U44" s="239"/>
      <c r="V44" s="1374" t="s">
        <v>473</v>
      </c>
      <c r="W44" s="1374" t="s">
        <v>474</v>
      </c>
      <c r="X44" s="1374" t="s">
        <v>473</v>
      </c>
      <c r="Y44" s="1374" t="s">
        <v>474</v>
      </c>
      <c r="Z44" s="1381" t="s">
        <v>441</v>
      </c>
      <c r="AA44" s="2150" t="s">
        <v>442</v>
      </c>
      <c r="AB44" s="2164"/>
      <c r="AC44" s="2203"/>
      <c r="AD44" s="2234"/>
      <c r="AE44" s="2235"/>
      <c r="AF44" s="2235"/>
      <c r="AG44" s="2236"/>
      <c r="AH44" s="2234"/>
      <c r="AI44" s="2235"/>
      <c r="AJ44" s="2235"/>
      <c r="AK44" s="2236"/>
      <c r="AL44" s="2234"/>
      <c r="AM44" s="2235"/>
      <c r="AN44" s="2235"/>
      <c r="AO44" s="2236"/>
      <c r="AP44" s="2234"/>
      <c r="AQ44" s="2235"/>
      <c r="AR44" s="2235"/>
      <c r="AS44" s="2236"/>
      <c r="AT44" s="1374" t="s">
        <v>473</v>
      </c>
      <c r="AU44" s="1374" t="s">
        <v>474</v>
      </c>
      <c r="AV44" s="1374" t="s">
        <v>473</v>
      </c>
      <c r="AW44" s="1374" t="s">
        <v>474</v>
      </c>
      <c r="AX44" s="1381" t="s">
        <v>441</v>
      </c>
      <c r="AY44" s="2150" t="s">
        <v>442</v>
      </c>
      <c r="AZ44" s="2164"/>
      <c r="BA44" s="2203"/>
      <c r="BB44" s="2206"/>
      <c r="BC44" s="205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377">
        <f t="shared" ref="V45:AA45" ca="1" si="2">OFFSET(V45,0,-1)+1</f>
        <v>3</v>
      </c>
      <c r="W45" s="1377">
        <f t="shared" ca="1" si="2"/>
        <v>4</v>
      </c>
      <c r="X45" s="1377">
        <f t="shared" ca="1" si="2"/>
        <v>5</v>
      </c>
      <c r="Y45" s="1377">
        <f t="shared" ca="1" si="2"/>
        <v>6</v>
      </c>
      <c r="Z45" s="1377">
        <f t="shared" ca="1" si="2"/>
        <v>7</v>
      </c>
      <c r="AA45" s="2195">
        <f t="shared" ca="1" si="2"/>
        <v>8</v>
      </c>
      <c r="AB45" s="219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5">
        <f ca="1">OFFSET(AY45,0,-1)+1</f>
        <v>3</v>
      </c>
      <c r="AZ45" s="2195"/>
      <c r="BA45" s="1377">
        <f ca="1">OFFSET(BA45,0,-2)+1</f>
        <v>4</v>
      </c>
      <c r="BB45" s="1171">
        <f ca="1">OFFSET(BB45,0,-1)</f>
        <v>4</v>
      </c>
      <c r="BC45" s="1377">
        <f ca="1">OFFSET(BC45,0,-1)+1</f>
        <v>5</v>
      </c>
      <c r="BD45" s="447"/>
      <c r="BE45" s="447"/>
      <c r="BF45" s="447"/>
      <c r="BG45" s="447"/>
      <c r="BH45" s="447"/>
      <c r="BI45" s="432">
        <v>0</v>
      </c>
    </row>
    <row r="46" spans="1:61" ht="21.95" customHeight="1">
      <c r="A46" s="1289" t="s">
        <v>241</v>
      </c>
      <c r="B46" s="1289"/>
      <c r="C46" s="1289"/>
      <c r="D46" s="1289"/>
      <c r="E46" s="2184">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120</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241</v>
      </c>
      <c r="B47" s="1289" t="s">
        <v>242</v>
      </c>
      <c r="C47" s="1289"/>
      <c r="D47" s="1289"/>
      <c r="E47" s="2185"/>
      <c r="F47" s="2184">
        <v>1</v>
      </c>
      <c r="G47" s="1289"/>
      <c r="H47" s="1289"/>
      <c r="I47" s="1289"/>
      <c r="J47" s="1289"/>
      <c r="K47" s="1289"/>
      <c r="L47" s="1290"/>
      <c r="M47" s="1291"/>
      <c r="N47" s="1291"/>
      <c r="O47" s="1291"/>
      <c r="P47" s="1336"/>
      <c r="Q47" s="1337"/>
      <c r="R47" s="289"/>
      <c r="S47" s="1383" t="str">
        <f>INDEX(PT_DIFFERENTIATION_NUM_TER,MATCH(B47,PT_DIFFERENTIATION_TER_ID,0))</f>
        <v>.</v>
      </c>
      <c r="T47" s="245" t="s">
        <v>392</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393</v>
      </c>
      <c r="BE47" s="436"/>
      <c r="BF47" s="436" t="str">
        <f t="shared" si="3"/>
        <v>Территория действия тарифа</v>
      </c>
      <c r="BG47" s="436"/>
      <c r="BH47" s="436"/>
      <c r="BI47" s="1081">
        <v>21</v>
      </c>
    </row>
    <row r="48" spans="1:61" ht="43.15" customHeight="1">
      <c r="A48" s="1289" t="s">
        <v>241</v>
      </c>
      <c r="B48" s="1289" t="s">
        <v>242</v>
      </c>
      <c r="C48" s="1289" t="s">
        <v>243</v>
      </c>
      <c r="D48" s="1289"/>
      <c r="E48" s="2185"/>
      <c r="F48" s="2185"/>
      <c r="G48" s="2184">
        <v>1</v>
      </c>
      <c r="H48" s="1289"/>
      <c r="I48" s="1289"/>
      <c r="J48" s="1289"/>
      <c r="K48" s="1289"/>
      <c r="L48" s="1290"/>
      <c r="M48" s="1291"/>
      <c r="N48" s="1291"/>
      <c r="O48" s="1291"/>
      <c r="P48" s="1338"/>
      <c r="Q48" s="1337"/>
      <c r="R48" s="289"/>
      <c r="S48" s="1383" t="str">
        <f>INDEX(PT_DIFFERENTIATION_NUM_CS,MATCH(C48,PT_DIFFERENTIATION_CS_ID,0))</f>
        <v>..</v>
      </c>
      <c r="T48" s="246" t="s">
        <v>476</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477</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241</v>
      </c>
      <c r="B49" s="1269" t="s">
        <v>242</v>
      </c>
      <c r="C49" s="1269" t="s">
        <v>243</v>
      </c>
      <c r="D49" s="1269" t="s">
        <v>510</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397</v>
      </c>
      <c r="BE49" s="436"/>
      <c r="BF49" s="436" t="str">
        <f t="shared" si="3"/>
        <v/>
      </c>
      <c r="BG49" s="436"/>
      <c r="BH49" s="436"/>
      <c r="BI49" s="447">
        <v>0</v>
      </c>
    </row>
    <row r="50" spans="1:61" s="1568" customFormat="1" ht="0" hidden="1" customHeight="1">
      <c r="A50" s="1269" t="s">
        <v>241</v>
      </c>
      <c r="B50" s="1269" t="s">
        <v>242</v>
      </c>
      <c r="C50" s="1269" t="s">
        <v>243</v>
      </c>
      <c r="D50" s="1269" t="s">
        <v>510</v>
      </c>
      <c r="E50" s="2185"/>
      <c r="F50" s="2185"/>
      <c r="G50" s="2185"/>
      <c r="H50" s="2185"/>
      <c r="I50" s="2186" t="str">
        <f>S49&amp;".1"</f>
        <v>.1</v>
      </c>
      <c r="J50" s="1269"/>
      <c r="K50" s="1269"/>
      <c r="L50" s="1272" t="s">
        <v>398</v>
      </c>
      <c r="M50" s="446"/>
      <c r="N50" s="446"/>
      <c r="O50" s="446"/>
      <c r="P50" s="2188">
        <v>1</v>
      </c>
      <c r="Q50" s="1388"/>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241</v>
      </c>
      <c r="B51" s="1269" t="s">
        <v>242</v>
      </c>
      <c r="C51" s="1269" t="s">
        <v>243</v>
      </c>
      <c r="D51" s="1269" t="s">
        <v>510</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45" customHeight="1">
      <c r="A52" s="1289" t="s">
        <v>241</v>
      </c>
      <c r="B52" s="1289" t="s">
        <v>242</v>
      </c>
      <c r="C52" s="1289" t="s">
        <v>243</v>
      </c>
      <c r="D52" s="1289" t="s">
        <v>510</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85" t="s">
        <v>66</v>
      </c>
      <c r="AB52" s="1660"/>
      <c r="AC52" s="1385" t="s">
        <v>66</v>
      </c>
      <c r="AD52" s="2128" t="s">
        <v>66</v>
      </c>
      <c r="AE52" s="2237"/>
      <c r="AF52" s="2141">
        <v>1</v>
      </c>
      <c r="AG52" s="2260"/>
      <c r="AH52" s="2066" t="s">
        <v>66</v>
      </c>
      <c r="AI52" s="2237"/>
      <c r="AJ52" s="2141">
        <v>1</v>
      </c>
      <c r="AK52" s="2251" t="s">
        <v>22</v>
      </c>
      <c r="AL52" s="2066" t="s">
        <v>66</v>
      </c>
      <c r="AM52" s="2116"/>
      <c r="AN52" s="2141">
        <v>1</v>
      </c>
      <c r="AO52" s="2264"/>
      <c r="AP52" s="2265" t="s">
        <v>66</v>
      </c>
      <c r="AQ52" s="248"/>
      <c r="AR52" s="1389">
        <v>1</v>
      </c>
      <c r="AS52" s="1392" t="s">
        <v>22</v>
      </c>
      <c r="AT52" s="687"/>
      <c r="AU52" s="1183"/>
      <c r="AV52" s="687"/>
      <c r="AW52" s="1183"/>
      <c r="AX52" s="1660"/>
      <c r="AY52" s="1385" t="s">
        <v>66</v>
      </c>
      <c r="AZ52" s="1660"/>
      <c r="BA52" s="1385" t="s">
        <v>66</v>
      </c>
      <c r="BB52" s="1274"/>
      <c r="BC52" s="2207" t="s">
        <v>496</v>
      </c>
      <c r="BE52" s="436"/>
      <c r="BF52" s="436" t="str">
        <f t="shared" si="3"/>
        <v/>
      </c>
      <c r="BG52" s="436"/>
      <c r="BH52" s="436"/>
      <c r="BI52" s="1081">
        <v>11</v>
      </c>
    </row>
    <row r="53" spans="1:61" ht="11.4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497</v>
      </c>
      <c r="AT53" s="1319"/>
      <c r="AU53" s="1422"/>
      <c r="AV53" s="1319"/>
      <c r="AW53" s="1422"/>
      <c r="AX53" s="1319"/>
      <c r="AY53" s="1319"/>
      <c r="AZ53" s="1319"/>
      <c r="BA53" s="1319"/>
      <c r="BB53" s="1323"/>
      <c r="BC53" s="2208"/>
      <c r="BE53" s="436"/>
      <c r="BF53" s="436"/>
      <c r="BG53" s="436"/>
      <c r="BH53" s="436"/>
      <c r="BI53" s="1081">
        <v>11</v>
      </c>
    </row>
    <row r="54" spans="1:61" ht="11.45" customHeight="1">
      <c r="A54" s="1289" t="s">
        <v>241</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498</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45" customHeight="1">
      <c r="A55" s="1289" t="s">
        <v>241</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499</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45" customHeight="1">
      <c r="A56" s="1289" t="s">
        <v>241</v>
      </c>
      <c r="B56" s="1289" t="s">
        <v>242</v>
      </c>
      <c r="C56" s="1289" t="s">
        <v>243</v>
      </c>
      <c r="D56" s="1289" t="s">
        <v>510</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45" customHeight="1">
      <c r="A57" s="1289" t="s">
        <v>241</v>
      </c>
      <c r="B57" s="1289" t="s">
        <v>242</v>
      </c>
      <c r="C57" s="1289" t="s">
        <v>243</v>
      </c>
      <c r="D57" s="1289" t="s">
        <v>510</v>
      </c>
      <c r="E57" s="2185"/>
      <c r="F57" s="2185"/>
      <c r="G57" s="2185"/>
      <c r="H57" s="2185"/>
      <c r="I57" s="2187"/>
      <c r="J57" s="2186"/>
      <c r="K57" s="1289"/>
      <c r="L57" s="1290"/>
      <c r="P57" s="2188"/>
      <c r="Q57" s="2188"/>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241</v>
      </c>
      <c r="B58" s="1269" t="s">
        <v>242</v>
      </c>
      <c r="C58" s="1269" t="s">
        <v>243</v>
      </c>
      <c r="D58" s="1269" t="s">
        <v>510</v>
      </c>
      <c r="E58" s="2185"/>
      <c r="F58" s="2185"/>
      <c r="G58" s="2185"/>
      <c r="H58" s="2185"/>
      <c r="I58" s="2186"/>
      <c r="J58" s="1269"/>
      <c r="K58" s="1269"/>
      <c r="L58" s="1272"/>
      <c r="M58" s="446"/>
      <c r="N58" s="446"/>
      <c r="O58" s="446"/>
      <c r="P58" s="2188"/>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241</v>
      </c>
      <c r="B59" s="1269" t="s">
        <v>242</v>
      </c>
      <c r="C59" s="1269" t="s">
        <v>243</v>
      </c>
      <c r="D59" s="1269" t="s">
        <v>510</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241</v>
      </c>
      <c r="B60" s="1269" t="s">
        <v>242</v>
      </c>
      <c r="C60" s="1269" t="s">
        <v>243</v>
      </c>
      <c r="D60" s="1240"/>
      <c r="E60" s="2185"/>
      <c r="F60" s="2185"/>
      <c r="G60" s="2184"/>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241</v>
      </c>
      <c r="B61" s="1269" t="s">
        <v>242</v>
      </c>
      <c r="C61" s="1240"/>
      <c r="D61" s="1240"/>
      <c r="E61" s="2185"/>
      <c r="F61" s="2184"/>
      <c r="G61" s="1240"/>
      <c r="H61" s="1240"/>
      <c r="I61" s="1240"/>
      <c r="J61" s="1240"/>
      <c r="K61" s="1240"/>
      <c r="L61" s="139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241</v>
      </c>
      <c r="B62" s="1269"/>
      <c r="C62" s="1269"/>
      <c r="D62" s="1269"/>
      <c r="E62" s="2184"/>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19</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511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512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416"/>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404"/>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409" t="s">
        <v>484</v>
      </c>
      <c r="W38" s="2038" t="s">
        <v>430</v>
      </c>
      <c r="X38" s="2037"/>
      <c r="Y38" s="2038" t="s">
        <v>431</v>
      </c>
      <c r="Z38" s="2043"/>
      <c r="AA38" s="2037"/>
      <c r="AB38" s="2202"/>
      <c r="AC38" s="1409" t="s">
        <v>484</v>
      </c>
      <c r="AD38" s="2038" t="s">
        <v>430</v>
      </c>
      <c r="AE38" s="2037"/>
      <c r="AF38" s="2038" t="s">
        <v>431</v>
      </c>
      <c r="AG38" s="2043"/>
      <c r="AH38" s="2037"/>
      <c r="AI38" s="2202"/>
      <c r="AJ38" s="2205"/>
      <c r="AK38" s="2056"/>
      <c r="AQ38" s="1081">
        <v>34</v>
      </c>
    </row>
    <row r="39" spans="1:43" ht="90.4"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409" t="s">
        <v>513</v>
      </c>
      <c r="W39" s="1148" t="s">
        <v>514</v>
      </c>
      <c r="X39" s="1148" t="s">
        <v>489</v>
      </c>
      <c r="Y39" s="1415" t="s">
        <v>441</v>
      </c>
      <c r="Z39" s="2150" t="s">
        <v>442</v>
      </c>
      <c r="AA39" s="2164"/>
      <c r="AB39" s="2203"/>
      <c r="AC39" s="1409" t="s">
        <v>513</v>
      </c>
      <c r="AD39" s="1148" t="s">
        <v>514</v>
      </c>
      <c r="AE39" s="1148" t="s">
        <v>489</v>
      </c>
      <c r="AF39" s="1415" t="s">
        <v>441</v>
      </c>
      <c r="AG39" s="2150" t="s">
        <v>442</v>
      </c>
      <c r="AH39" s="2164"/>
      <c r="AI39" s="2203"/>
      <c r="AJ39" s="2206"/>
      <c r="AK39" s="2056"/>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261</v>
      </c>
      <c r="B41" s="1289"/>
      <c r="C41" s="1289"/>
      <c r="D41" s="1289"/>
      <c r="E41" s="218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261</v>
      </c>
      <c r="B42" s="1289" t="s">
        <v>262</v>
      </c>
      <c r="C42" s="1289"/>
      <c r="D42" s="1289"/>
      <c r="E42" s="2185"/>
      <c r="F42" s="2184">
        <v>1</v>
      </c>
      <c r="G42" s="1289"/>
      <c r="H42" s="1289"/>
      <c r="I42" s="1289"/>
      <c r="J42" s="1289"/>
      <c r="K42" s="1289"/>
      <c r="L42" s="1290"/>
      <c r="M42" s="1291"/>
      <c r="N42" s="1291"/>
      <c r="O42" s="1291"/>
      <c r="P42" s="1413"/>
      <c r="Q42" s="288"/>
      <c r="R42" s="289"/>
      <c r="S42" s="1419"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261</v>
      </c>
      <c r="B43" s="1289" t="s">
        <v>262</v>
      </c>
      <c r="C43" s="1289" t="s">
        <v>263</v>
      </c>
      <c r="D43" s="1289"/>
      <c r="E43" s="2185"/>
      <c r="F43" s="2185"/>
      <c r="G43" s="2184">
        <v>1</v>
      </c>
      <c r="H43" s="1289"/>
      <c r="I43" s="1289"/>
      <c r="J43" s="1289"/>
      <c r="K43" s="1289"/>
      <c r="L43" s="1290"/>
      <c r="M43" s="1291"/>
      <c r="N43" s="1291"/>
      <c r="O43" s="1291"/>
      <c r="P43" s="290"/>
      <c r="Q43" s="288"/>
      <c r="R43" s="289"/>
      <c r="S43" s="1419" t="str">
        <f>INDEX(PT_DIFFERENTIATION_NUM_CS,MATCH(C43,PT_DIFFERENTIATION_CS_ID,0))</f>
        <v>..</v>
      </c>
      <c r="T43" s="246" t="s">
        <v>511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512</v>
      </c>
      <c r="AM43" s="436"/>
      <c r="AN43" s="436" t="str">
        <f t="shared" si="1"/>
        <v>Наименование централизованной системы водоотведения</v>
      </c>
      <c r="AO43" s="436"/>
      <c r="AP43" s="436"/>
      <c r="AQ43" s="1081">
        <v>23</v>
      </c>
    </row>
    <row r="44" spans="1:43" ht="24" customHeight="1">
      <c r="A44" s="1289" t="s">
        <v>261</v>
      </c>
      <c r="B44" s="1289" t="s">
        <v>262</v>
      </c>
      <c r="C44" s="1289" t="s">
        <v>263</v>
      </c>
      <c r="D44" s="1289" t="s">
        <v>515</v>
      </c>
      <c r="E44" s="2185"/>
      <c r="F44" s="2185"/>
      <c r="G44" s="2185"/>
      <c r="H44" s="2185"/>
      <c r="I44" s="2186" t="str">
        <f>S43&amp;".1"</f>
        <v>...1</v>
      </c>
      <c r="J44" s="1289"/>
      <c r="K44" s="1289"/>
      <c r="L44" s="1290"/>
      <c r="P44" s="2188">
        <v>1</v>
      </c>
      <c r="Q44" s="1407"/>
      <c r="R44" s="292"/>
      <c r="S44" s="1419"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261</v>
      </c>
      <c r="B45" s="1289" t="s">
        <v>262</v>
      </c>
      <c r="C45" s="1289" t="s">
        <v>263</v>
      </c>
      <c r="D45" s="1289" t="s">
        <v>515</v>
      </c>
      <c r="E45" s="2185"/>
      <c r="F45" s="2185"/>
      <c r="G45" s="2185"/>
      <c r="H45" s="2185"/>
      <c r="I45" s="2187"/>
      <c r="J45" s="2186" t="str">
        <f>I44&amp;".1"</f>
        <v>...1.1</v>
      </c>
      <c r="K45" s="1289"/>
      <c r="L45" s="1290" t="s">
        <v>401</v>
      </c>
      <c r="P45" s="2188"/>
      <c r="Q45" s="2188">
        <v>1</v>
      </c>
      <c r="R45" s="293"/>
      <c r="S45" s="1419"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261</v>
      </c>
      <c r="B46" s="1289" t="s">
        <v>262</v>
      </c>
      <c r="C46" s="1289" t="s">
        <v>263</v>
      </c>
      <c r="D46" s="1289" t="s">
        <v>515</v>
      </c>
      <c r="E46" s="2185"/>
      <c r="F46" s="2185"/>
      <c r="G46" s="2185"/>
      <c r="H46" s="2185"/>
      <c r="I46" s="2187"/>
      <c r="J46" s="2187"/>
      <c r="K46" s="2186" t="str">
        <f>J45&amp;".1"</f>
        <v>...1.1.1</v>
      </c>
      <c r="L46" s="1290"/>
      <c r="P46" s="2188"/>
      <c r="Q46" s="2188"/>
      <c r="R46" s="293">
        <v>1</v>
      </c>
      <c r="S46" s="1419" t="str">
        <f>$K46</f>
        <v>...1.1.1</v>
      </c>
      <c r="T46" s="1363"/>
      <c r="U46" s="237"/>
      <c r="V46" s="1286"/>
      <c r="W46" s="1286"/>
      <c r="X46" s="1287"/>
      <c r="Y46" s="2182"/>
      <c r="Z46" s="2181" t="s">
        <v>66</v>
      </c>
      <c r="AA46" s="2182"/>
      <c r="AB46" s="2181" t="s">
        <v>66</v>
      </c>
      <c r="AC46" s="687"/>
      <c r="AD46" s="687"/>
      <c r="AE46" s="1183"/>
      <c r="AF46" s="2189"/>
      <c r="AG46" s="2066" t="s">
        <v>66</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261</v>
      </c>
      <c r="B47" s="1289" t="s">
        <v>262</v>
      </c>
      <c r="C47" s="1289" t="s">
        <v>263</v>
      </c>
      <c r="D47" s="1289" t="s">
        <v>515</v>
      </c>
      <c r="E47" s="2185"/>
      <c r="F47" s="2185"/>
      <c r="G47" s="2185"/>
      <c r="H47" s="2185"/>
      <c r="I47" s="2187"/>
      <c r="J47" s="2187"/>
      <c r="K47" s="2186"/>
      <c r="L47" s="1290"/>
      <c r="P47" s="2188"/>
      <c r="Q47" s="2188"/>
      <c r="R47" s="293"/>
      <c r="S47" s="1416"/>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261</v>
      </c>
      <c r="B48" s="1289" t="s">
        <v>262</v>
      </c>
      <c r="C48" s="1289" t="s">
        <v>263</v>
      </c>
      <c r="D48" s="1289" t="s">
        <v>515</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261</v>
      </c>
      <c r="B49" s="1289" t="s">
        <v>262</v>
      </c>
      <c r="C49" s="1289" t="s">
        <v>263</v>
      </c>
      <c r="D49" s="1289" t="s">
        <v>515</v>
      </c>
      <c r="E49" s="2185"/>
      <c r="F49" s="2185"/>
      <c r="G49" s="2185"/>
      <c r="H49" s="2185"/>
      <c r="I49" s="2186"/>
      <c r="J49" s="1289"/>
      <c r="K49" s="1289"/>
      <c r="L49" s="1290"/>
      <c r="P49" s="2188"/>
      <c r="Q49" s="1407"/>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261</v>
      </c>
      <c r="B50" s="1289" t="s">
        <v>262</v>
      </c>
      <c r="C50" s="1289" t="s">
        <v>263</v>
      </c>
      <c r="D50" s="1289" t="s">
        <v>515</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261</v>
      </c>
      <c r="B51" s="1269" t="s">
        <v>262</v>
      </c>
      <c r="C51" s="1240"/>
      <c r="D51" s="1240"/>
      <c r="E51" s="2185"/>
      <c r="F51" s="2184"/>
      <c r="G51" s="1240"/>
      <c r="H51" s="1240"/>
      <c r="I51" s="1240"/>
      <c r="J51" s="1240"/>
      <c r="K51" s="1240"/>
      <c r="L51" s="1420"/>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261</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511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512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416"/>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404"/>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409" t="s">
        <v>484</v>
      </c>
      <c r="W38" s="2038" t="s">
        <v>430</v>
      </c>
      <c r="X38" s="2037"/>
      <c r="Y38" s="2038" t="s">
        <v>431</v>
      </c>
      <c r="Z38" s="2043"/>
      <c r="AA38" s="2037"/>
      <c r="AB38" s="2202"/>
      <c r="AC38" s="1409" t="s">
        <v>484</v>
      </c>
      <c r="AD38" s="2038" t="s">
        <v>430</v>
      </c>
      <c r="AE38" s="2037"/>
      <c r="AF38" s="2038" t="s">
        <v>431</v>
      </c>
      <c r="AG38" s="2043"/>
      <c r="AH38" s="2037"/>
      <c r="AI38" s="2202"/>
      <c r="AJ38" s="2205"/>
      <c r="AK38" s="2056"/>
      <c r="AQ38" s="1081">
        <v>34</v>
      </c>
    </row>
    <row r="39" spans="1:43" ht="90.4"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409" t="s">
        <v>513</v>
      </c>
      <c r="W39" s="1148" t="s">
        <v>514</v>
      </c>
      <c r="X39" s="1148" t="s">
        <v>489</v>
      </c>
      <c r="Y39" s="1415" t="s">
        <v>441</v>
      </c>
      <c r="Z39" s="2150" t="s">
        <v>442</v>
      </c>
      <c r="AA39" s="2164"/>
      <c r="AB39" s="2203"/>
      <c r="AC39" s="1409" t="s">
        <v>513</v>
      </c>
      <c r="AD39" s="1148" t="s">
        <v>514</v>
      </c>
      <c r="AE39" s="1148" t="s">
        <v>489</v>
      </c>
      <c r="AF39" s="1415" t="s">
        <v>441</v>
      </c>
      <c r="AG39" s="2150" t="s">
        <v>442</v>
      </c>
      <c r="AH39" s="2164"/>
      <c r="AI39" s="2203"/>
      <c r="AJ39" s="2206"/>
      <c r="AK39" s="2056"/>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266</v>
      </c>
      <c r="B41" s="1289"/>
      <c r="C41" s="1289"/>
      <c r="D41" s="1289"/>
      <c r="E41" s="218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266</v>
      </c>
      <c r="B42" s="1289" t="s">
        <v>267</v>
      </c>
      <c r="C42" s="1289"/>
      <c r="D42" s="1289"/>
      <c r="E42" s="2185"/>
      <c r="F42" s="2184">
        <v>1</v>
      </c>
      <c r="G42" s="1289"/>
      <c r="H42" s="1289"/>
      <c r="I42" s="1289"/>
      <c r="J42" s="1289"/>
      <c r="K42" s="1289"/>
      <c r="L42" s="1290"/>
      <c r="M42" s="1291"/>
      <c r="N42" s="1291"/>
      <c r="O42" s="1291"/>
      <c r="P42" s="1413"/>
      <c r="Q42" s="288"/>
      <c r="R42" s="289"/>
      <c r="S42" s="1419"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266</v>
      </c>
      <c r="B43" s="1289" t="s">
        <v>267</v>
      </c>
      <c r="C43" s="1289" t="s">
        <v>268</v>
      </c>
      <c r="D43" s="1289"/>
      <c r="E43" s="2185"/>
      <c r="F43" s="2185"/>
      <c r="G43" s="2184">
        <v>1</v>
      </c>
      <c r="H43" s="1289"/>
      <c r="I43" s="1289"/>
      <c r="J43" s="1289"/>
      <c r="K43" s="1289"/>
      <c r="L43" s="1290"/>
      <c r="M43" s="1291"/>
      <c r="N43" s="1291"/>
      <c r="O43" s="1291"/>
      <c r="P43" s="290"/>
      <c r="Q43" s="288"/>
      <c r="R43" s="289"/>
      <c r="S43" s="1419" t="str">
        <f>INDEX(PT_DIFFERENTIATION_NUM_CS,MATCH(C43,PT_DIFFERENTIATION_CS_ID,0))</f>
        <v>..</v>
      </c>
      <c r="T43" s="246" t="s">
        <v>511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512</v>
      </c>
      <c r="AM43" s="436"/>
      <c r="AN43" s="436" t="str">
        <f t="shared" si="1"/>
        <v>Наименование централизованной системы водоотведения</v>
      </c>
      <c r="AO43" s="436"/>
      <c r="AP43" s="436"/>
      <c r="AQ43" s="1081">
        <v>23</v>
      </c>
    </row>
    <row r="44" spans="1:43" ht="24" customHeight="1">
      <c r="A44" s="1289" t="s">
        <v>266</v>
      </c>
      <c r="B44" s="1289" t="s">
        <v>267</v>
      </c>
      <c r="C44" s="1289" t="s">
        <v>268</v>
      </c>
      <c r="D44" s="1289" t="s">
        <v>516</v>
      </c>
      <c r="E44" s="2185"/>
      <c r="F44" s="2185"/>
      <c r="G44" s="2185"/>
      <c r="H44" s="2185"/>
      <c r="I44" s="2186" t="str">
        <f>S43&amp;".1"</f>
        <v>...1</v>
      </c>
      <c r="J44" s="1289"/>
      <c r="K44" s="1289"/>
      <c r="L44" s="1290"/>
      <c r="P44" s="2188">
        <v>1</v>
      </c>
      <c r="Q44" s="1407"/>
      <c r="R44" s="292"/>
      <c r="S44" s="1419"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266</v>
      </c>
      <c r="B45" s="1289" t="s">
        <v>267</v>
      </c>
      <c r="C45" s="1289" t="s">
        <v>268</v>
      </c>
      <c r="D45" s="1289" t="s">
        <v>516</v>
      </c>
      <c r="E45" s="2185"/>
      <c r="F45" s="2185"/>
      <c r="G45" s="2185"/>
      <c r="H45" s="2185"/>
      <c r="I45" s="2187"/>
      <c r="J45" s="2186" t="str">
        <f>I44&amp;".1"</f>
        <v>...1.1</v>
      </c>
      <c r="K45" s="1289"/>
      <c r="L45" s="1290" t="s">
        <v>401</v>
      </c>
      <c r="P45" s="2188"/>
      <c r="Q45" s="2188">
        <v>1</v>
      </c>
      <c r="R45" s="293"/>
      <c r="S45" s="1419"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266</v>
      </c>
      <c r="B46" s="1289" t="s">
        <v>267</v>
      </c>
      <c r="C46" s="1289" t="s">
        <v>268</v>
      </c>
      <c r="D46" s="1289" t="s">
        <v>516</v>
      </c>
      <c r="E46" s="2185"/>
      <c r="F46" s="2185"/>
      <c r="G46" s="2185"/>
      <c r="H46" s="2185"/>
      <c r="I46" s="2187"/>
      <c r="J46" s="2187"/>
      <c r="K46" s="2186" t="str">
        <f>J45&amp;".1"</f>
        <v>...1.1.1</v>
      </c>
      <c r="L46" s="1290"/>
      <c r="P46" s="2188"/>
      <c r="Q46" s="2188"/>
      <c r="R46" s="293">
        <v>1</v>
      </c>
      <c r="S46" s="1419" t="str">
        <f>$K46</f>
        <v>...1.1.1</v>
      </c>
      <c r="T46" s="1363"/>
      <c r="U46" s="237"/>
      <c r="V46" s="1286"/>
      <c r="W46" s="1286"/>
      <c r="X46" s="1287"/>
      <c r="Y46" s="2182"/>
      <c r="Z46" s="2181" t="s">
        <v>66</v>
      </c>
      <c r="AA46" s="2182"/>
      <c r="AB46" s="2181" t="s">
        <v>66</v>
      </c>
      <c r="AC46" s="687"/>
      <c r="AD46" s="687"/>
      <c r="AE46" s="1183"/>
      <c r="AF46" s="2189"/>
      <c r="AG46" s="2066" t="s">
        <v>66</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266</v>
      </c>
      <c r="B47" s="1289" t="s">
        <v>267</v>
      </c>
      <c r="C47" s="1289" t="s">
        <v>268</v>
      </c>
      <c r="D47" s="1289" t="s">
        <v>516</v>
      </c>
      <c r="E47" s="2185"/>
      <c r="F47" s="2185"/>
      <c r="G47" s="2185"/>
      <c r="H47" s="2185"/>
      <c r="I47" s="2187"/>
      <c r="J47" s="2187"/>
      <c r="K47" s="2186"/>
      <c r="L47" s="1290"/>
      <c r="P47" s="2188"/>
      <c r="Q47" s="2188"/>
      <c r="R47" s="293"/>
      <c r="S47" s="1416"/>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266</v>
      </c>
      <c r="B48" s="1289" t="s">
        <v>267</v>
      </c>
      <c r="C48" s="1289" t="s">
        <v>268</v>
      </c>
      <c r="D48" s="1289" t="s">
        <v>516</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266</v>
      </c>
      <c r="B49" s="1289" t="s">
        <v>267</v>
      </c>
      <c r="C49" s="1289" t="s">
        <v>268</v>
      </c>
      <c r="D49" s="1289" t="s">
        <v>516</v>
      </c>
      <c r="E49" s="2185"/>
      <c r="F49" s="2185"/>
      <c r="G49" s="2185"/>
      <c r="H49" s="2185"/>
      <c r="I49" s="2186"/>
      <c r="J49" s="1289"/>
      <c r="K49" s="1289"/>
      <c r="L49" s="1290"/>
      <c r="P49" s="2188"/>
      <c r="Q49" s="1407"/>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266</v>
      </c>
      <c r="B50" s="1289" t="s">
        <v>267</v>
      </c>
      <c r="C50" s="1289" t="s">
        <v>268</v>
      </c>
      <c r="D50" s="1289" t="s">
        <v>516</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266</v>
      </c>
      <c r="B51" s="1269" t="s">
        <v>267</v>
      </c>
      <c r="C51" s="1240"/>
      <c r="D51" s="1240"/>
      <c r="E51" s="2185"/>
      <c r="F51" s="2184"/>
      <c r="G51" s="1240"/>
      <c r="H51" s="1240"/>
      <c r="I51" s="1240"/>
      <c r="J51" s="1240"/>
      <c r="K51" s="1240"/>
      <c r="L51" s="1420"/>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266</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419" t="e">
        <f>INDEX(PT_DIFFERENTIATION_NUM_NTAR,MATCH(A2,PT_DIFFERENTIATION_NTAR_ID,0))</f>
        <v>#N/A</v>
      </c>
      <c r="T2" s="235" t="s">
        <v>120</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419" t="e">
        <f>INDEX(PT_DIFFERENTIATION_NUM_TER,MATCH(B3,PT_DIFFERENTIATION_TER_ID,0))</f>
        <v>#N/A</v>
      </c>
      <c r="T3" s="245" t="s">
        <v>392</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393</v>
      </c>
      <c r="BE3" s="436"/>
      <c r="BF3" s="436" t="str">
        <f t="shared" si="0"/>
        <v>Территория действия тарифа</v>
      </c>
      <c r="BG3" s="436"/>
      <c r="BH3" s="436"/>
      <c r="BI3" s="1081">
        <v>0</v>
      </c>
    </row>
    <row r="4" spans="1:61" ht="33.75" hidden="1" customHeight="1">
      <c r="A4" s="1289"/>
      <c r="B4" s="1289"/>
      <c r="C4" s="1289"/>
      <c r="D4" s="1289"/>
      <c r="E4" s="2185"/>
      <c r="F4" s="2185"/>
      <c r="G4" s="2184">
        <v>1</v>
      </c>
      <c r="H4" s="1289"/>
      <c r="I4" s="1289"/>
      <c r="J4" s="1289"/>
      <c r="K4" s="1289"/>
      <c r="L4" s="1290"/>
      <c r="M4" s="1291"/>
      <c r="N4" s="1291"/>
      <c r="O4" s="1291"/>
      <c r="P4" s="1338"/>
      <c r="Q4" s="1337"/>
      <c r="R4" s="289"/>
      <c r="S4" s="1419" t="e">
        <f>INDEX(PT_DIFFERENTIATION_NUM_CS,MATCH(C4,PT_DIFFERENTIATION_CS_ID,0))</f>
        <v>#N/A</v>
      </c>
      <c r="T4" s="246" t="s">
        <v>511</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512</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397</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398</v>
      </c>
      <c r="M6" s="446"/>
      <c r="N6" s="446"/>
      <c r="O6" s="446"/>
      <c r="P6" s="2188">
        <v>1</v>
      </c>
      <c r="Q6" s="1407"/>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95" t="s">
        <v>66</v>
      </c>
      <c r="AB8" s="1660"/>
      <c r="AC8" s="1395" t="s">
        <v>66</v>
      </c>
      <c r="AD8" s="2128" t="s">
        <v>66</v>
      </c>
      <c r="AE8" s="2237"/>
      <c r="AF8" s="2141">
        <v>1</v>
      </c>
      <c r="AG8" s="2260"/>
      <c r="AH8" s="2066" t="s">
        <v>66</v>
      </c>
      <c r="AI8" s="2237"/>
      <c r="AJ8" s="2141">
        <v>1</v>
      </c>
      <c r="AK8" s="2251" t="s">
        <v>22</v>
      </c>
      <c r="AL8" s="2066" t="s">
        <v>66</v>
      </c>
      <c r="AM8" s="2116"/>
      <c r="AN8" s="2141">
        <v>1</v>
      </c>
      <c r="AO8" s="2264"/>
      <c r="AP8" s="2265" t="s">
        <v>66</v>
      </c>
      <c r="AQ8" s="248"/>
      <c r="AR8" s="1412">
        <v>1</v>
      </c>
      <c r="AS8" s="1418" t="s">
        <v>22</v>
      </c>
      <c r="AT8" s="687"/>
      <c r="AU8" s="1183"/>
      <c r="AV8" s="687"/>
      <c r="AW8" s="1183"/>
      <c r="AX8" s="1660"/>
      <c r="AY8" s="1395" t="s">
        <v>66</v>
      </c>
      <c r="AZ8" s="1660"/>
      <c r="BA8" s="1395" t="s">
        <v>66</v>
      </c>
      <c r="BB8" s="1274"/>
      <c r="BC8" s="2207" t="s">
        <v>496</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497</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517</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518</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42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65" customHeight="1">
      <c r="Q29" s="228"/>
      <c r="R29" s="312"/>
      <c r="S29" s="2137" t="str">
        <f>IF(org=0,"Не определено",org)</f>
        <v>ОП АО "Байкалэнерго" - "Саяногорские тепловые сети"</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42</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418</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419</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43</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418</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419</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65" customHeight="1">
      <c r="Q40" s="228"/>
      <c r="R40" s="312"/>
      <c r="S40" s="2056" t="s">
        <v>295</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296</v>
      </c>
      <c r="BI40" s="1081">
        <v>14</v>
      </c>
    </row>
    <row r="41" spans="1:61" ht="14.65" customHeight="1">
      <c r="Q41" s="228"/>
      <c r="R41" s="312"/>
      <c r="S41" s="2197" t="s">
        <v>84</v>
      </c>
      <c r="T41" s="2145" t="s">
        <v>502</v>
      </c>
      <c r="U41" s="238"/>
      <c r="V41" s="2198" t="s">
        <v>424</v>
      </c>
      <c r="W41" s="2199"/>
      <c r="X41" s="2199"/>
      <c r="Y41" s="2199"/>
      <c r="Z41" s="2199"/>
      <c r="AA41" s="2199"/>
      <c r="AB41" s="2200"/>
      <c r="AC41" s="2201" t="s">
        <v>425</v>
      </c>
      <c r="AD41" s="2230" t="s">
        <v>519</v>
      </c>
      <c r="AE41" s="2214"/>
      <c r="AF41" s="2214"/>
      <c r="AG41" s="2231"/>
      <c r="AH41" s="2230" t="s">
        <v>520</v>
      </c>
      <c r="AI41" s="2214"/>
      <c r="AJ41" s="2214"/>
      <c r="AK41" s="2231"/>
      <c r="AL41" s="2230" t="s">
        <v>521</v>
      </c>
      <c r="AM41" s="2214"/>
      <c r="AN41" s="2214"/>
      <c r="AO41" s="2231"/>
      <c r="AP41" s="2230" t="s">
        <v>506</v>
      </c>
      <c r="AQ41" s="2214"/>
      <c r="AR41" s="2214"/>
      <c r="AS41" s="2231"/>
      <c r="AT41" s="2198" t="s">
        <v>424</v>
      </c>
      <c r="AU41" s="2199"/>
      <c r="AV41" s="2199"/>
      <c r="AW41" s="2199"/>
      <c r="AX41" s="2199"/>
      <c r="AY41" s="2199"/>
      <c r="AZ41" s="2200"/>
      <c r="BA41" s="2201" t="s">
        <v>425</v>
      </c>
      <c r="BB41" s="2204" t="s">
        <v>427</v>
      </c>
      <c r="BC41" s="2056"/>
      <c r="BI41" s="1081">
        <v>14</v>
      </c>
    </row>
    <row r="42" spans="1:61" ht="35.65" customHeight="1">
      <c r="Q42" s="228"/>
      <c r="R42" s="312"/>
      <c r="S42" s="2197"/>
      <c r="T42" s="2145"/>
      <c r="U42" s="960"/>
      <c r="V42" s="2116" t="s">
        <v>507</v>
      </c>
      <c r="W42" s="2117"/>
      <c r="X42" s="2116" t="s">
        <v>508</v>
      </c>
      <c r="Y42" s="2117"/>
      <c r="Z42" s="2116" t="s">
        <v>509</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522</v>
      </c>
      <c r="AU42" s="2117"/>
      <c r="AV42" s="2116" t="s">
        <v>523</v>
      </c>
      <c r="AW42" s="2117"/>
      <c r="AX42" s="2116" t="s">
        <v>509</v>
      </c>
      <c r="AY42" s="2226"/>
      <c r="AZ42" s="2117"/>
      <c r="BA42" s="2202"/>
      <c r="BB42" s="2205"/>
      <c r="BC42" s="2056"/>
      <c r="BI42" s="1081">
        <v>34</v>
      </c>
    </row>
    <row r="43" spans="1:61" ht="14.65"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7"/>
      <c r="T44" s="2145"/>
      <c r="U44" s="239"/>
      <c r="V44" s="1405" t="s">
        <v>473</v>
      </c>
      <c r="W44" s="1405" t="s">
        <v>474</v>
      </c>
      <c r="X44" s="1405" t="s">
        <v>473</v>
      </c>
      <c r="Y44" s="1405" t="s">
        <v>474</v>
      </c>
      <c r="Z44" s="1415" t="s">
        <v>441</v>
      </c>
      <c r="AA44" s="2150" t="s">
        <v>442</v>
      </c>
      <c r="AB44" s="2164"/>
      <c r="AC44" s="2203"/>
      <c r="AD44" s="2234"/>
      <c r="AE44" s="2235"/>
      <c r="AF44" s="2235"/>
      <c r="AG44" s="2236"/>
      <c r="AH44" s="2234"/>
      <c r="AI44" s="2235"/>
      <c r="AJ44" s="2235"/>
      <c r="AK44" s="2236"/>
      <c r="AL44" s="2234"/>
      <c r="AM44" s="2235"/>
      <c r="AN44" s="2235"/>
      <c r="AO44" s="2236"/>
      <c r="AP44" s="2234"/>
      <c r="AQ44" s="2235"/>
      <c r="AR44" s="2235"/>
      <c r="AS44" s="2236"/>
      <c r="AT44" s="1405" t="s">
        <v>473</v>
      </c>
      <c r="AU44" s="1405" t="s">
        <v>474</v>
      </c>
      <c r="AV44" s="1405" t="s">
        <v>473</v>
      </c>
      <c r="AW44" s="1405" t="s">
        <v>474</v>
      </c>
      <c r="AX44" s="1415" t="s">
        <v>441</v>
      </c>
      <c r="AY44" s="2150" t="s">
        <v>442</v>
      </c>
      <c r="AZ44" s="2164"/>
      <c r="BA44" s="2203"/>
      <c r="BB44" s="2206"/>
      <c r="BC44" s="205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1.95" customHeight="1">
      <c r="A46" s="1289" t="s">
        <v>271</v>
      </c>
      <c r="B46" s="1289"/>
      <c r="C46" s="1289"/>
      <c r="D46" s="1289"/>
      <c r="E46" s="218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120</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271</v>
      </c>
      <c r="B47" s="1289" t="s">
        <v>272</v>
      </c>
      <c r="C47" s="1289"/>
      <c r="D47" s="1289"/>
      <c r="E47" s="2185"/>
      <c r="F47" s="2184">
        <v>1</v>
      </c>
      <c r="G47" s="1289"/>
      <c r="H47" s="1289"/>
      <c r="I47" s="1289"/>
      <c r="J47" s="1289"/>
      <c r="K47" s="1289"/>
      <c r="L47" s="1290"/>
      <c r="M47" s="1291"/>
      <c r="N47" s="1291"/>
      <c r="O47" s="1291"/>
      <c r="P47" s="1336"/>
      <c r="Q47" s="1337"/>
      <c r="R47" s="289"/>
      <c r="S47" s="1419" t="str">
        <f>INDEX(PT_DIFFERENTIATION_NUM_TER,MATCH(B47,PT_DIFFERENTIATION_TER_ID,0))</f>
        <v>.</v>
      </c>
      <c r="T47" s="245" t="s">
        <v>392</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393</v>
      </c>
      <c r="BE47" s="436"/>
      <c r="BF47" s="436" t="str">
        <f t="shared" si="3"/>
        <v>Территория действия тарифа</v>
      </c>
      <c r="BG47" s="436"/>
      <c r="BH47" s="436"/>
      <c r="BI47" s="1081">
        <v>21</v>
      </c>
    </row>
    <row r="48" spans="1:61" ht="35.65" customHeight="1">
      <c r="A48" s="1289" t="s">
        <v>271</v>
      </c>
      <c r="B48" s="1289" t="s">
        <v>272</v>
      </c>
      <c r="C48" s="1289" t="s">
        <v>273</v>
      </c>
      <c r="D48" s="1289"/>
      <c r="E48" s="2185"/>
      <c r="F48" s="2185"/>
      <c r="G48" s="2184">
        <v>1</v>
      </c>
      <c r="H48" s="1289"/>
      <c r="I48" s="1289"/>
      <c r="J48" s="1289"/>
      <c r="K48" s="1289"/>
      <c r="L48" s="1290"/>
      <c r="M48" s="1291"/>
      <c r="N48" s="1291"/>
      <c r="O48" s="1291"/>
      <c r="P48" s="1338"/>
      <c r="Q48" s="1337"/>
      <c r="R48" s="289"/>
      <c r="S48" s="1419" t="str">
        <f>INDEX(PT_DIFFERENTIATION_NUM_CS,MATCH(C48,PT_DIFFERENTIATION_CS_ID,0))</f>
        <v>..</v>
      </c>
      <c r="T48" s="246" t="s">
        <v>511</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512</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271</v>
      </c>
      <c r="B49" s="1269" t="s">
        <v>272</v>
      </c>
      <c r="C49" s="1269" t="s">
        <v>273</v>
      </c>
      <c r="D49" s="1269" t="s">
        <v>524</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397</v>
      </c>
      <c r="BE49" s="436"/>
      <c r="BF49" s="436" t="str">
        <f t="shared" si="3"/>
        <v/>
      </c>
      <c r="BG49" s="436"/>
      <c r="BH49" s="436"/>
      <c r="BI49" s="447">
        <v>0</v>
      </c>
    </row>
    <row r="50" spans="1:61" s="1568" customFormat="1" ht="0" hidden="1" customHeight="1">
      <c r="A50" s="1269" t="s">
        <v>271</v>
      </c>
      <c r="B50" s="1269" t="s">
        <v>272</v>
      </c>
      <c r="C50" s="1269" t="s">
        <v>273</v>
      </c>
      <c r="D50" s="1269" t="s">
        <v>524</v>
      </c>
      <c r="E50" s="2185"/>
      <c r="F50" s="2185"/>
      <c r="G50" s="2185"/>
      <c r="H50" s="2185"/>
      <c r="I50" s="2186" t="str">
        <f>S49&amp;".1"</f>
        <v>.1</v>
      </c>
      <c r="J50" s="1269"/>
      <c r="K50" s="1269"/>
      <c r="L50" s="1272" t="s">
        <v>398</v>
      </c>
      <c r="M50" s="446"/>
      <c r="N50" s="446"/>
      <c r="O50" s="446"/>
      <c r="P50" s="2188">
        <v>1</v>
      </c>
      <c r="Q50" s="1407"/>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271</v>
      </c>
      <c r="B51" s="1269" t="s">
        <v>272</v>
      </c>
      <c r="C51" s="1269" t="s">
        <v>273</v>
      </c>
      <c r="D51" s="1269" t="s">
        <v>524</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45" customHeight="1">
      <c r="A52" s="1289" t="s">
        <v>271</v>
      </c>
      <c r="B52" s="1289" t="s">
        <v>272</v>
      </c>
      <c r="C52" s="1289" t="s">
        <v>273</v>
      </c>
      <c r="D52" s="1289" t="s">
        <v>524</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95" t="s">
        <v>66</v>
      </c>
      <c r="AB52" s="1660"/>
      <c r="AC52" s="1395" t="s">
        <v>66</v>
      </c>
      <c r="AD52" s="2128" t="s">
        <v>66</v>
      </c>
      <c r="AE52" s="2237"/>
      <c r="AF52" s="2141">
        <v>1</v>
      </c>
      <c r="AG52" s="2260"/>
      <c r="AH52" s="2066" t="s">
        <v>66</v>
      </c>
      <c r="AI52" s="2237"/>
      <c r="AJ52" s="2141">
        <v>1</v>
      </c>
      <c r="AK52" s="2251" t="s">
        <v>22</v>
      </c>
      <c r="AL52" s="2066" t="s">
        <v>66</v>
      </c>
      <c r="AM52" s="2116"/>
      <c r="AN52" s="2141">
        <v>1</v>
      </c>
      <c r="AO52" s="2264"/>
      <c r="AP52" s="2265" t="s">
        <v>66</v>
      </c>
      <c r="AQ52" s="248"/>
      <c r="AR52" s="1412">
        <v>1</v>
      </c>
      <c r="AS52" s="1418" t="s">
        <v>22</v>
      </c>
      <c r="AT52" s="687"/>
      <c r="AU52" s="1183"/>
      <c r="AV52" s="687"/>
      <c r="AW52" s="1183"/>
      <c r="AX52" s="1660"/>
      <c r="AY52" s="1395" t="s">
        <v>66</v>
      </c>
      <c r="AZ52" s="1660"/>
      <c r="BA52" s="1395" t="s">
        <v>66</v>
      </c>
      <c r="BB52" s="1274"/>
      <c r="BC52" s="2207" t="s">
        <v>496</v>
      </c>
      <c r="BE52" s="436"/>
      <c r="BF52" s="436" t="str">
        <f t="shared" si="3"/>
        <v/>
      </c>
      <c r="BG52" s="436"/>
      <c r="BH52" s="436"/>
      <c r="BI52" s="1081">
        <v>11</v>
      </c>
    </row>
    <row r="53" spans="1:61" ht="11.4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497</v>
      </c>
      <c r="AT53" s="1319"/>
      <c r="AU53" s="1422"/>
      <c r="AV53" s="1319"/>
      <c r="AW53" s="1422"/>
      <c r="AX53" s="1319"/>
      <c r="AY53" s="1319"/>
      <c r="AZ53" s="1319"/>
      <c r="BA53" s="1319"/>
      <c r="BB53" s="1323"/>
      <c r="BC53" s="2208"/>
      <c r="BE53" s="436"/>
      <c r="BF53" s="436"/>
      <c r="BG53" s="436"/>
      <c r="BH53" s="436"/>
      <c r="BI53" s="1081">
        <v>11</v>
      </c>
    </row>
    <row r="54" spans="1:61" ht="11.45" customHeight="1">
      <c r="A54" s="1289" t="s">
        <v>271</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517</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45" customHeight="1">
      <c r="A55" s="1289" t="s">
        <v>271</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518</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45" customHeight="1">
      <c r="A56" s="1289" t="s">
        <v>271</v>
      </c>
      <c r="B56" s="1289" t="s">
        <v>272</v>
      </c>
      <c r="C56" s="1289" t="s">
        <v>273</v>
      </c>
      <c r="D56" s="1289" t="s">
        <v>524</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45" customHeight="1">
      <c r="A57" s="1289" t="s">
        <v>271</v>
      </c>
      <c r="B57" s="1289" t="s">
        <v>272</v>
      </c>
      <c r="C57" s="1289" t="s">
        <v>273</v>
      </c>
      <c r="D57" s="1289" t="s">
        <v>524</v>
      </c>
      <c r="E57" s="2185"/>
      <c r="F57" s="2185"/>
      <c r="G57" s="2185"/>
      <c r="H57" s="2185"/>
      <c r="I57" s="2187"/>
      <c r="J57" s="2186"/>
      <c r="K57" s="1289"/>
      <c r="L57" s="1290"/>
      <c r="P57" s="2188"/>
      <c r="Q57" s="2188"/>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271</v>
      </c>
      <c r="B58" s="1269" t="s">
        <v>272</v>
      </c>
      <c r="C58" s="1269" t="s">
        <v>273</v>
      </c>
      <c r="D58" s="1269" t="s">
        <v>524</v>
      </c>
      <c r="E58" s="2185"/>
      <c r="F58" s="2185"/>
      <c r="G58" s="2185"/>
      <c r="H58" s="2185"/>
      <c r="I58" s="2186"/>
      <c r="J58" s="1269"/>
      <c r="K58" s="1269"/>
      <c r="L58" s="1272"/>
      <c r="M58" s="446"/>
      <c r="N58" s="446"/>
      <c r="O58" s="446"/>
      <c r="P58" s="218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271</v>
      </c>
      <c r="B59" s="1269" t="s">
        <v>272</v>
      </c>
      <c r="C59" s="1269" t="s">
        <v>273</v>
      </c>
      <c r="D59" s="1269" t="s">
        <v>524</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271</v>
      </c>
      <c r="B60" s="1269" t="s">
        <v>272</v>
      </c>
      <c r="C60" s="1269" t="s">
        <v>273</v>
      </c>
      <c r="D60" s="1240"/>
      <c r="E60" s="2185"/>
      <c r="F60" s="2185"/>
      <c r="G60" s="218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271</v>
      </c>
      <c r="B61" s="1269" t="s">
        <v>272</v>
      </c>
      <c r="C61" s="1240"/>
      <c r="D61" s="1240"/>
      <c r="E61" s="2185"/>
      <c r="F61" s="2184"/>
      <c r="G61" s="1240"/>
      <c r="H61" s="1240"/>
      <c r="I61" s="1240"/>
      <c r="J61" s="1240"/>
      <c r="K61" s="1240"/>
      <c r="L61" s="142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271</v>
      </c>
      <c r="B62" s="1269"/>
      <c r="C62" s="1269"/>
      <c r="D62" s="1269"/>
      <c r="E62" s="2184"/>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14</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79</v>
      </c>
      <c r="H1" s="430" t="s">
        <v>80</v>
      </c>
      <c r="I1" s="164" t="s">
        <v>81</v>
      </c>
      <c r="J1" s="184" t="s">
        <v>79</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42" t="str">
        <f>NameTemplatesInListMO</f>
        <v>Перечень муниципальных районов и муниципальных образований (территорий действия тарифа)</v>
      </c>
      <c r="F4" s="2042"/>
      <c r="G4" s="2042"/>
      <c r="H4" s="2042"/>
      <c r="I4" s="2042"/>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38" t="s">
        <v>82</v>
      </c>
      <c r="F8" s="2043"/>
      <c r="G8" s="2037"/>
      <c r="H8" s="2044" t="s">
        <v>83</v>
      </c>
      <c r="I8" s="2044"/>
      <c r="J8" s="92"/>
      <c r="K8" s="92"/>
      <c r="L8" s="92"/>
      <c r="M8" s="92"/>
      <c r="N8" s="163"/>
      <c r="O8" s="92"/>
      <c r="P8" s="162"/>
      <c r="Q8" s="162"/>
      <c r="R8" s="162"/>
      <c r="S8" s="162"/>
      <c r="AC8" s="55">
        <v>14</v>
      </c>
    </row>
    <row r="9" spans="1:29" s="1745" customFormat="1" ht="21" customHeight="1">
      <c r="A9" s="692"/>
      <c r="B9" s="353"/>
      <c r="C9" s="692"/>
      <c r="D9" s="101"/>
      <c r="E9" s="708" t="s">
        <v>84</v>
      </c>
      <c r="F9" s="708"/>
      <c r="G9" s="109" t="s">
        <v>85</v>
      </c>
      <c r="H9" s="109" t="s">
        <v>85</v>
      </c>
      <c r="I9" s="109" t="s">
        <v>81</v>
      </c>
      <c r="J9" s="92"/>
      <c r="K9" s="92"/>
      <c r="L9" s="92"/>
      <c r="M9" s="92"/>
      <c r="N9" s="163"/>
      <c r="O9" s="92"/>
      <c r="P9" s="162"/>
      <c r="Q9" s="162"/>
      <c r="R9" s="162"/>
      <c r="S9" s="162"/>
      <c r="AC9" s="55">
        <v>20</v>
      </c>
    </row>
    <row r="10" spans="1:29" ht="11.45" customHeight="1">
      <c r="D10" s="113"/>
      <c r="E10" s="709" t="s">
        <v>86</v>
      </c>
      <c r="F10" s="709"/>
      <c r="G10" s="160" t="s">
        <v>87</v>
      </c>
      <c r="H10" s="160" t="s">
        <v>88</v>
      </c>
      <c r="I10" s="160" t="s">
        <v>89</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90</v>
      </c>
      <c r="K11" s="92"/>
      <c r="L11" s="92"/>
      <c r="M11" s="92" t="s">
        <v>91</v>
      </c>
      <c r="N11" s="163" t="s">
        <v>92</v>
      </c>
      <c r="O11" s="92" t="s">
        <v>93</v>
      </c>
      <c r="P11" s="162"/>
      <c r="Q11" s="162"/>
      <c r="R11" s="162"/>
      <c r="S11" s="162"/>
      <c r="AC11" s="55">
        <v>1</v>
      </c>
    </row>
    <row r="12" spans="1:29" s="1745" customFormat="1" ht="15" customHeight="1">
      <c r="A12" s="2041">
        <v>1</v>
      </c>
      <c r="B12" s="353"/>
      <c r="C12" s="692"/>
      <c r="D12" s="712"/>
      <c r="E12" s="156">
        <f>A12</f>
        <v>1</v>
      </c>
      <c r="F12" s="732" t="s">
        <v>94</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41"/>
      <c r="B13" s="353">
        <v>1</v>
      </c>
      <c r="C13" s="353"/>
      <c r="D13" s="730"/>
      <c r="E13" s="711" t="str">
        <f>A12&amp;"."&amp;B13</f>
        <v>1.1</v>
      </c>
      <c r="F13" s="725" t="s">
        <v>95</v>
      </c>
      <c r="G13" s="723" t="s">
        <v>96</v>
      </c>
      <c r="H13" s="723" t="s">
        <v>96</v>
      </c>
      <c r="I13" s="721" t="s">
        <v>97</v>
      </c>
      <c r="J13" s="436" t="e">
        <f ca="1">MERGEVALUE(G13)</f>
        <v>#NAME?</v>
      </c>
      <c r="K13" s="447"/>
      <c r="L13" s="447"/>
      <c r="M13" s="436" t="str">
        <f t="array" ref="M13">IF(ISERROR(MATCH(MID(N13,1,250),MID(note_ter,1,250),0)),"n","y")</f>
        <v>n</v>
      </c>
      <c r="N13" s="447"/>
      <c r="O13" s="436" t="str">
        <f>H13&amp;"("&amp;I13&amp;")"</f>
        <v>город Саяногорск(95708000)</v>
      </c>
      <c r="P13" s="353"/>
      <c r="Q13" s="353"/>
      <c r="R13" s="356"/>
      <c r="S13" s="353"/>
      <c r="T13" s="353"/>
      <c r="U13" s="353"/>
      <c r="V13" s="358"/>
      <c r="W13" s="358"/>
      <c r="X13" s="355"/>
      <c r="Y13" s="355"/>
      <c r="Z13" s="355"/>
      <c r="AA13" s="355"/>
      <c r="AB13" s="355"/>
      <c r="AC13" s="359">
        <v>15</v>
      </c>
    </row>
    <row r="14" spans="1:29" s="1775" customFormat="1" ht="15.75" customHeight="1">
      <c r="A14" s="2041"/>
      <c r="B14" s="353"/>
      <c r="C14" s="348"/>
      <c r="D14" s="731"/>
      <c r="E14" s="357"/>
      <c r="F14" s="114"/>
      <c r="G14" s="351" t="s">
        <v>98</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99</v>
      </c>
      <c r="H15" s="115"/>
      <c r="I15" s="116"/>
      <c r="J15" s="186"/>
      <c r="K15" s="92"/>
      <c r="L15" s="92"/>
      <c r="M15" s="92"/>
      <c r="N15" s="163" t="s">
        <v>100</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78</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4" t="s">
        <v>393</v>
      </c>
      <c r="AU3" s="436"/>
      <c r="AV3" s="436" t="str">
        <f t="shared" si="0"/>
        <v>Территория действия тарифа</v>
      </c>
      <c r="AW3" s="436"/>
      <c r="AX3" s="436"/>
      <c r="AY3" s="1081">
        <v>0</v>
      </c>
    </row>
    <row r="4" spans="1:51"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525</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4" t="s">
        <v>526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479</v>
      </c>
      <c r="AU5" s="436"/>
      <c r="AV5" s="436" t="str">
        <f t="shared" si="0"/>
        <v>Наименование признака дифференциации</v>
      </c>
      <c r="AW5" s="436"/>
      <c r="AX5" s="436"/>
      <c r="AY5" s="1081">
        <v>0</v>
      </c>
    </row>
    <row r="6" spans="1:51"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3" t="s">
        <v>480</v>
      </c>
      <c r="AU6" s="436"/>
      <c r="AV6" s="436" t="str">
        <f t="shared" si="0"/>
        <v>Группа потребителей</v>
      </c>
      <c r="AW6" s="436"/>
      <c r="AX6" s="436"/>
      <c r="AY6" s="1081">
        <v>0</v>
      </c>
    </row>
    <row r="7" spans="1:51"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687"/>
      <c r="Y7" s="687"/>
      <c r="Z7" s="687"/>
      <c r="AA7" s="687"/>
      <c r="AB7" s="687"/>
      <c r="AC7" s="2189"/>
      <c r="AD7" s="2066" t="s">
        <v>66</v>
      </c>
      <c r="AE7" s="2189"/>
      <c r="AF7" s="2066" t="s">
        <v>66</v>
      </c>
      <c r="AG7" s="687"/>
      <c r="AH7" s="687"/>
      <c r="AI7" s="687"/>
      <c r="AJ7" s="687"/>
      <c r="AK7" s="687"/>
      <c r="AL7" s="687"/>
      <c r="AM7" s="687"/>
      <c r="AN7" s="2189"/>
      <c r="AO7" s="2066" t="s">
        <v>66</v>
      </c>
      <c r="AP7" s="2191"/>
      <c r="AQ7" s="2066" t="s">
        <v>66</v>
      </c>
      <c r="AR7" s="1364"/>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5"/>
      <c r="F8" s="2185"/>
      <c r="G8" s="2185"/>
      <c r="H8" s="2185"/>
      <c r="I8" s="2187"/>
      <c r="J8" s="2187"/>
      <c r="K8" s="2186"/>
      <c r="L8" s="1290"/>
      <c r="P8" s="2188"/>
      <c r="Q8" s="2188"/>
      <c r="R8" s="293"/>
      <c r="S8" s="1416"/>
      <c r="T8" s="237"/>
      <c r="U8" s="237"/>
      <c r="V8" s="262"/>
      <c r="W8" s="262"/>
      <c r="X8" s="262"/>
      <c r="Y8" s="262"/>
      <c r="Z8" s="262"/>
      <c r="AA8" s="262"/>
      <c r="AB8" s="262"/>
      <c r="AC8" s="2190"/>
      <c r="AD8" s="2066"/>
      <c r="AE8" s="2190"/>
      <c r="AF8" s="2066"/>
      <c r="AG8" s="262"/>
      <c r="AH8" s="262"/>
      <c r="AI8" s="262"/>
      <c r="AJ8" s="262"/>
      <c r="AK8" s="262"/>
      <c r="AL8" s="262"/>
      <c r="AM8" s="262"/>
      <c r="AN8" s="2190"/>
      <c r="AO8" s="2066"/>
      <c r="AP8" s="2192"/>
      <c r="AQ8" s="2066"/>
      <c r="AR8" s="1365"/>
      <c r="AS8" s="2258"/>
      <c r="AU8" s="436"/>
      <c r="AV8" s="436" t="str">
        <f t="shared" si="0"/>
        <v/>
      </c>
      <c r="AW8" s="436"/>
      <c r="AX8" s="436"/>
      <c r="AY8" s="1081">
        <v>0</v>
      </c>
    </row>
    <row r="9" spans="1:51" ht="21" hidden="1" customHeight="1">
      <c r="A9" s="1289"/>
      <c r="B9" s="1289"/>
      <c r="C9" s="1289"/>
      <c r="D9" s="1289"/>
      <c r="E9" s="2185"/>
      <c r="F9" s="2185"/>
      <c r="G9" s="2185"/>
      <c r="H9" s="2185"/>
      <c r="I9" s="2187"/>
      <c r="J9" s="2186"/>
      <c r="K9" s="1289"/>
      <c r="L9" s="1290"/>
      <c r="P9" s="2188"/>
      <c r="Q9" s="2188"/>
      <c r="R9" s="292"/>
      <c r="S9" s="1204"/>
      <c r="T9" s="224" t="s">
        <v>481</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2"/>
      <c r="AO15" s="2181" t="s">
        <v>66</v>
      </c>
      <c r="AP15" s="2182"/>
      <c r="AQ15" s="2181" t="s">
        <v>66</v>
      </c>
      <c r="AY15" s="1081">
        <v>0</v>
      </c>
    </row>
    <row r="16" spans="1:51" ht="14.25" hidden="1" customHeight="1">
      <c r="AG16" s="1286"/>
      <c r="AH16" s="1286"/>
      <c r="AI16" s="1286"/>
      <c r="AJ16" s="1286"/>
      <c r="AK16" s="1286"/>
      <c r="AL16" s="1286"/>
      <c r="AM16" s="1286"/>
      <c r="AN16" s="2181"/>
      <c r="AO16" s="2181"/>
      <c r="AP16" s="2181"/>
      <c r="AQ16" s="2181"/>
      <c r="AY16" s="1081">
        <v>0</v>
      </c>
    </row>
    <row r="17" spans="1:51" ht="14.25" hidden="1" customHeight="1">
      <c r="AQ17" s="264"/>
      <c r="AY17" s="1081">
        <v>0</v>
      </c>
    </row>
    <row r="18" spans="1:51" s="1292" customFormat="1" ht="22.5" hidden="1" customHeight="1">
      <c r="L18" s="1404"/>
      <c r="M18" s="1288"/>
      <c r="N18" s="1288"/>
      <c r="O18" s="1293" t="s">
        <v>412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413</v>
      </c>
      <c r="P20" s="1288"/>
      <c r="Q20" s="1368"/>
      <c r="R20" s="1368"/>
      <c r="S20" s="665"/>
      <c r="T20" s="1086" t="s">
        <v>414</v>
      </c>
      <c r="AD20" s="123" t="s">
        <v>415</v>
      </c>
      <c r="AF20" s="123" t="s">
        <v>416</v>
      </c>
      <c r="AG20" s="1086" t="s">
        <v>414</v>
      </c>
      <c r="AO20" s="123" t="s">
        <v>417</v>
      </c>
      <c r="AQ20" s="123" t="s">
        <v>416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9"/>
      <c r="AY24" s="1081">
        <v>25</v>
      </c>
    </row>
    <row r="25" spans="1:51"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422</v>
      </c>
      <c r="AG34" s="263"/>
      <c r="AH34" s="1561"/>
      <c r="AI34" s="1561"/>
      <c r="AJ34" s="1561"/>
      <c r="AK34" s="1561"/>
      <c r="AL34" s="1561"/>
      <c r="AM34" s="263"/>
      <c r="AN34" s="263"/>
      <c r="AO34" s="263"/>
      <c r="AP34" s="263"/>
      <c r="AQ34" s="215" t="s">
        <v>422</v>
      </c>
      <c r="AT34" s="304"/>
      <c r="AU34" s="304"/>
      <c r="AV34" s="304"/>
      <c r="AW34" s="304"/>
      <c r="AX34" s="304"/>
      <c r="AY34" s="354">
        <v>1</v>
      </c>
    </row>
    <row r="35" spans="1:51" ht="14.65" customHeight="1">
      <c r="Q35" s="312"/>
      <c r="R35" s="312"/>
      <c r="S35" s="1201"/>
      <c r="T35" s="299"/>
      <c r="U35" s="1170"/>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1">
        <v>14</v>
      </c>
    </row>
    <row r="36" spans="1:51"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296</v>
      </c>
      <c r="AY36" s="1081">
        <v>14</v>
      </c>
    </row>
    <row r="37" spans="1:51" ht="14.65" customHeight="1">
      <c r="Q37" s="312"/>
      <c r="R37" s="312"/>
      <c r="S37" s="2197" t="s">
        <v>84</v>
      </c>
      <c r="T37" s="2145" t="s">
        <v>423</v>
      </c>
      <c r="U37" s="238"/>
      <c r="V37" s="2198" t="s">
        <v>424</v>
      </c>
      <c r="W37" s="2214"/>
      <c r="X37" s="2214"/>
      <c r="Y37" s="2214"/>
      <c r="Z37" s="2214"/>
      <c r="AA37" s="2214"/>
      <c r="AB37" s="2214"/>
      <c r="AC37" s="2199"/>
      <c r="AD37" s="2199"/>
      <c r="AE37" s="2200"/>
      <c r="AF37" s="2201" t="s">
        <v>425</v>
      </c>
      <c r="AG37" s="2198" t="s">
        <v>424</v>
      </c>
      <c r="AH37" s="2199"/>
      <c r="AI37" s="2199"/>
      <c r="AJ37" s="2199"/>
      <c r="AK37" s="2199"/>
      <c r="AL37" s="2199"/>
      <c r="AM37" s="2199"/>
      <c r="AN37" s="2199"/>
      <c r="AO37" s="2199"/>
      <c r="AP37" s="2200"/>
      <c r="AQ37" s="2201" t="s">
        <v>426</v>
      </c>
      <c r="AR37" s="2204" t="s">
        <v>427</v>
      </c>
      <c r="AS37" s="2056"/>
      <c r="AY37" s="1081">
        <v>14</v>
      </c>
    </row>
    <row r="38" spans="1:51" ht="19.899999999999999" customHeight="1">
      <c r="Q38" s="312"/>
      <c r="R38" s="312"/>
      <c r="S38" s="2197"/>
      <c r="T38" s="2145"/>
      <c r="U38" s="960"/>
      <c r="V38" s="2056" t="s">
        <v>527</v>
      </c>
      <c r="W38" s="2268" t="s">
        <v>528</v>
      </c>
      <c r="X38" s="2268"/>
      <c r="Y38" s="2268"/>
      <c r="Z38" s="2268" t="s">
        <v>529</v>
      </c>
      <c r="AA38" s="2268"/>
      <c r="AB38" s="2268"/>
      <c r="AC38" s="2116" t="s">
        <v>431</v>
      </c>
      <c r="AD38" s="2226"/>
      <c r="AE38" s="2117"/>
      <c r="AF38" s="2202"/>
      <c r="AG38" s="2056" t="s">
        <v>527</v>
      </c>
      <c r="AH38" s="2268" t="s">
        <v>528</v>
      </c>
      <c r="AI38" s="2268"/>
      <c r="AJ38" s="2268"/>
      <c r="AK38" s="2268" t="s">
        <v>529</v>
      </c>
      <c r="AL38" s="2268"/>
      <c r="AM38" s="2268"/>
      <c r="AN38" s="2116" t="s">
        <v>431</v>
      </c>
      <c r="AO38" s="2226"/>
      <c r="AP38" s="2117"/>
      <c r="AQ38" s="2202"/>
      <c r="AR38" s="2205"/>
      <c r="AS38" s="2056"/>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197"/>
      <c r="T39" s="2145"/>
      <c r="U39" s="960"/>
      <c r="V39" s="2056"/>
      <c r="W39" s="2268" t="s">
        <v>530</v>
      </c>
      <c r="X39" s="2268" t="s">
        <v>531</v>
      </c>
      <c r="Y39" s="2268"/>
      <c r="Z39" s="2268" t="s">
        <v>532</v>
      </c>
      <c r="AA39" s="2268" t="s">
        <v>531</v>
      </c>
      <c r="AB39" s="2268"/>
      <c r="AC39" s="2121"/>
      <c r="AD39" s="2227"/>
      <c r="AE39" s="2122"/>
      <c r="AF39" s="2202"/>
      <c r="AG39" s="2056"/>
      <c r="AH39" s="2268" t="s">
        <v>530</v>
      </c>
      <c r="AI39" s="2268" t="s">
        <v>531</v>
      </c>
      <c r="AJ39" s="2268"/>
      <c r="AK39" s="2268" t="s">
        <v>532</v>
      </c>
      <c r="AL39" s="2268" t="s">
        <v>531</v>
      </c>
      <c r="AM39" s="2268"/>
      <c r="AN39" s="2121"/>
      <c r="AO39" s="2227"/>
      <c r="AP39" s="2122"/>
      <c r="AQ39" s="2202"/>
      <c r="AR39" s="2205"/>
      <c r="AS39" s="2056"/>
      <c r="AT39" s="1562"/>
      <c r="AU39" s="1562"/>
      <c r="AV39" s="1562"/>
      <c r="AW39" s="1562"/>
      <c r="AX39" s="1562"/>
      <c r="AY39" s="1557">
        <v>19</v>
      </c>
    </row>
    <row r="40" spans="1:51" ht="61.9" customHeight="1">
      <c r="A40" s="1296"/>
      <c r="B40" s="1296" t="s">
        <v>132</v>
      </c>
      <c r="C40" s="1296" t="s">
        <v>133</v>
      </c>
      <c r="D40" s="1296" t="s">
        <v>134</v>
      </c>
      <c r="E40" s="1290" t="s">
        <v>432</v>
      </c>
      <c r="F40" s="1290" t="s">
        <v>433</v>
      </c>
      <c r="G40" s="1290" t="s">
        <v>434</v>
      </c>
      <c r="H40" s="1290"/>
      <c r="I40" s="1290" t="s">
        <v>485</v>
      </c>
      <c r="J40" s="1290" t="s">
        <v>437</v>
      </c>
      <c r="K40" s="1290" t="s">
        <v>486</v>
      </c>
      <c r="L40" s="1290" t="s">
        <v>413</v>
      </c>
      <c r="Q40" s="312"/>
      <c r="R40" s="312"/>
      <c r="S40" s="2197"/>
      <c r="T40" s="2145"/>
      <c r="U40" s="239"/>
      <c r="V40" s="2056"/>
      <c r="W40" s="2268"/>
      <c r="X40" s="1905" t="s">
        <v>533</v>
      </c>
      <c r="Y40" s="1905" t="s">
        <v>534</v>
      </c>
      <c r="Z40" s="2268"/>
      <c r="AA40" s="1905" t="s">
        <v>535</v>
      </c>
      <c r="AB40" s="1905" t="s">
        <v>536</v>
      </c>
      <c r="AC40" s="1415" t="s">
        <v>441</v>
      </c>
      <c r="AD40" s="2150" t="s">
        <v>442</v>
      </c>
      <c r="AE40" s="2164"/>
      <c r="AF40" s="2203"/>
      <c r="AG40" s="2056"/>
      <c r="AH40" s="2268"/>
      <c r="AI40" s="1905" t="s">
        <v>533</v>
      </c>
      <c r="AJ40" s="1905" t="s">
        <v>534</v>
      </c>
      <c r="AK40" s="2268"/>
      <c r="AL40" s="1905" t="s">
        <v>535</v>
      </c>
      <c r="AM40" s="1905" t="s">
        <v>536</v>
      </c>
      <c r="AN40" s="1415" t="s">
        <v>441</v>
      </c>
      <c r="AO40" s="2150" t="s">
        <v>442</v>
      </c>
      <c r="AP40" s="2164"/>
      <c r="AQ40" s="2203"/>
      <c r="AR40" s="2206"/>
      <c r="AS40" s="205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105</v>
      </c>
      <c r="T41" s="1181" t="s">
        <v>106</v>
      </c>
      <c r="U41" s="1171" t="str">
        <f ca="1">OFFSET(U41,0,-1)</f>
        <v>2</v>
      </c>
      <c r="V41" s="1408">
        <f ca="1">OFFSET(V41,0,-1)+1</f>
        <v>3</v>
      </c>
      <c r="W41" s="1267"/>
      <c r="X41" s="1267"/>
      <c r="Y41" s="1267"/>
      <c r="Z41" s="1267"/>
      <c r="AA41" s="1267"/>
      <c r="AB41" s="1267"/>
      <c r="AC41" s="1408">
        <f ca="1">OFFSET(AC41,0,-1)+1</f>
        <v>1</v>
      </c>
      <c r="AD41" s="2195">
        <f ca="1">OFFSET(AD41,0,-1)+1</f>
        <v>2</v>
      </c>
      <c r="AE41" s="2195"/>
      <c r="AF41" s="1408">
        <f ca="1">OFFSET(AF41,0,-2)+1</f>
        <v>3</v>
      </c>
      <c r="AG41" s="1408">
        <f ca="1">OFFSET(AG41,0,-1)+1</f>
        <v>4</v>
      </c>
      <c r="AH41" s="1878"/>
      <c r="AI41" s="1878"/>
      <c r="AJ41" s="1878"/>
      <c r="AK41" s="1878"/>
      <c r="AL41" s="1878"/>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246</v>
      </c>
      <c r="B42" s="1289"/>
      <c r="C42" s="1289"/>
      <c r="D42" s="1289"/>
      <c r="E42" s="218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120</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246</v>
      </c>
      <c r="B43" s="1289" t="s">
        <v>247</v>
      </c>
      <c r="C43" s="1289"/>
      <c r="D43" s="1289"/>
      <c r="E43" s="2185"/>
      <c r="F43" s="2184">
        <v>1</v>
      </c>
      <c r="G43" s="1289"/>
      <c r="H43" s="1289"/>
      <c r="I43" s="1289"/>
      <c r="J43" s="1289"/>
      <c r="K43" s="1289"/>
      <c r="L43" s="1290"/>
      <c r="M43" s="1291"/>
      <c r="N43" s="1291"/>
      <c r="O43" s="1291"/>
      <c r="P43" s="1413"/>
      <c r="Q43" s="288"/>
      <c r="R43" s="289"/>
      <c r="S43" s="1419" t="str">
        <f>INDEX(PT_DIFFERENTIATION_NUM_TER,MATCH(B43,PT_DIFFERENTIATION_TER_ID,0))</f>
        <v>.</v>
      </c>
      <c r="T43" s="245" t="s">
        <v>392</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4" t="s">
        <v>393</v>
      </c>
      <c r="AU43" s="436"/>
      <c r="AV43" s="436" t="str">
        <f t="shared" si="1"/>
        <v>Территория действия тарифа</v>
      </c>
      <c r="AW43" s="436"/>
      <c r="AX43" s="436"/>
      <c r="AY43" s="1081">
        <v>23</v>
      </c>
    </row>
    <row r="44" spans="1:51" ht="24" customHeight="1">
      <c r="A44" s="1289" t="s">
        <v>246</v>
      </c>
      <c r="B44" s="1289" t="s">
        <v>247</v>
      </c>
      <c r="C44" s="1289" t="s">
        <v>248</v>
      </c>
      <c r="D44" s="1289"/>
      <c r="E44" s="2185"/>
      <c r="F44" s="2185"/>
      <c r="G44" s="2184">
        <v>1</v>
      </c>
      <c r="H44" s="1289"/>
      <c r="I44" s="1289"/>
      <c r="J44" s="1289"/>
      <c r="K44" s="1289"/>
      <c r="L44" s="1290"/>
      <c r="M44" s="1291"/>
      <c r="N44" s="1291"/>
      <c r="O44" s="1291"/>
      <c r="P44" s="290"/>
      <c r="Q44" s="288"/>
      <c r="R44" s="289"/>
      <c r="S44" s="1419" t="str">
        <f>INDEX(PT_DIFFERENTIATION_NUM_CS,MATCH(C44,PT_DIFFERENTIATION_CS_ID,0))</f>
        <v>..</v>
      </c>
      <c r="T44" s="246" t="s">
        <v>525</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4" t="s">
        <v>526</v>
      </c>
      <c r="AU44" s="436"/>
      <c r="AV44" s="436" t="str">
        <f t="shared" si="1"/>
        <v>Наименование централизованной системы горячего водоснабжения</v>
      </c>
      <c r="AW44" s="436"/>
      <c r="AX44" s="436"/>
      <c r="AY44" s="1081">
        <v>23</v>
      </c>
    </row>
    <row r="45" spans="1:51" ht="24" customHeight="1">
      <c r="A45" s="1289" t="s">
        <v>246</v>
      </c>
      <c r="B45" s="1289" t="s">
        <v>247</v>
      </c>
      <c r="C45" s="1289" t="s">
        <v>248</v>
      </c>
      <c r="D45" s="1289" t="s">
        <v>537</v>
      </c>
      <c r="E45" s="2185"/>
      <c r="F45" s="2185"/>
      <c r="G45" s="2185"/>
      <c r="H45" s="2185"/>
      <c r="I45" s="2186" t="str">
        <f>S44&amp;".1"</f>
        <v>...1</v>
      </c>
      <c r="J45" s="1289"/>
      <c r="K45" s="1289"/>
      <c r="L45" s="1290"/>
      <c r="P45" s="2188">
        <v>1</v>
      </c>
      <c r="Q45" s="1407"/>
      <c r="R45" s="292"/>
      <c r="S45" s="1419" t="str">
        <f>$I45</f>
        <v>...1</v>
      </c>
      <c r="T45" s="222" t="s">
        <v>478</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479</v>
      </c>
      <c r="AU45" s="436"/>
      <c r="AV45" s="436" t="str">
        <f t="shared" si="1"/>
        <v>Наименование признака дифференциации</v>
      </c>
      <c r="AW45" s="436"/>
      <c r="AX45" s="436"/>
      <c r="AY45" s="1081">
        <v>23</v>
      </c>
    </row>
    <row r="46" spans="1:51" ht="24" customHeight="1">
      <c r="A46" s="1289" t="s">
        <v>246</v>
      </c>
      <c r="B46" s="1289" t="s">
        <v>247</v>
      </c>
      <c r="C46" s="1289" t="s">
        <v>248</v>
      </c>
      <c r="D46" s="1289" t="s">
        <v>537</v>
      </c>
      <c r="E46" s="2185"/>
      <c r="F46" s="2185"/>
      <c r="G46" s="2185"/>
      <c r="H46" s="2185"/>
      <c r="I46" s="2187"/>
      <c r="J46" s="2186" t="str">
        <f>I45&amp;".1"</f>
        <v>...1.1</v>
      </c>
      <c r="K46" s="1289"/>
      <c r="L46" s="1290" t="s">
        <v>401</v>
      </c>
      <c r="P46" s="2188"/>
      <c r="Q46" s="2188">
        <v>1</v>
      </c>
      <c r="R46" s="293"/>
      <c r="S46" s="1419" t="str">
        <f>$J46</f>
        <v>...1.1</v>
      </c>
      <c r="T46" s="223" t="s">
        <v>402</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3" t="s">
        <v>480</v>
      </c>
      <c r="AU46" s="436"/>
      <c r="AV46" s="436" t="str">
        <f t="shared" si="1"/>
        <v>Группа потребителей</v>
      </c>
      <c r="AW46" s="436"/>
      <c r="AX46" s="436"/>
      <c r="AY46" s="1081">
        <v>23</v>
      </c>
    </row>
    <row r="47" spans="1:51" ht="24" customHeight="1">
      <c r="A47" s="1289" t="s">
        <v>246</v>
      </c>
      <c r="B47" s="1289" t="s">
        <v>247</v>
      </c>
      <c r="C47" s="1289" t="s">
        <v>248</v>
      </c>
      <c r="D47" s="1289" t="s">
        <v>537</v>
      </c>
      <c r="E47" s="2185"/>
      <c r="F47" s="2185"/>
      <c r="G47" s="2185"/>
      <c r="H47" s="2185"/>
      <c r="I47" s="2187"/>
      <c r="J47" s="2187"/>
      <c r="K47" s="2186" t="str">
        <f>J46&amp;".1"</f>
        <v>...1.1.1</v>
      </c>
      <c r="L47" s="1290"/>
      <c r="P47" s="2188"/>
      <c r="Q47" s="2188"/>
      <c r="R47" s="293">
        <v>1</v>
      </c>
      <c r="S47" s="1419" t="str">
        <f>$K47</f>
        <v>...1.1.1</v>
      </c>
      <c r="T47" s="1363"/>
      <c r="U47" s="237"/>
      <c r="V47" s="687"/>
      <c r="W47" s="687"/>
      <c r="X47" s="687"/>
      <c r="Y47" s="687"/>
      <c r="Z47" s="687"/>
      <c r="AA47" s="687"/>
      <c r="AB47" s="687"/>
      <c r="AC47" s="2182"/>
      <c r="AD47" s="2181" t="s">
        <v>66</v>
      </c>
      <c r="AE47" s="2182"/>
      <c r="AF47" s="2181" t="s">
        <v>66</v>
      </c>
      <c r="AG47" s="687"/>
      <c r="AH47" s="687"/>
      <c r="AI47" s="687"/>
      <c r="AJ47" s="687"/>
      <c r="AK47" s="687"/>
      <c r="AL47" s="687"/>
      <c r="AM47" s="687"/>
      <c r="AN47" s="2189"/>
      <c r="AO47" s="2066" t="s">
        <v>66</v>
      </c>
      <c r="AP47" s="2191"/>
      <c r="AQ47" s="2066" t="s">
        <v>19</v>
      </c>
      <c r="AR47" s="1364"/>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246</v>
      </c>
      <c r="B48" s="1289" t="s">
        <v>247</v>
      </c>
      <c r="C48" s="1289" t="s">
        <v>248</v>
      </c>
      <c r="D48" s="1289" t="s">
        <v>537</v>
      </c>
      <c r="E48" s="2185"/>
      <c r="F48" s="2185"/>
      <c r="G48" s="2185"/>
      <c r="H48" s="2185"/>
      <c r="I48" s="2187"/>
      <c r="J48" s="2187"/>
      <c r="K48" s="2186"/>
      <c r="L48" s="1290"/>
      <c r="P48" s="2188"/>
      <c r="Q48" s="2188"/>
      <c r="R48" s="293"/>
      <c r="S48" s="1416"/>
      <c r="T48" s="237"/>
      <c r="U48" s="237"/>
      <c r="V48" s="1286"/>
      <c r="W48" s="1286"/>
      <c r="X48" s="1286"/>
      <c r="Y48" s="1286"/>
      <c r="Z48" s="1286"/>
      <c r="AA48" s="1286"/>
      <c r="AB48" s="1286"/>
      <c r="AC48" s="2181"/>
      <c r="AD48" s="2181"/>
      <c r="AE48" s="2181"/>
      <c r="AF48" s="2181"/>
      <c r="AG48" s="262"/>
      <c r="AH48" s="262"/>
      <c r="AI48" s="262"/>
      <c r="AJ48" s="262"/>
      <c r="AK48" s="262"/>
      <c r="AL48" s="262"/>
      <c r="AM48" s="262"/>
      <c r="AN48" s="2190"/>
      <c r="AO48" s="2066"/>
      <c r="AP48" s="2192"/>
      <c r="AQ48" s="2066"/>
      <c r="AR48" s="1365"/>
      <c r="AS48" s="2258"/>
      <c r="AU48" s="436"/>
      <c r="AV48" s="436" t="str">
        <f t="shared" si="1"/>
        <v/>
      </c>
      <c r="AW48" s="436"/>
      <c r="AX48" s="436"/>
      <c r="AY48" s="1081">
        <v>0</v>
      </c>
    </row>
    <row r="49" spans="1:51" ht="21" customHeight="1">
      <c r="A49" s="1289" t="s">
        <v>246</v>
      </c>
      <c r="B49" s="1289" t="s">
        <v>247</v>
      </c>
      <c r="C49" s="1289" t="s">
        <v>248</v>
      </c>
      <c r="D49" s="1289" t="s">
        <v>537</v>
      </c>
      <c r="E49" s="2185"/>
      <c r="F49" s="2185"/>
      <c r="G49" s="2185"/>
      <c r="H49" s="2185"/>
      <c r="I49" s="2187"/>
      <c r="J49" s="2186"/>
      <c r="K49" s="1289"/>
      <c r="L49" s="1290"/>
      <c r="P49" s="2188"/>
      <c r="Q49" s="2188"/>
      <c r="R49" s="292"/>
      <c r="S49" s="1204"/>
      <c r="T49" s="224" t="s">
        <v>481</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482</v>
      </c>
      <c r="AU49" s="436"/>
      <c r="AV49" s="436" t="str">
        <f t="shared" si="1"/>
        <v>Добавить значение признака дифференциации</v>
      </c>
      <c r="AW49" s="436"/>
      <c r="AX49" s="436"/>
      <c r="AY49" s="1081">
        <v>20</v>
      </c>
    </row>
    <row r="50" spans="1:51" ht="21.95" customHeight="1">
      <c r="A50" s="1289" t="s">
        <v>246</v>
      </c>
      <c r="B50" s="1289" t="s">
        <v>247</v>
      </c>
      <c r="C50" s="1289" t="s">
        <v>248</v>
      </c>
      <c r="D50" s="1289" t="s">
        <v>537</v>
      </c>
      <c r="E50" s="2185"/>
      <c r="F50" s="2185"/>
      <c r="G50" s="2185"/>
      <c r="H50" s="2185"/>
      <c r="I50" s="2186"/>
      <c r="J50" s="1289"/>
      <c r="K50" s="1289"/>
      <c r="L50" s="1290"/>
      <c r="P50" s="2188"/>
      <c r="Q50" s="1407"/>
      <c r="R50" s="292"/>
      <c r="S50" s="1204"/>
      <c r="T50" s="301" t="s">
        <v>407</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246</v>
      </c>
      <c r="B51" s="1289" t="s">
        <v>247</v>
      </c>
      <c r="C51" s="1289" t="s">
        <v>248</v>
      </c>
      <c r="D51" s="1289" t="s">
        <v>537</v>
      </c>
      <c r="E51" s="2185"/>
      <c r="F51" s="2185"/>
      <c r="G51" s="2185"/>
      <c r="H51" s="2184"/>
      <c r="I51" s="1289"/>
      <c r="J51" s="1289"/>
      <c r="K51" s="1289"/>
      <c r="L51" s="1290"/>
      <c r="M51" s="1291"/>
      <c r="N51" s="1291"/>
      <c r="O51" s="473"/>
      <c r="P51" s="296"/>
      <c r="Q51" s="311"/>
      <c r="R51" s="291"/>
      <c r="S51" s="1204"/>
      <c r="T51" s="308" t="s">
        <v>483</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246</v>
      </c>
      <c r="B52" s="1269" t="s">
        <v>247</v>
      </c>
      <c r="C52" s="1240"/>
      <c r="D52" s="1240"/>
      <c r="E52" s="2185"/>
      <c r="F52" s="2184"/>
      <c r="G52" s="1240"/>
      <c r="H52" s="1240"/>
      <c r="I52" s="1240"/>
      <c r="J52" s="1240"/>
      <c r="K52" s="1240"/>
      <c r="L52" s="1420"/>
      <c r="M52" s="1247"/>
      <c r="N52" s="1247"/>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246</v>
      </c>
      <c r="B53" s="1269"/>
      <c r="C53" s="1269"/>
      <c r="D53" s="1269"/>
      <c r="E53" s="2184"/>
      <c r="F53" s="1269"/>
      <c r="G53" s="1269"/>
      <c r="H53" s="1269"/>
      <c r="I53" s="1269"/>
      <c r="J53" s="1269"/>
      <c r="K53" s="1269"/>
      <c r="L53" s="1272"/>
      <c r="M53" s="1247"/>
      <c r="N53" s="1247"/>
      <c r="O53" s="454"/>
      <c r="P53" s="316"/>
      <c r="Q53" s="1270"/>
      <c r="R53" s="316"/>
      <c r="S53" s="1248"/>
      <c r="T53" s="1251" t="s">
        <v>411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1">
        <v>14</v>
      </c>
    </row>
    <row r="57" spans="1:51" ht="14.65" customHeight="1">
      <c r="O57" s="473"/>
      <c r="AY57" s="1081">
        <v>14</v>
      </c>
    </row>
    <row r="58" spans="1:51" ht="14.65" customHeight="1">
      <c r="O58" s="473"/>
      <c r="S58" s="1179"/>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1">
        <v>14</v>
      </c>
    </row>
    <row r="59" spans="1:51" ht="22.5" hidden="1" customHeight="1">
      <c r="A59" s="1086" t="s">
        <v>78</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4" t="s">
        <v>393</v>
      </c>
      <c r="AU3" s="436"/>
      <c r="AV3" s="436" t="str">
        <f t="shared" si="0"/>
        <v>Территория действия тарифа</v>
      </c>
      <c r="AW3" s="436"/>
      <c r="AX3" s="436"/>
      <c r="AY3" s="1081">
        <v>0</v>
      </c>
    </row>
    <row r="4" spans="1:51"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525</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4" t="s">
        <v>526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479</v>
      </c>
      <c r="AU5" s="436"/>
      <c r="AV5" s="436" t="str">
        <f t="shared" si="0"/>
        <v>Наименование признака дифференциации</v>
      </c>
      <c r="AW5" s="436"/>
      <c r="AX5" s="436"/>
      <c r="AY5" s="1081">
        <v>0</v>
      </c>
    </row>
    <row r="6" spans="1:51"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3" t="s">
        <v>480</v>
      </c>
      <c r="AU6" s="436"/>
      <c r="AV6" s="436" t="str">
        <f t="shared" si="0"/>
        <v>Группа потребителей</v>
      </c>
      <c r="AW6" s="436"/>
      <c r="AX6" s="436"/>
      <c r="AY6" s="1081">
        <v>0</v>
      </c>
    </row>
    <row r="7" spans="1:51"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687"/>
      <c r="Y7" s="687"/>
      <c r="Z7" s="687"/>
      <c r="AA7" s="687"/>
      <c r="AB7" s="1183"/>
      <c r="AC7" s="2189"/>
      <c r="AD7" s="2066" t="s">
        <v>66</v>
      </c>
      <c r="AE7" s="2189"/>
      <c r="AF7" s="2066" t="s">
        <v>66</v>
      </c>
      <c r="AG7" s="687"/>
      <c r="AH7" s="687"/>
      <c r="AI7" s="687"/>
      <c r="AJ7" s="687"/>
      <c r="AK7" s="687"/>
      <c r="AL7" s="687"/>
      <c r="AM7" s="1183"/>
      <c r="AN7" s="2189"/>
      <c r="AO7" s="2066" t="s">
        <v>66</v>
      </c>
      <c r="AP7" s="2191"/>
      <c r="AQ7" s="2066" t="s">
        <v>66</v>
      </c>
      <c r="AR7" s="1364"/>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5"/>
      <c r="F8" s="2185"/>
      <c r="G8" s="2185"/>
      <c r="H8" s="2185"/>
      <c r="I8" s="2187"/>
      <c r="J8" s="2187"/>
      <c r="K8" s="2186"/>
      <c r="L8" s="1290"/>
      <c r="P8" s="2188"/>
      <c r="Q8" s="2188"/>
      <c r="R8" s="293"/>
      <c r="S8" s="1416"/>
      <c r="T8" s="237"/>
      <c r="U8" s="237"/>
      <c r="V8" s="262"/>
      <c r="W8" s="262"/>
      <c r="X8" s="262"/>
      <c r="Y8" s="262"/>
      <c r="Z8" s="262"/>
      <c r="AA8" s="262"/>
      <c r="AB8" s="265" t="str">
        <f>AC7&amp;"-"&amp;AE7</f>
        <v>-</v>
      </c>
      <c r="AC8" s="2190"/>
      <c r="AD8" s="2066"/>
      <c r="AE8" s="2190"/>
      <c r="AF8" s="2066"/>
      <c r="AG8" s="262"/>
      <c r="AH8" s="262"/>
      <c r="AI8" s="262"/>
      <c r="AJ8" s="262"/>
      <c r="AK8" s="262"/>
      <c r="AL8" s="262"/>
      <c r="AM8" s="265" t="str">
        <f>AN7&amp;"-"&amp;AP7</f>
        <v>-</v>
      </c>
      <c r="AN8" s="2190"/>
      <c r="AO8" s="2066"/>
      <c r="AP8" s="2192"/>
      <c r="AQ8" s="2066"/>
      <c r="AR8" s="1365"/>
      <c r="AS8" s="2258"/>
      <c r="AU8" s="436"/>
      <c r="AV8" s="436" t="str">
        <f t="shared" si="0"/>
        <v/>
      </c>
      <c r="AW8" s="436"/>
      <c r="AX8" s="436"/>
      <c r="AY8" s="1081">
        <v>0</v>
      </c>
    </row>
    <row r="9" spans="1:51" ht="21" hidden="1" customHeight="1">
      <c r="A9" s="1289"/>
      <c r="B9" s="1289"/>
      <c r="C9" s="1289"/>
      <c r="D9" s="1289"/>
      <c r="E9" s="2185"/>
      <c r="F9" s="2185"/>
      <c r="G9" s="2185"/>
      <c r="H9" s="2185"/>
      <c r="I9" s="2187"/>
      <c r="J9" s="2186"/>
      <c r="K9" s="1289"/>
      <c r="L9" s="1290"/>
      <c r="P9" s="2188"/>
      <c r="Q9" s="2188"/>
      <c r="R9" s="292"/>
      <c r="S9" s="1204"/>
      <c r="T9" s="224" t="s">
        <v>481</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2"/>
      <c r="AO15" s="2181" t="s">
        <v>66</v>
      </c>
      <c r="AP15" s="2182"/>
      <c r="AQ15" s="2181" t="s">
        <v>66</v>
      </c>
      <c r="AY15" s="1081">
        <v>0</v>
      </c>
    </row>
    <row r="16" spans="1:51" ht="14.25" hidden="1" customHeight="1">
      <c r="AG16" s="1286"/>
      <c r="AH16" s="1286"/>
      <c r="AI16" s="1286"/>
      <c r="AJ16" s="1286"/>
      <c r="AK16" s="1286"/>
      <c r="AL16" s="1286"/>
      <c r="AM16" s="265" t="str">
        <f>AN15&amp;"-"&amp;AP15</f>
        <v>-</v>
      </c>
      <c r="AN16" s="2181"/>
      <c r="AO16" s="2181"/>
      <c r="AP16" s="2181"/>
      <c r="AQ16" s="2181"/>
      <c r="AY16" s="1081">
        <v>0</v>
      </c>
    </row>
    <row r="17" spans="1:51" ht="14.25" hidden="1" customHeight="1">
      <c r="AQ17" s="264"/>
      <c r="AY17" s="1081">
        <v>0</v>
      </c>
    </row>
    <row r="18" spans="1:51" s="1292" customFormat="1" ht="22.5" hidden="1" customHeight="1">
      <c r="L18" s="1404"/>
      <c r="M18" s="1288"/>
      <c r="N18" s="1288"/>
      <c r="O18" s="1293" t="s">
        <v>412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413</v>
      </c>
      <c r="P20" s="1288"/>
      <c r="Q20" s="1368"/>
      <c r="R20" s="1368"/>
      <c r="S20" s="665"/>
      <c r="T20" s="1086" t="s">
        <v>414</v>
      </c>
      <c r="AD20" s="123" t="s">
        <v>415</v>
      </c>
      <c r="AF20" s="123" t="s">
        <v>416</v>
      </c>
      <c r="AG20" s="1086" t="s">
        <v>414</v>
      </c>
      <c r="AO20" s="123" t="s">
        <v>417</v>
      </c>
      <c r="AQ20" s="123" t="s">
        <v>416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9"/>
      <c r="AY24" s="1081">
        <v>25</v>
      </c>
    </row>
    <row r="25" spans="1:51"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422</v>
      </c>
      <c r="AG34" s="263"/>
      <c r="AH34" s="1561"/>
      <c r="AI34" s="1561"/>
      <c r="AJ34" s="1561"/>
      <c r="AK34" s="1561"/>
      <c r="AL34" s="1561"/>
      <c r="AM34" s="263"/>
      <c r="AN34" s="263"/>
      <c r="AO34" s="263"/>
      <c r="AP34" s="263"/>
      <c r="AQ34" s="215" t="s">
        <v>422</v>
      </c>
      <c r="AT34" s="304"/>
      <c r="AU34" s="304"/>
      <c r="AV34" s="304"/>
      <c r="AW34" s="304"/>
      <c r="AX34" s="304"/>
      <c r="AY34" s="354">
        <v>1</v>
      </c>
    </row>
    <row r="35" spans="1:51" ht="14.65" customHeight="1">
      <c r="Q35" s="312"/>
      <c r="R35" s="312"/>
      <c r="S35" s="1201"/>
      <c r="T35" s="299"/>
      <c r="U35" s="1170"/>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1">
        <v>14</v>
      </c>
    </row>
    <row r="36" spans="1:51"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296</v>
      </c>
      <c r="AY36" s="1081">
        <v>14</v>
      </c>
    </row>
    <row r="37" spans="1:51" ht="14.65" customHeight="1">
      <c r="Q37" s="312"/>
      <c r="R37" s="312"/>
      <c r="S37" s="2197" t="s">
        <v>84</v>
      </c>
      <c r="T37" s="2145" t="s">
        <v>423</v>
      </c>
      <c r="U37" s="238"/>
      <c r="V37" s="2198" t="s">
        <v>424</v>
      </c>
      <c r="W37" s="2199"/>
      <c r="X37" s="2199"/>
      <c r="Y37" s="2199"/>
      <c r="Z37" s="2199"/>
      <c r="AA37" s="2199"/>
      <c r="AB37" s="2199"/>
      <c r="AC37" s="2199"/>
      <c r="AD37" s="2199"/>
      <c r="AE37" s="2200"/>
      <c r="AF37" s="2201" t="s">
        <v>425</v>
      </c>
      <c r="AG37" s="2198" t="s">
        <v>424</v>
      </c>
      <c r="AH37" s="2199"/>
      <c r="AI37" s="2199"/>
      <c r="AJ37" s="2199"/>
      <c r="AK37" s="2199"/>
      <c r="AL37" s="2199"/>
      <c r="AM37" s="2199"/>
      <c r="AN37" s="2199"/>
      <c r="AO37" s="2199"/>
      <c r="AP37" s="2200"/>
      <c r="AQ37" s="2201" t="s">
        <v>426</v>
      </c>
      <c r="AR37" s="2204" t="s">
        <v>427</v>
      </c>
      <c r="AS37" s="2056"/>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197"/>
      <c r="T38" s="2145"/>
      <c r="U38" s="960"/>
      <c r="V38" s="2056" t="s">
        <v>527</v>
      </c>
      <c r="W38" s="2268" t="s">
        <v>528</v>
      </c>
      <c r="X38" s="2268"/>
      <c r="Y38" s="2268"/>
      <c r="Z38" s="2268" t="s">
        <v>529</v>
      </c>
      <c r="AA38" s="2268"/>
      <c r="AB38" s="2268"/>
      <c r="AC38" s="2116" t="s">
        <v>431</v>
      </c>
      <c r="AD38" s="2226"/>
      <c r="AE38" s="2117"/>
      <c r="AF38" s="2202"/>
      <c r="AG38" s="2056" t="s">
        <v>527</v>
      </c>
      <c r="AH38" s="2268" t="s">
        <v>528</v>
      </c>
      <c r="AI38" s="2268"/>
      <c r="AJ38" s="2268"/>
      <c r="AK38" s="2268" t="s">
        <v>529</v>
      </c>
      <c r="AL38" s="2268"/>
      <c r="AM38" s="2268"/>
      <c r="AN38" s="2116" t="s">
        <v>431</v>
      </c>
      <c r="AO38" s="2226"/>
      <c r="AP38" s="2117"/>
      <c r="AQ38" s="2202"/>
      <c r="AR38" s="2205"/>
      <c r="AS38" s="2056"/>
      <c r="AT38" s="1562"/>
      <c r="AU38" s="1562"/>
      <c r="AV38" s="1562"/>
      <c r="AW38" s="1562"/>
      <c r="AX38" s="1562"/>
      <c r="AY38" s="1557">
        <v>19</v>
      </c>
    </row>
    <row r="39" spans="1:51" ht="19.899999999999999" customHeight="1">
      <c r="Q39" s="312"/>
      <c r="R39" s="312"/>
      <c r="S39" s="2197"/>
      <c r="T39" s="2145"/>
      <c r="U39" s="960"/>
      <c r="V39" s="2056"/>
      <c r="W39" s="2268" t="s">
        <v>530</v>
      </c>
      <c r="X39" s="2268" t="s">
        <v>531</v>
      </c>
      <c r="Y39" s="2268"/>
      <c r="Z39" s="2268" t="s">
        <v>532</v>
      </c>
      <c r="AA39" s="2268" t="s">
        <v>531</v>
      </c>
      <c r="AB39" s="2268"/>
      <c r="AC39" s="2121"/>
      <c r="AD39" s="2227"/>
      <c r="AE39" s="2122"/>
      <c r="AF39" s="2202"/>
      <c r="AG39" s="2056"/>
      <c r="AH39" s="2268" t="s">
        <v>530</v>
      </c>
      <c r="AI39" s="2268" t="s">
        <v>531</v>
      </c>
      <c r="AJ39" s="2268"/>
      <c r="AK39" s="2268" t="s">
        <v>532</v>
      </c>
      <c r="AL39" s="2268" t="s">
        <v>531</v>
      </c>
      <c r="AM39" s="2268"/>
      <c r="AN39" s="2121"/>
      <c r="AO39" s="2227"/>
      <c r="AP39" s="2122"/>
      <c r="AQ39" s="2202"/>
      <c r="AR39" s="2205"/>
      <c r="AS39" s="2056"/>
      <c r="AY39" s="1081">
        <v>19</v>
      </c>
    </row>
    <row r="40" spans="1:51" ht="61.9" customHeight="1">
      <c r="A40" s="1296"/>
      <c r="B40" s="1296" t="s">
        <v>132</v>
      </c>
      <c r="C40" s="1296" t="s">
        <v>133</v>
      </c>
      <c r="D40" s="1296" t="s">
        <v>134</v>
      </c>
      <c r="E40" s="1290" t="s">
        <v>432</v>
      </c>
      <c r="F40" s="1290" t="s">
        <v>433</v>
      </c>
      <c r="G40" s="1290" t="s">
        <v>434</v>
      </c>
      <c r="H40" s="1290"/>
      <c r="I40" s="1290" t="s">
        <v>485</v>
      </c>
      <c r="J40" s="1290" t="s">
        <v>437</v>
      </c>
      <c r="K40" s="1290" t="s">
        <v>486</v>
      </c>
      <c r="L40" s="1290" t="s">
        <v>413</v>
      </c>
      <c r="Q40" s="312"/>
      <c r="R40" s="312"/>
      <c r="S40" s="2197"/>
      <c r="T40" s="2145"/>
      <c r="U40" s="239"/>
      <c r="V40" s="2056"/>
      <c r="W40" s="2268"/>
      <c r="X40" s="1905" t="s">
        <v>533</v>
      </c>
      <c r="Y40" s="1905" t="s">
        <v>534</v>
      </c>
      <c r="Z40" s="2268"/>
      <c r="AA40" s="1905" t="s">
        <v>535</v>
      </c>
      <c r="AB40" s="1905" t="s">
        <v>536</v>
      </c>
      <c r="AC40" s="1415" t="s">
        <v>441</v>
      </c>
      <c r="AD40" s="2150" t="s">
        <v>442</v>
      </c>
      <c r="AE40" s="2164"/>
      <c r="AF40" s="2203"/>
      <c r="AG40" s="2056"/>
      <c r="AH40" s="2268"/>
      <c r="AI40" s="1905" t="s">
        <v>533</v>
      </c>
      <c r="AJ40" s="1905" t="s">
        <v>534</v>
      </c>
      <c r="AK40" s="2268"/>
      <c r="AL40" s="1905" t="s">
        <v>535</v>
      </c>
      <c r="AM40" s="1905" t="s">
        <v>536</v>
      </c>
      <c r="AN40" s="1415" t="s">
        <v>441</v>
      </c>
      <c r="AO40" s="2150" t="s">
        <v>442</v>
      </c>
      <c r="AP40" s="2164"/>
      <c r="AQ40" s="2203"/>
      <c r="AR40" s="2206"/>
      <c r="AS40" s="205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105</v>
      </c>
      <c r="T41" s="1181" t="s">
        <v>106</v>
      </c>
      <c r="U41" s="1171" t="str">
        <f ca="1">OFFSET(U41,0,-1)</f>
        <v>2</v>
      </c>
      <c r="V41" s="1408">
        <f ca="1">OFFSET(V41,0,-1)+1</f>
        <v>3</v>
      </c>
      <c r="W41" s="1901"/>
      <c r="X41" s="1901"/>
      <c r="Y41" s="1901"/>
      <c r="Z41" s="1901"/>
      <c r="AA41" s="1901"/>
      <c r="AB41" s="1408">
        <f ca="1">OFFSET(AB41,0,-1)+1</f>
        <v>1</v>
      </c>
      <c r="AC41" s="1408">
        <f ca="1">OFFSET(AC41,0,-1)+1</f>
        <v>2</v>
      </c>
      <c r="AD41" s="2195">
        <f ca="1">OFFSET(AD41,0,-1)+1</f>
        <v>3</v>
      </c>
      <c r="AE41" s="2195"/>
      <c r="AF41" s="1408">
        <f ca="1">OFFSET(AF41,0,-2)+1</f>
        <v>4</v>
      </c>
      <c r="AG41" s="1408">
        <f ca="1">OFFSET(AG41,0,-1)+1</f>
        <v>5</v>
      </c>
      <c r="AH41" s="1901"/>
      <c r="AI41" s="1901"/>
      <c r="AJ41" s="1901"/>
      <c r="AK41" s="1901"/>
      <c r="AL41" s="1901"/>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251</v>
      </c>
      <c r="B42" s="1289"/>
      <c r="C42" s="1289"/>
      <c r="D42" s="1289"/>
      <c r="E42" s="218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120</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251</v>
      </c>
      <c r="B43" s="1289" t="s">
        <v>252</v>
      </c>
      <c r="C43" s="1289"/>
      <c r="D43" s="1289"/>
      <c r="E43" s="2185"/>
      <c r="F43" s="2184">
        <v>1</v>
      </c>
      <c r="G43" s="1289"/>
      <c r="H43" s="1289"/>
      <c r="I43" s="1289"/>
      <c r="J43" s="1289"/>
      <c r="K43" s="1289"/>
      <c r="L43" s="1290"/>
      <c r="M43" s="1291"/>
      <c r="N43" s="1291"/>
      <c r="O43" s="1291"/>
      <c r="P43" s="1413"/>
      <c r="Q43" s="288"/>
      <c r="R43" s="289"/>
      <c r="S43" s="1419" t="str">
        <f>INDEX(PT_DIFFERENTIATION_NUM_TER,MATCH(B43,PT_DIFFERENTIATION_TER_ID,0))</f>
        <v>.</v>
      </c>
      <c r="T43" s="245" t="s">
        <v>392</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4" t="s">
        <v>393</v>
      </c>
      <c r="AU43" s="436"/>
      <c r="AV43" s="436" t="str">
        <f t="shared" si="1"/>
        <v>Территория действия тарифа</v>
      </c>
      <c r="AW43" s="436"/>
      <c r="AX43" s="436"/>
      <c r="AY43" s="1081">
        <v>23</v>
      </c>
    </row>
    <row r="44" spans="1:51" ht="24" customHeight="1">
      <c r="A44" s="1289" t="s">
        <v>251</v>
      </c>
      <c r="B44" s="1289" t="s">
        <v>252</v>
      </c>
      <c r="C44" s="1289" t="s">
        <v>253</v>
      </c>
      <c r="D44" s="1289"/>
      <c r="E44" s="2185"/>
      <c r="F44" s="2185"/>
      <c r="G44" s="2184">
        <v>1</v>
      </c>
      <c r="H44" s="1289"/>
      <c r="I44" s="1289"/>
      <c r="J44" s="1289"/>
      <c r="K44" s="1289"/>
      <c r="L44" s="1290"/>
      <c r="M44" s="1291"/>
      <c r="N44" s="1291"/>
      <c r="O44" s="1291"/>
      <c r="P44" s="290"/>
      <c r="Q44" s="288"/>
      <c r="R44" s="289"/>
      <c r="S44" s="1419" t="str">
        <f>INDEX(PT_DIFFERENTIATION_NUM_CS,MATCH(C44,PT_DIFFERENTIATION_CS_ID,0))</f>
        <v>..</v>
      </c>
      <c r="T44" s="246" t="s">
        <v>525</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4" t="s">
        <v>526</v>
      </c>
      <c r="AU44" s="436"/>
      <c r="AV44" s="436" t="str">
        <f t="shared" si="1"/>
        <v>Наименование централизованной системы горячего водоснабжения</v>
      </c>
      <c r="AW44" s="436"/>
      <c r="AX44" s="436"/>
      <c r="AY44" s="1081">
        <v>23</v>
      </c>
    </row>
    <row r="45" spans="1:51" ht="24" customHeight="1">
      <c r="A45" s="1289" t="s">
        <v>251</v>
      </c>
      <c r="B45" s="1289" t="s">
        <v>252</v>
      </c>
      <c r="C45" s="1289" t="s">
        <v>253</v>
      </c>
      <c r="D45" s="1289" t="s">
        <v>538</v>
      </c>
      <c r="E45" s="2185"/>
      <c r="F45" s="2185"/>
      <c r="G45" s="2185"/>
      <c r="H45" s="2185"/>
      <c r="I45" s="2186" t="str">
        <f>S44&amp;".1"</f>
        <v>...1</v>
      </c>
      <c r="J45" s="1289"/>
      <c r="K45" s="1289"/>
      <c r="L45" s="1290"/>
      <c r="P45" s="2188">
        <v>1</v>
      </c>
      <c r="Q45" s="1407"/>
      <c r="R45" s="292"/>
      <c r="S45" s="1419" t="str">
        <f>$I45</f>
        <v>...1</v>
      </c>
      <c r="T45" s="222" t="s">
        <v>478</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479</v>
      </c>
      <c r="AU45" s="436"/>
      <c r="AV45" s="436" t="str">
        <f t="shared" si="1"/>
        <v>Наименование признака дифференциации</v>
      </c>
      <c r="AW45" s="436"/>
      <c r="AX45" s="436"/>
      <c r="AY45" s="1081">
        <v>23</v>
      </c>
    </row>
    <row r="46" spans="1:51" ht="24" customHeight="1">
      <c r="A46" s="1289" t="s">
        <v>251</v>
      </c>
      <c r="B46" s="1289" t="s">
        <v>252</v>
      </c>
      <c r="C46" s="1289" t="s">
        <v>253</v>
      </c>
      <c r="D46" s="1289" t="s">
        <v>538</v>
      </c>
      <c r="E46" s="2185"/>
      <c r="F46" s="2185"/>
      <c r="G46" s="2185"/>
      <c r="H46" s="2185"/>
      <c r="I46" s="2187"/>
      <c r="J46" s="2186" t="str">
        <f>I45&amp;".1"</f>
        <v>...1.1</v>
      </c>
      <c r="K46" s="1289"/>
      <c r="L46" s="1290" t="s">
        <v>401</v>
      </c>
      <c r="P46" s="2188"/>
      <c r="Q46" s="2188">
        <v>1</v>
      </c>
      <c r="R46" s="293"/>
      <c r="S46" s="1419" t="str">
        <f>$J46</f>
        <v>...1.1</v>
      </c>
      <c r="T46" s="223" t="s">
        <v>402</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3" t="s">
        <v>480</v>
      </c>
      <c r="AU46" s="436"/>
      <c r="AV46" s="436" t="str">
        <f t="shared" si="1"/>
        <v>Группа потребителей</v>
      </c>
      <c r="AW46" s="436"/>
      <c r="AX46" s="436"/>
      <c r="AY46" s="1081">
        <v>23</v>
      </c>
    </row>
    <row r="47" spans="1:51" ht="24" customHeight="1">
      <c r="A47" s="1289" t="s">
        <v>251</v>
      </c>
      <c r="B47" s="1289" t="s">
        <v>252</v>
      </c>
      <c r="C47" s="1289" t="s">
        <v>253</v>
      </c>
      <c r="D47" s="1289" t="s">
        <v>538</v>
      </c>
      <c r="E47" s="2185"/>
      <c r="F47" s="2185"/>
      <c r="G47" s="2185"/>
      <c r="H47" s="2185"/>
      <c r="I47" s="2187"/>
      <c r="J47" s="2187"/>
      <c r="K47" s="2186" t="str">
        <f>J46&amp;".1"</f>
        <v>...1.1.1</v>
      </c>
      <c r="L47" s="1290"/>
      <c r="P47" s="2188"/>
      <c r="Q47" s="2188"/>
      <c r="R47" s="293">
        <v>1</v>
      </c>
      <c r="S47" s="1419" t="str">
        <f>$K47</f>
        <v>...1.1.1</v>
      </c>
      <c r="T47" s="1363"/>
      <c r="U47" s="237"/>
      <c r="V47" s="1286"/>
      <c r="W47" s="1286"/>
      <c r="X47" s="1286"/>
      <c r="Y47" s="1286"/>
      <c r="Z47" s="1286"/>
      <c r="AA47" s="1286"/>
      <c r="AB47" s="1287"/>
      <c r="AC47" s="2182"/>
      <c r="AD47" s="2181" t="s">
        <v>66</v>
      </c>
      <c r="AE47" s="2182"/>
      <c r="AF47" s="2181" t="s">
        <v>66</v>
      </c>
      <c r="AG47" s="687"/>
      <c r="AH47" s="687"/>
      <c r="AI47" s="687"/>
      <c r="AJ47" s="687"/>
      <c r="AK47" s="687"/>
      <c r="AL47" s="687"/>
      <c r="AM47" s="1183"/>
      <c r="AN47" s="2189"/>
      <c r="AO47" s="2066" t="s">
        <v>66</v>
      </c>
      <c r="AP47" s="2191"/>
      <c r="AQ47" s="2066" t="s">
        <v>19</v>
      </c>
      <c r="AR47" s="1364"/>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251</v>
      </c>
      <c r="B48" s="1289" t="s">
        <v>252</v>
      </c>
      <c r="C48" s="1289" t="s">
        <v>253</v>
      </c>
      <c r="D48" s="1289" t="s">
        <v>538</v>
      </c>
      <c r="E48" s="2185"/>
      <c r="F48" s="2185"/>
      <c r="G48" s="2185"/>
      <c r="H48" s="2185"/>
      <c r="I48" s="2187"/>
      <c r="J48" s="2187"/>
      <c r="K48" s="2186"/>
      <c r="L48" s="1290"/>
      <c r="P48" s="2188"/>
      <c r="Q48" s="2188"/>
      <c r="R48" s="293"/>
      <c r="S48" s="1416"/>
      <c r="T48" s="237"/>
      <c r="U48" s="237"/>
      <c r="V48" s="1286"/>
      <c r="W48" s="1286"/>
      <c r="X48" s="1286"/>
      <c r="Y48" s="1286"/>
      <c r="Z48" s="1286"/>
      <c r="AA48" s="1286"/>
      <c r="AB48" s="265" t="str">
        <f>AC47&amp;"-"&amp;AE47</f>
        <v>-</v>
      </c>
      <c r="AC48" s="2181"/>
      <c r="AD48" s="2181"/>
      <c r="AE48" s="2181"/>
      <c r="AF48" s="2181"/>
      <c r="AG48" s="262"/>
      <c r="AH48" s="262"/>
      <c r="AI48" s="262"/>
      <c r="AJ48" s="262"/>
      <c r="AK48" s="262"/>
      <c r="AL48" s="262"/>
      <c r="AM48" s="265" t="str">
        <f>AN47&amp;"-"&amp;AP47</f>
        <v>-</v>
      </c>
      <c r="AN48" s="2190"/>
      <c r="AO48" s="2066"/>
      <c r="AP48" s="2192"/>
      <c r="AQ48" s="2066"/>
      <c r="AR48" s="1365"/>
      <c r="AS48" s="2258"/>
      <c r="AU48" s="436"/>
      <c r="AV48" s="436" t="str">
        <f t="shared" si="1"/>
        <v/>
      </c>
      <c r="AW48" s="436"/>
      <c r="AX48" s="436"/>
      <c r="AY48" s="1081">
        <v>0</v>
      </c>
    </row>
    <row r="49" spans="1:51" ht="21" customHeight="1">
      <c r="A49" s="1289" t="s">
        <v>251</v>
      </c>
      <c r="B49" s="1289" t="s">
        <v>252</v>
      </c>
      <c r="C49" s="1289" t="s">
        <v>253</v>
      </c>
      <c r="D49" s="1289" t="s">
        <v>538</v>
      </c>
      <c r="E49" s="2185"/>
      <c r="F49" s="2185"/>
      <c r="G49" s="2185"/>
      <c r="H49" s="2185"/>
      <c r="I49" s="2187"/>
      <c r="J49" s="2186"/>
      <c r="K49" s="1289"/>
      <c r="L49" s="1290"/>
      <c r="P49" s="2188"/>
      <c r="Q49" s="2188"/>
      <c r="R49" s="292"/>
      <c r="S49" s="1204"/>
      <c r="T49" s="224" t="s">
        <v>481</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482</v>
      </c>
      <c r="AU49" s="436"/>
      <c r="AV49" s="436" t="str">
        <f t="shared" si="1"/>
        <v>Добавить значение признака дифференциации</v>
      </c>
      <c r="AW49" s="436"/>
      <c r="AX49" s="436"/>
      <c r="AY49" s="1081">
        <v>20</v>
      </c>
    </row>
    <row r="50" spans="1:51" ht="21.95" customHeight="1">
      <c r="A50" s="1289" t="s">
        <v>251</v>
      </c>
      <c r="B50" s="1289" t="s">
        <v>252</v>
      </c>
      <c r="C50" s="1289" t="s">
        <v>253</v>
      </c>
      <c r="D50" s="1289" t="s">
        <v>538</v>
      </c>
      <c r="E50" s="2185"/>
      <c r="F50" s="2185"/>
      <c r="G50" s="2185"/>
      <c r="H50" s="2185"/>
      <c r="I50" s="2186"/>
      <c r="J50" s="1289"/>
      <c r="K50" s="1289"/>
      <c r="L50" s="1290"/>
      <c r="P50" s="2188"/>
      <c r="Q50" s="1407"/>
      <c r="R50" s="292"/>
      <c r="S50" s="1204"/>
      <c r="T50" s="301" t="s">
        <v>407</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251</v>
      </c>
      <c r="B51" s="1289" t="s">
        <v>252</v>
      </c>
      <c r="C51" s="1289" t="s">
        <v>253</v>
      </c>
      <c r="D51" s="1289" t="s">
        <v>538</v>
      </c>
      <c r="E51" s="2185"/>
      <c r="F51" s="2185"/>
      <c r="G51" s="2185"/>
      <c r="H51" s="2184"/>
      <c r="I51" s="1289"/>
      <c r="J51" s="1289"/>
      <c r="K51" s="1289"/>
      <c r="L51" s="1290"/>
      <c r="M51" s="1291"/>
      <c r="N51" s="1291"/>
      <c r="O51" s="473"/>
      <c r="P51" s="296"/>
      <c r="Q51" s="311"/>
      <c r="R51" s="291"/>
      <c r="S51" s="1204"/>
      <c r="T51" s="308" t="s">
        <v>483</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251</v>
      </c>
      <c r="B52" s="1269" t="s">
        <v>252</v>
      </c>
      <c r="C52" s="1240"/>
      <c r="D52" s="1240"/>
      <c r="E52" s="2185"/>
      <c r="F52" s="2184"/>
      <c r="G52" s="1240"/>
      <c r="H52" s="1240"/>
      <c r="I52" s="1240"/>
      <c r="J52" s="1240"/>
      <c r="K52" s="1240"/>
      <c r="L52" s="1420"/>
      <c r="M52" s="1247"/>
      <c r="N52" s="1247"/>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251</v>
      </c>
      <c r="B53" s="1269"/>
      <c r="C53" s="1269"/>
      <c r="D53" s="1269"/>
      <c r="E53" s="2184"/>
      <c r="F53" s="1269"/>
      <c r="G53" s="1269"/>
      <c r="H53" s="1269"/>
      <c r="I53" s="1269"/>
      <c r="J53" s="1269"/>
      <c r="K53" s="1269"/>
      <c r="L53" s="1272"/>
      <c r="M53" s="1247"/>
      <c r="N53" s="1247"/>
      <c r="O53" s="454"/>
      <c r="P53" s="316"/>
      <c r="Q53" s="1270"/>
      <c r="R53" s="316"/>
      <c r="S53" s="1248"/>
      <c r="T53" s="1251" t="s">
        <v>411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1">
        <v>14</v>
      </c>
    </row>
    <row r="57" spans="1:51" ht="14.65" customHeight="1">
      <c r="O57" s="473"/>
      <c r="AY57" s="1081">
        <v>14</v>
      </c>
    </row>
    <row r="58" spans="1:51" ht="14.65" customHeight="1">
      <c r="O58" s="473"/>
      <c r="S58" s="1179"/>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1">
        <v>14</v>
      </c>
    </row>
    <row r="59" spans="1:51" ht="22.5" hidden="1" customHeight="1">
      <c r="A59" s="1086" t="s">
        <v>78</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419" t="e">
        <f>INDEX(PT_DIFFERENTIATION_NUM_NTAR,MATCH(A2,PT_DIFFERENTIATION_NTAR_ID,0))</f>
        <v>#N/A</v>
      </c>
      <c r="T2" s="235" t="s">
        <v>120</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419" t="e">
        <f>INDEX(PT_DIFFERENTIATION_NUM_TER,MATCH(B3,PT_DIFFERENTIATION_TER_ID,0))</f>
        <v>#N/A</v>
      </c>
      <c r="T3" s="245" t="s">
        <v>392</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393</v>
      </c>
      <c r="BE3" s="436"/>
      <c r="BF3" s="436" t="str">
        <f t="shared" si="0"/>
        <v>Территория действия тарифа</v>
      </c>
      <c r="BG3" s="436"/>
      <c r="BH3" s="436"/>
      <c r="BI3" s="1081">
        <v>0</v>
      </c>
    </row>
    <row r="4" spans="1:61" ht="33.75" hidden="1" customHeight="1">
      <c r="A4" s="1289"/>
      <c r="B4" s="1289"/>
      <c r="C4" s="1289"/>
      <c r="D4" s="1289"/>
      <c r="E4" s="2185"/>
      <c r="F4" s="2185"/>
      <c r="G4" s="2184">
        <v>1</v>
      </c>
      <c r="H4" s="1289"/>
      <c r="I4" s="1289"/>
      <c r="J4" s="1289"/>
      <c r="K4" s="1289"/>
      <c r="L4" s="1290"/>
      <c r="M4" s="1291"/>
      <c r="N4" s="1291"/>
      <c r="O4" s="1291"/>
      <c r="P4" s="1338"/>
      <c r="Q4" s="1337"/>
      <c r="R4" s="289"/>
      <c r="S4" s="1419" t="e">
        <f>INDEX(PT_DIFFERENTIATION_NUM_CS,MATCH(C4,PT_DIFFERENTIATION_CS_ID,0))</f>
        <v>#N/A</v>
      </c>
      <c r="T4" s="246" t="s">
        <v>525</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526</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397</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398</v>
      </c>
      <c r="M6" s="446"/>
      <c r="N6" s="446"/>
      <c r="O6" s="446"/>
      <c r="P6" s="2188">
        <v>1</v>
      </c>
      <c r="Q6" s="1407"/>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95" t="s">
        <v>66</v>
      </c>
      <c r="AB8" s="1660"/>
      <c r="AC8" s="1395" t="s">
        <v>66</v>
      </c>
      <c r="AD8" s="2128" t="s">
        <v>66</v>
      </c>
      <c r="AE8" s="2237"/>
      <c r="AF8" s="2141">
        <v>1</v>
      </c>
      <c r="AG8" s="2260"/>
      <c r="AH8" s="2066" t="s">
        <v>66</v>
      </c>
      <c r="AI8" s="2237"/>
      <c r="AJ8" s="2141">
        <v>1</v>
      </c>
      <c r="AK8" s="2251" t="s">
        <v>22</v>
      </c>
      <c r="AL8" s="2066" t="s">
        <v>66</v>
      </c>
      <c r="AM8" s="2116"/>
      <c r="AN8" s="2141">
        <v>1</v>
      </c>
      <c r="AO8" s="2264"/>
      <c r="AP8" s="2265" t="s">
        <v>66</v>
      </c>
      <c r="AQ8" s="248"/>
      <c r="AR8" s="1412">
        <v>1</v>
      </c>
      <c r="AS8" s="1418" t="s">
        <v>22</v>
      </c>
      <c r="AT8" s="687"/>
      <c r="AU8" s="1183"/>
      <c r="AV8" s="687"/>
      <c r="AW8" s="1183"/>
      <c r="AX8" s="1660"/>
      <c r="AY8" s="1395" t="s">
        <v>66</v>
      </c>
      <c r="AZ8" s="1660"/>
      <c r="BA8" s="1395" t="s">
        <v>66</v>
      </c>
      <c r="BB8" s="1274"/>
      <c r="BC8" s="2207" t="s">
        <v>496</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497</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498</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499</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42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65" customHeight="1">
      <c r="Q29" s="228"/>
      <c r="R29" s="312"/>
      <c r="S29" s="2137" t="str">
        <f>IF(org=0,"Не определено",org)</f>
        <v>ОП АО "Байкалэнерго" - "Саяногорские тепловые сети"</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42</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418</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419</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43</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418</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419</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65" customHeight="1">
      <c r="Q40" s="228"/>
      <c r="R40" s="312"/>
      <c r="S40" s="2056" t="s">
        <v>295</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296</v>
      </c>
      <c r="BI40" s="1081">
        <v>14</v>
      </c>
    </row>
    <row r="41" spans="1:61" ht="14.65" customHeight="1">
      <c r="Q41" s="228"/>
      <c r="R41" s="312"/>
      <c r="S41" s="2197" t="s">
        <v>84</v>
      </c>
      <c r="T41" s="2145" t="s">
        <v>502</v>
      </c>
      <c r="U41" s="238"/>
      <c r="V41" s="2198" t="s">
        <v>424</v>
      </c>
      <c r="W41" s="2199"/>
      <c r="X41" s="2199"/>
      <c r="Y41" s="2199"/>
      <c r="Z41" s="2199"/>
      <c r="AA41" s="2199"/>
      <c r="AB41" s="2200"/>
      <c r="AC41" s="2201" t="s">
        <v>425</v>
      </c>
      <c r="AD41" s="2230" t="s">
        <v>503</v>
      </c>
      <c r="AE41" s="2214"/>
      <c r="AF41" s="2214"/>
      <c r="AG41" s="2231"/>
      <c r="AH41" s="2230" t="s">
        <v>504</v>
      </c>
      <c r="AI41" s="2214"/>
      <c r="AJ41" s="2214"/>
      <c r="AK41" s="2231"/>
      <c r="AL41" s="2230" t="s">
        <v>505</v>
      </c>
      <c r="AM41" s="2214"/>
      <c r="AN41" s="2214"/>
      <c r="AO41" s="2231"/>
      <c r="AP41" s="2230" t="s">
        <v>506</v>
      </c>
      <c r="AQ41" s="2214"/>
      <c r="AR41" s="2214"/>
      <c r="AS41" s="2231"/>
      <c r="AT41" s="2198" t="s">
        <v>424</v>
      </c>
      <c r="AU41" s="2199"/>
      <c r="AV41" s="2199"/>
      <c r="AW41" s="2199"/>
      <c r="AX41" s="2199"/>
      <c r="AY41" s="2199"/>
      <c r="AZ41" s="2200"/>
      <c r="BA41" s="2201" t="s">
        <v>425</v>
      </c>
      <c r="BB41" s="2204" t="s">
        <v>427</v>
      </c>
      <c r="BC41" s="2056"/>
      <c r="BI41" s="1081">
        <v>14</v>
      </c>
    </row>
    <row r="42" spans="1:61" ht="35.65" customHeight="1">
      <c r="Q42" s="228"/>
      <c r="R42" s="312"/>
      <c r="S42" s="2197"/>
      <c r="T42" s="2145"/>
      <c r="U42" s="960"/>
      <c r="V42" s="2116" t="s">
        <v>507</v>
      </c>
      <c r="W42" s="2117"/>
      <c r="X42" s="2116" t="s">
        <v>508</v>
      </c>
      <c r="Y42" s="2117"/>
      <c r="Z42" s="2116" t="s">
        <v>509</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507</v>
      </c>
      <c r="AU42" s="2117"/>
      <c r="AV42" s="2116" t="s">
        <v>508</v>
      </c>
      <c r="AW42" s="2117"/>
      <c r="AX42" s="2116" t="s">
        <v>509</v>
      </c>
      <c r="AY42" s="2226"/>
      <c r="AZ42" s="2117"/>
      <c r="BA42" s="2202"/>
      <c r="BB42" s="2205"/>
      <c r="BC42" s="2056"/>
      <c r="BI42" s="1081">
        <v>34</v>
      </c>
    </row>
    <row r="43" spans="1:61" ht="14.65"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7"/>
      <c r="T44" s="2145"/>
      <c r="U44" s="239"/>
      <c r="V44" s="1405" t="s">
        <v>473</v>
      </c>
      <c r="W44" s="1405" t="s">
        <v>474</v>
      </c>
      <c r="X44" s="1405" t="s">
        <v>473</v>
      </c>
      <c r="Y44" s="1405" t="s">
        <v>474</v>
      </c>
      <c r="Z44" s="1415" t="s">
        <v>441</v>
      </c>
      <c r="AA44" s="2150" t="s">
        <v>442</v>
      </c>
      <c r="AB44" s="2164"/>
      <c r="AC44" s="2203"/>
      <c r="AD44" s="2234"/>
      <c r="AE44" s="2235"/>
      <c r="AF44" s="2235"/>
      <c r="AG44" s="2236"/>
      <c r="AH44" s="2234"/>
      <c r="AI44" s="2235"/>
      <c r="AJ44" s="2235"/>
      <c r="AK44" s="2236"/>
      <c r="AL44" s="2234"/>
      <c r="AM44" s="2235"/>
      <c r="AN44" s="2235"/>
      <c r="AO44" s="2236"/>
      <c r="AP44" s="2234"/>
      <c r="AQ44" s="2235"/>
      <c r="AR44" s="2235"/>
      <c r="AS44" s="2236"/>
      <c r="AT44" s="1405" t="s">
        <v>473</v>
      </c>
      <c r="AU44" s="1405" t="s">
        <v>474</v>
      </c>
      <c r="AV44" s="1405" t="s">
        <v>473</v>
      </c>
      <c r="AW44" s="1405" t="s">
        <v>474</v>
      </c>
      <c r="AX44" s="1415" t="s">
        <v>441</v>
      </c>
      <c r="AY44" s="2150" t="s">
        <v>442</v>
      </c>
      <c r="AZ44" s="2164"/>
      <c r="BA44" s="2203"/>
      <c r="BB44" s="2206"/>
      <c r="BC44" s="2056"/>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1.95" customHeight="1">
      <c r="A46" s="1289" t="s">
        <v>256</v>
      </c>
      <c r="B46" s="1289"/>
      <c r="C46" s="1289"/>
      <c r="D46" s="1289"/>
      <c r="E46" s="218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120</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256</v>
      </c>
      <c r="B47" s="1289" t="s">
        <v>257</v>
      </c>
      <c r="C47" s="1289"/>
      <c r="D47" s="1289"/>
      <c r="E47" s="2185"/>
      <c r="F47" s="2184">
        <v>1</v>
      </c>
      <c r="G47" s="1289"/>
      <c r="H47" s="1289"/>
      <c r="I47" s="1289"/>
      <c r="J47" s="1289"/>
      <c r="K47" s="1289"/>
      <c r="L47" s="1290"/>
      <c r="M47" s="1291"/>
      <c r="N47" s="1291"/>
      <c r="O47" s="1291"/>
      <c r="P47" s="1336"/>
      <c r="Q47" s="1337"/>
      <c r="R47" s="289"/>
      <c r="S47" s="1419" t="str">
        <f>INDEX(PT_DIFFERENTIATION_NUM_TER,MATCH(B47,PT_DIFFERENTIATION_TER_ID,0))</f>
        <v>.</v>
      </c>
      <c r="T47" s="245" t="s">
        <v>392</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393</v>
      </c>
      <c r="BE47" s="436"/>
      <c r="BF47" s="436" t="str">
        <f t="shared" si="3"/>
        <v>Территория действия тарифа</v>
      </c>
      <c r="BG47" s="436"/>
      <c r="BH47" s="436"/>
      <c r="BI47" s="1081">
        <v>21</v>
      </c>
    </row>
    <row r="48" spans="1:61" ht="35.65" customHeight="1">
      <c r="A48" s="1289" t="s">
        <v>256</v>
      </c>
      <c r="B48" s="1289" t="s">
        <v>257</v>
      </c>
      <c r="C48" s="1289" t="s">
        <v>258</v>
      </c>
      <c r="D48" s="1289"/>
      <c r="E48" s="2185"/>
      <c r="F48" s="2185"/>
      <c r="G48" s="2184">
        <v>1</v>
      </c>
      <c r="H48" s="1289"/>
      <c r="I48" s="1289"/>
      <c r="J48" s="1289"/>
      <c r="K48" s="1289"/>
      <c r="L48" s="1290"/>
      <c r="M48" s="1291"/>
      <c r="N48" s="1291"/>
      <c r="O48" s="1291"/>
      <c r="P48" s="1338"/>
      <c r="Q48" s="1337"/>
      <c r="R48" s="289"/>
      <c r="S48" s="1419" t="str">
        <f>INDEX(PT_DIFFERENTIATION_NUM_CS,MATCH(C48,PT_DIFFERENTIATION_CS_ID,0))</f>
        <v>..</v>
      </c>
      <c r="T48" s="246" t="s">
        <v>525</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526</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256</v>
      </c>
      <c r="B49" s="1269" t="s">
        <v>257</v>
      </c>
      <c r="C49" s="1269" t="s">
        <v>258</v>
      </c>
      <c r="D49" s="1269" t="s">
        <v>539</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397</v>
      </c>
      <c r="BE49" s="436"/>
      <c r="BF49" s="436" t="str">
        <f t="shared" si="3"/>
        <v/>
      </c>
      <c r="BG49" s="436"/>
      <c r="BH49" s="436"/>
      <c r="BI49" s="447">
        <v>0</v>
      </c>
    </row>
    <row r="50" spans="1:61" s="1568" customFormat="1" ht="0" hidden="1" customHeight="1">
      <c r="A50" s="1269" t="s">
        <v>256</v>
      </c>
      <c r="B50" s="1269" t="s">
        <v>257</v>
      </c>
      <c r="C50" s="1269" t="s">
        <v>258</v>
      </c>
      <c r="D50" s="1269" t="s">
        <v>539</v>
      </c>
      <c r="E50" s="2185"/>
      <c r="F50" s="2185"/>
      <c r="G50" s="2185"/>
      <c r="H50" s="2185"/>
      <c r="I50" s="2186" t="str">
        <f>S49&amp;".1"</f>
        <v>.1</v>
      </c>
      <c r="J50" s="1269"/>
      <c r="K50" s="1269"/>
      <c r="L50" s="1272" t="s">
        <v>398</v>
      </c>
      <c r="M50" s="446"/>
      <c r="N50" s="446"/>
      <c r="O50" s="446"/>
      <c r="P50" s="2188">
        <v>1</v>
      </c>
      <c r="Q50" s="1407"/>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256</v>
      </c>
      <c r="B51" s="1269" t="s">
        <v>257</v>
      </c>
      <c r="C51" s="1269" t="s">
        <v>258</v>
      </c>
      <c r="D51" s="1269" t="s">
        <v>539</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45" customHeight="1">
      <c r="A52" s="1289" t="s">
        <v>256</v>
      </c>
      <c r="B52" s="1289" t="s">
        <v>257</v>
      </c>
      <c r="C52" s="1289" t="s">
        <v>258</v>
      </c>
      <c r="D52" s="1289" t="s">
        <v>539</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95" t="s">
        <v>66</v>
      </c>
      <c r="AB52" s="1660"/>
      <c r="AC52" s="1395" t="s">
        <v>66</v>
      </c>
      <c r="AD52" s="2128" t="s">
        <v>66</v>
      </c>
      <c r="AE52" s="2237"/>
      <c r="AF52" s="2141">
        <v>1</v>
      </c>
      <c r="AG52" s="2260"/>
      <c r="AH52" s="2066" t="s">
        <v>66</v>
      </c>
      <c r="AI52" s="2237"/>
      <c r="AJ52" s="2141">
        <v>1</v>
      </c>
      <c r="AK52" s="2251" t="s">
        <v>22</v>
      </c>
      <c r="AL52" s="2066" t="s">
        <v>66</v>
      </c>
      <c r="AM52" s="2116"/>
      <c r="AN52" s="2141">
        <v>1</v>
      </c>
      <c r="AO52" s="2264"/>
      <c r="AP52" s="2265" t="s">
        <v>66</v>
      </c>
      <c r="AQ52" s="248"/>
      <c r="AR52" s="1412">
        <v>1</v>
      </c>
      <c r="AS52" s="1418" t="s">
        <v>22</v>
      </c>
      <c r="AT52" s="687"/>
      <c r="AU52" s="1183"/>
      <c r="AV52" s="687"/>
      <c r="AW52" s="1183"/>
      <c r="AX52" s="1660"/>
      <c r="AY52" s="1395" t="s">
        <v>66</v>
      </c>
      <c r="AZ52" s="1660"/>
      <c r="BA52" s="1395" t="s">
        <v>66</v>
      </c>
      <c r="BB52" s="1274"/>
      <c r="BC52" s="2207" t="s">
        <v>496</v>
      </c>
      <c r="BE52" s="436"/>
      <c r="BF52" s="436" t="str">
        <f t="shared" si="3"/>
        <v/>
      </c>
      <c r="BG52" s="436"/>
      <c r="BH52" s="436"/>
      <c r="BI52" s="1081">
        <v>11</v>
      </c>
    </row>
    <row r="53" spans="1:61" ht="11.4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497</v>
      </c>
      <c r="AT53" s="1319"/>
      <c r="AU53" s="1422"/>
      <c r="AV53" s="1319"/>
      <c r="AW53" s="1422"/>
      <c r="AX53" s="1319"/>
      <c r="AY53" s="1319"/>
      <c r="AZ53" s="1319"/>
      <c r="BA53" s="1319"/>
      <c r="BB53" s="1323"/>
      <c r="BC53" s="2208"/>
      <c r="BE53" s="436"/>
      <c r="BF53" s="436"/>
      <c r="BG53" s="436"/>
      <c r="BH53" s="436"/>
      <c r="BI53" s="1081">
        <v>11</v>
      </c>
    </row>
    <row r="54" spans="1:61" ht="11.45" customHeight="1">
      <c r="A54" s="1289" t="s">
        <v>256</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498</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45" customHeight="1">
      <c r="A55" s="1289" t="s">
        <v>256</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499</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45" customHeight="1">
      <c r="A56" s="1289" t="s">
        <v>256</v>
      </c>
      <c r="B56" s="1289" t="s">
        <v>257</v>
      </c>
      <c r="C56" s="1289" t="s">
        <v>258</v>
      </c>
      <c r="D56" s="1289" t="s">
        <v>539</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45" customHeight="1">
      <c r="A57" s="1289" t="s">
        <v>256</v>
      </c>
      <c r="B57" s="1289" t="s">
        <v>257</v>
      </c>
      <c r="C57" s="1289" t="s">
        <v>258</v>
      </c>
      <c r="D57" s="1289" t="s">
        <v>539</v>
      </c>
      <c r="E57" s="2185"/>
      <c r="F57" s="2185"/>
      <c r="G57" s="2185"/>
      <c r="H57" s="2185"/>
      <c r="I57" s="2187"/>
      <c r="J57" s="2186"/>
      <c r="K57" s="1289"/>
      <c r="L57" s="1290"/>
      <c r="P57" s="2188"/>
      <c r="Q57" s="2188"/>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256</v>
      </c>
      <c r="B58" s="1269" t="s">
        <v>257</v>
      </c>
      <c r="C58" s="1269" t="s">
        <v>258</v>
      </c>
      <c r="D58" s="1269" t="s">
        <v>539</v>
      </c>
      <c r="E58" s="2185"/>
      <c r="F58" s="2185"/>
      <c r="G58" s="2185"/>
      <c r="H58" s="2185"/>
      <c r="I58" s="2186"/>
      <c r="J58" s="1269"/>
      <c r="K58" s="1269"/>
      <c r="L58" s="1272"/>
      <c r="M58" s="446"/>
      <c r="N58" s="446"/>
      <c r="O58" s="446"/>
      <c r="P58" s="218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256</v>
      </c>
      <c r="B59" s="1269" t="s">
        <v>257</v>
      </c>
      <c r="C59" s="1269" t="s">
        <v>258</v>
      </c>
      <c r="D59" s="1269" t="s">
        <v>539</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256</v>
      </c>
      <c r="B60" s="1269" t="s">
        <v>257</v>
      </c>
      <c r="C60" s="1269" t="s">
        <v>258</v>
      </c>
      <c r="D60" s="1240"/>
      <c r="E60" s="2185"/>
      <c r="F60" s="2185"/>
      <c r="G60" s="218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256</v>
      </c>
      <c r="B61" s="1269" t="s">
        <v>257</v>
      </c>
      <c r="C61" s="1240"/>
      <c r="D61" s="1240"/>
      <c r="E61" s="2185"/>
      <c r="F61" s="2184"/>
      <c r="G61" s="1240"/>
      <c r="H61" s="1240"/>
      <c r="I61" s="1240"/>
      <c r="J61" s="1240"/>
      <c r="K61" s="1240"/>
      <c r="L61" s="142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256</v>
      </c>
      <c r="B62" s="1269"/>
      <c r="C62" s="1269"/>
      <c r="D62" s="1269"/>
      <c r="E62" s="2184"/>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19</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41"/>
      <c r="C2" s="1093" t="s">
        <v>540</v>
      </c>
      <c r="D2" s="1564"/>
      <c r="E2" s="482">
        <f>B2</f>
        <v>0</v>
      </c>
      <c r="F2" s="483"/>
      <c r="G2" s="1572" t="s">
        <v>541</v>
      </c>
      <c r="H2" s="1572" t="s">
        <v>541</v>
      </c>
      <c r="I2" s="1572" t="s">
        <v>541</v>
      </c>
      <c r="J2" s="226" t="s">
        <v>542</v>
      </c>
      <c r="K2" s="479"/>
      <c r="AF2" s="1557">
        <v>0</v>
      </c>
    </row>
    <row r="3" spans="1:32" s="1568" customFormat="1" ht="0.75" hidden="1" customHeight="1">
      <c r="B3" s="2041"/>
      <c r="C3" s="1093"/>
      <c r="D3" s="484"/>
      <c r="E3" s="485"/>
      <c r="F3" s="486" t="s">
        <v>543</v>
      </c>
      <c r="G3" s="487"/>
      <c r="H3" s="487">
        <f>H4*H5+H7</f>
        <v>0</v>
      </c>
      <c r="I3" s="487">
        <f>I4*I5+I6</f>
        <v>0</v>
      </c>
      <c r="J3" s="488"/>
      <c r="AF3" s="1562">
        <v>0</v>
      </c>
    </row>
    <row r="4" spans="1:32" ht="23.25" hidden="1" customHeight="1">
      <c r="B4" s="2041"/>
      <c r="C4" s="1093"/>
      <c r="D4" s="1564"/>
      <c r="E4" s="482" t="str">
        <f>B2&amp;".1"</f>
        <v>.1</v>
      </c>
      <c r="F4" s="489" t="s">
        <v>544</v>
      </c>
      <c r="G4" s="490"/>
      <c r="H4" s="477"/>
      <c r="I4" s="477"/>
      <c r="J4" s="226" t="s">
        <v>545</v>
      </c>
      <c r="K4" s="479"/>
      <c r="AF4" s="1557">
        <v>0</v>
      </c>
    </row>
    <row r="5" spans="1:32" ht="18.75" hidden="1" customHeight="1">
      <c r="B5" s="2041"/>
      <c r="C5" s="1093"/>
      <c r="D5" s="1564"/>
      <c r="E5" s="482" t="str">
        <f>B2&amp;".2"</f>
        <v>.2</v>
      </c>
      <c r="F5" s="489" t="s">
        <v>546</v>
      </c>
      <c r="G5" s="1572" t="s">
        <v>547</v>
      </c>
      <c r="H5" s="477"/>
      <c r="I5" s="477"/>
      <c r="J5" s="226"/>
      <c r="K5" s="479"/>
      <c r="AF5" s="1557">
        <v>0</v>
      </c>
    </row>
    <row r="6" spans="1:32" ht="18.75" hidden="1" customHeight="1">
      <c r="B6" s="2041"/>
      <c r="C6" s="1093"/>
      <c r="D6" s="1564"/>
      <c r="E6" s="482" t="str">
        <f>B2&amp;".3"</f>
        <v>.3</v>
      </c>
      <c r="F6" s="489" t="s">
        <v>548</v>
      </c>
      <c r="G6" s="1572" t="s">
        <v>547</v>
      </c>
      <c r="H6" s="477"/>
      <c r="I6" s="477"/>
      <c r="J6" s="226"/>
      <c r="K6" s="479"/>
      <c r="AF6" s="1557">
        <v>0</v>
      </c>
    </row>
    <row r="7" spans="1:32" ht="18.75" hidden="1" customHeight="1">
      <c r="B7" s="2041"/>
      <c r="C7" s="1093"/>
      <c r="D7" s="1564"/>
      <c r="E7" s="482" t="str">
        <f>B2&amp;".4"</f>
        <v>.4</v>
      </c>
      <c r="F7" s="489" t="s">
        <v>549</v>
      </c>
      <c r="G7" s="1572" t="s">
        <v>541</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547</v>
      </c>
      <c r="H9" s="477"/>
      <c r="I9" s="477"/>
      <c r="J9" s="478" t="s">
        <v>550</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551</v>
      </c>
      <c r="H11" s="477"/>
      <c r="I11" s="477"/>
      <c r="J11" s="226" t="s">
        <v>552</v>
      </c>
      <c r="K11" s="479"/>
      <c r="AF11" s="1557">
        <v>0</v>
      </c>
    </row>
    <row r="12" spans="1:32" ht="11.25" hidden="1" customHeight="1">
      <c r="AF12" s="1557">
        <v>0</v>
      </c>
    </row>
    <row r="13" spans="1:32" ht="22.5" hidden="1" customHeight="1">
      <c r="D13" s="1564"/>
      <c r="E13" s="482"/>
      <c r="F13" s="476"/>
      <c r="G13" s="898" t="s">
        <v>553</v>
      </c>
      <c r="H13" s="481"/>
      <c r="I13" s="481"/>
      <c r="J13" s="681" t="s">
        <v>554</v>
      </c>
      <c r="K13" s="479"/>
      <c r="AF13" s="1557">
        <v>0</v>
      </c>
    </row>
    <row r="14" spans="1:32" ht="11.25" hidden="1" customHeight="1">
      <c r="AF14" s="1557">
        <v>0</v>
      </c>
    </row>
    <row r="15" spans="1:32" ht="22.5" hidden="1" customHeight="1">
      <c r="D15" s="1564"/>
      <c r="E15" s="482"/>
      <c r="F15" s="476"/>
      <c r="G15" s="1572" t="s">
        <v>555</v>
      </c>
      <c r="H15" s="481"/>
      <c r="I15" s="481"/>
      <c r="J15" s="226" t="s">
        <v>556</v>
      </c>
      <c r="K15" s="479"/>
      <c r="AF15" s="1557">
        <v>0</v>
      </c>
    </row>
    <row r="16" spans="1:32" ht="11.25" hidden="1" customHeight="1">
      <c r="AF16" s="1557">
        <v>0</v>
      </c>
    </row>
    <row r="17" spans="1:32" ht="22.5" hidden="1" customHeight="1">
      <c r="D17" s="1564"/>
      <c r="E17" s="482"/>
      <c r="F17" s="476"/>
      <c r="G17" s="1572" t="s">
        <v>557</v>
      </c>
      <c r="H17" s="481"/>
      <c r="I17" s="481"/>
      <c r="J17" s="226" t="s">
        <v>558</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6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5"/>
      <c r="G21" s="2165"/>
      <c r="H21" s="2165"/>
      <c r="I21" s="2165"/>
      <c r="J21" s="492"/>
      <c r="AF21" s="1557">
        <v>24</v>
      </c>
    </row>
    <row r="22" spans="1:32" ht="25.15" customHeight="1">
      <c r="E22" s="2137" t="str">
        <f>IF(org=0,"Не определено",org)</f>
        <v>ОП АО "Байкалэнерго" - "Саяногорские тепловые сети"</v>
      </c>
      <c r="F22" s="2137"/>
      <c r="G22" s="2137"/>
      <c r="H22" s="2137"/>
      <c r="I22" s="2137"/>
      <c r="AF22" s="1557">
        <v>24</v>
      </c>
    </row>
    <row r="23" spans="1:32" ht="11.45" customHeight="1">
      <c r="E23" s="1061"/>
      <c r="F23" s="1061"/>
      <c r="G23" s="1061"/>
      <c r="H23" s="1061"/>
      <c r="I23" s="1061"/>
      <c r="AF23" s="1557">
        <v>11</v>
      </c>
    </row>
    <row r="24" spans="1:32" s="1568" customFormat="1" ht="1.1499999999999999" customHeight="1">
      <c r="A24" s="1093"/>
      <c r="H24" s="818"/>
      <c r="I24" s="818" t="s">
        <v>113</v>
      </c>
      <c r="AF24" s="1562">
        <v>1</v>
      </c>
    </row>
    <row r="25" spans="1:32" ht="11.45" customHeight="1">
      <c r="E25" s="647"/>
      <c r="F25" s="2271" t="s">
        <v>101</v>
      </c>
      <c r="G25" s="2272"/>
      <c r="H25" s="1578" t="str">
        <f>IF(H24="","",INDEX(DIFFERENTIATION_UNMERGE_VD,MATCH(H24,DIFFERENTIATION_ID_DIFF,0)))</f>
        <v/>
      </c>
      <c r="I25" s="1578" t="str">
        <f>IF(I24="","",INDEX(DIFFERENTIATION_UNMERGE_VD,MATCH(I24,DIFFERENTIATION_ID_DIFF,0)))</f>
        <v>Подключение (технологическое присоединение) к системе теплоснабжения</v>
      </c>
      <c r="J25" s="2056"/>
      <c r="AF25" s="1557">
        <v>11</v>
      </c>
    </row>
    <row r="26" spans="1:32" ht="11.45" customHeight="1">
      <c r="E26" s="647"/>
      <c r="F26" s="2271" t="s">
        <v>559</v>
      </c>
      <c r="G26" s="2272"/>
      <c r="H26" s="1578" t="str">
        <f>IF(H24="","",INDEX(DIFFERENTIATION_UNMERGE_AREA,MATCH(H24,DIFFERENTIATION_ID_DIFF,0)))</f>
        <v/>
      </c>
      <c r="I26" s="1578" t="str">
        <f>IF(I24="","",INDEX(DIFFERENTIATION_UNMERGE_AREA,MATCH(I24,DIFFERENTIATION_ID_DIFF,0)))</f>
        <v>Территория 1</v>
      </c>
      <c r="J26" s="2056"/>
      <c r="AF26" s="1557">
        <v>11</v>
      </c>
    </row>
    <row r="27" spans="1:32" ht="11.45" customHeight="1">
      <c r="E27" s="647"/>
      <c r="F27" s="2271" t="s">
        <v>560</v>
      </c>
      <c r="G27" s="2272"/>
      <c r="H27" s="1578" t="str">
        <f>IF(H24="","",INDEX(DIFFERENTIATION_UNMERGE_SYSTEM,MATCH(H24,DIFFERENTIATION_ID_DIFF,0)))</f>
        <v/>
      </c>
      <c r="I27" s="1578" t="str">
        <f>IF(I24="","",INDEX(DIFFERENTIATION_UNMERGE_SYSTEM,MATCH(I24,DIFFERENTIATION_ID_DIFF,0)))</f>
        <v>без дифференциации</v>
      </c>
      <c r="J27" s="2056"/>
      <c r="AF27" s="1557">
        <v>11</v>
      </c>
    </row>
    <row r="28" spans="1:32" ht="11.45" customHeight="1">
      <c r="E28" s="2273" t="s">
        <v>295</v>
      </c>
      <c r="F28" s="2274"/>
      <c r="G28" s="2274"/>
      <c r="H28" s="1571"/>
      <c r="I28" s="1571"/>
      <c r="J28" s="2056"/>
      <c r="AF28" s="1557">
        <v>11</v>
      </c>
    </row>
    <row r="29" spans="1:32" ht="24" customHeight="1">
      <c r="E29" s="1572" t="s">
        <v>84</v>
      </c>
      <c r="F29" s="1579" t="s">
        <v>297</v>
      </c>
      <c r="G29" s="1579" t="s">
        <v>561</v>
      </c>
      <c r="H29" s="1579" t="s">
        <v>298</v>
      </c>
      <c r="I29" s="1579" t="s">
        <v>298</v>
      </c>
      <c r="J29" s="2056"/>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547</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547</v>
      </c>
      <c r="H31" s="494">
        <f>SUMIF($K33:$K71,$K31,H33:H71)</f>
        <v>0</v>
      </c>
      <c r="I31" s="494">
        <f>SUMIF($K33:$K71,$K31,I33:I71)</f>
        <v>0</v>
      </c>
      <c r="J31" s="226" t="str">
        <f>FHD_NOTE_P_2</f>
        <v>Указывается суммарная себестоимость производимых товаров.</v>
      </c>
      <c r="K31" s="1562" t="s">
        <v>562</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547</v>
      </c>
      <c r="H32" s="493"/>
      <c r="I32" s="493"/>
      <c r="J32" s="226" t="str">
        <f>FHD_NOTE_P_3</f>
        <v/>
      </c>
      <c r="K32" s="1562" t="str">
        <f t="shared" ref="K32:K70" si="0">IF((LEN(E32)-LEN(SUBSTITUTE(E32,".","")))/LEN(".")=1,"p","")</f>
        <v>p</v>
      </c>
      <c r="AF32" s="1557">
        <v>11</v>
      </c>
    </row>
    <row r="33" spans="1:32" ht="11.25" customHeight="1">
      <c r="A33" s="2269" t="s">
        <v>563</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547</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69"/>
      <c r="B34" s="2270"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69"/>
      <c r="B35" s="2270"/>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69"/>
      <c r="B36" s="2270"/>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69"/>
      <c r="B37" s="2270"/>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69"/>
      <c r="B38" s="2270"/>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69"/>
      <c r="B39" s="2270"/>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69"/>
      <c r="C40" s="1562"/>
      <c r="D40" s="1559"/>
      <c r="E40" s="506"/>
      <c r="F40" s="507" t="s">
        <v>564</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69" t="s">
        <v>565</v>
      </c>
      <c r="D41" s="1564"/>
      <c r="E41" s="482" t="str">
        <f>FHD_NUM_P_5</f>
        <v/>
      </c>
      <c r="F41" s="1450" t="str">
        <f>FHD_P_5</f>
        <v/>
      </c>
      <c r="G41" s="1803" t="s">
        <v>547</v>
      </c>
      <c r="H41" s="493"/>
      <c r="I41" s="493"/>
      <c r="J41" s="226" t="str">
        <f>FHD_NOTE_P_5</f>
        <v/>
      </c>
      <c r="K41" s="1562" t="str">
        <f t="shared" si="0"/>
        <v/>
      </c>
      <c r="AF41" s="1557">
        <v>0</v>
      </c>
    </row>
    <row r="42" spans="1:32" ht="11.25" hidden="1" customHeight="1">
      <c r="A42" s="2269"/>
      <c r="D42" s="1564"/>
      <c r="E42" s="482" t="str">
        <f>FHD_NUM_P_6</f>
        <v/>
      </c>
      <c r="F42" s="1450" t="str">
        <f>FHD_P_6</f>
        <v/>
      </c>
      <c r="G42" s="1803" t="s">
        <v>547</v>
      </c>
      <c r="H42" s="493"/>
      <c r="I42" s="493"/>
      <c r="J42" s="226" t="str">
        <f>FHD_NOTE_P_6</f>
        <v/>
      </c>
      <c r="K42" s="1562" t="str">
        <f t="shared" si="0"/>
        <v/>
      </c>
      <c r="AF42" s="1557">
        <v>0</v>
      </c>
    </row>
    <row r="43" spans="1:32" ht="11.25" hidden="1" customHeight="1">
      <c r="A43" s="2269"/>
      <c r="D43" s="1564"/>
      <c r="E43" s="482" t="str">
        <f>FHD_NUM_P_7</f>
        <v/>
      </c>
      <c r="F43" s="1450" t="str">
        <f>FHD_P_7</f>
        <v/>
      </c>
      <c r="G43" s="1803" t="s">
        <v>547</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547</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566</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567</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568</v>
      </c>
      <c r="C47" s="1562"/>
      <c r="D47" s="511"/>
      <c r="E47" s="482" t="str">
        <f>FHD_NUM_P_11</f>
        <v>2.4</v>
      </c>
      <c r="F47" s="1450" t="str">
        <f>FHD_P_11</f>
        <v>Расходы на приобретение холодной воды, используемой в технологическом процессе</v>
      </c>
      <c r="G47" s="1803" t="s">
        <v>547</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569</v>
      </c>
      <c r="C48" s="1562"/>
      <c r="D48" s="1564"/>
      <c r="E48" s="482" t="str">
        <f>FHD_NUM_P_12</f>
        <v>2.5</v>
      </c>
      <c r="F48" s="1450" t="str">
        <f>FHD_P_12</f>
        <v>Расходы на  химические реагенты, используемые в технологическом процессе</v>
      </c>
      <c r="G48" s="1803" t="s">
        <v>547</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547</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547</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547</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547</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547</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547</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547</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547</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547</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547</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547</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547</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547</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547</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547</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547</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547</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301</v>
      </c>
      <c r="H66" s="1575" t="s">
        <v>570</v>
      </c>
      <c r="I66" s="1575" t="s">
        <v>570</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69" t="s">
        <v>571</v>
      </c>
      <c r="C67" s="1562"/>
      <c r="D67" s="1564"/>
      <c r="E67" s="482" t="str">
        <f>FHD_NUM_P_31</f>
        <v/>
      </c>
      <c r="F67" s="1450" t="str">
        <f>FHD_P_31</f>
        <v/>
      </c>
      <c r="G67" s="1803" t="s">
        <v>547</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69"/>
      <c r="C68" s="1562"/>
      <c r="D68" s="1564"/>
      <c r="E68" s="482" t="str">
        <f>FHD_NUM_P_32</f>
        <v/>
      </c>
      <c r="F68" s="1576" t="str">
        <f>FHD_P_32</f>
        <v/>
      </c>
      <c r="G68" s="1803" t="s">
        <v>301</v>
      </c>
      <c r="H68" s="1575" t="s">
        <v>570</v>
      </c>
      <c r="I68" s="1575" t="s">
        <v>570</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547</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572</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573</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547</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547</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547</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547</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547</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547</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547</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547</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574</v>
      </c>
      <c r="C80" s="1562"/>
      <c r="D80" s="1564"/>
      <c r="E80" s="482" t="str">
        <f>FHD_NUM_P_42</f>
        <v/>
      </c>
      <c r="F80" s="1995" t="str">
        <f>FHD_P_42</f>
        <v/>
      </c>
      <c r="G80" s="1993" t="s">
        <v>547</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301</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69" t="s">
        <v>575</v>
      </c>
      <c r="C82" s="671"/>
      <c r="D82" s="669"/>
      <c r="E82" s="482" t="str">
        <f>FHD_NUM_P_44</f>
        <v/>
      </c>
      <c r="F82" s="1805" t="str">
        <f>FHD_P_44</f>
        <v/>
      </c>
      <c r="G82" s="1806" t="s">
        <v>576</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69"/>
      <c r="C83" s="671"/>
      <c r="D83" s="669"/>
      <c r="E83" s="482" t="str">
        <f>FHD_NUM_P_45</f>
        <v/>
      </c>
      <c r="F83" s="1805" t="str">
        <f>FHD_P_45</f>
        <v/>
      </c>
      <c r="G83" s="1806" t="s">
        <v>576</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69"/>
      <c r="C84" s="671"/>
      <c r="D84" s="674"/>
      <c r="E84" s="482" t="str">
        <f>FHD_NUM_P_46</f>
        <v/>
      </c>
      <c r="F84" s="1805" t="str">
        <f>FHD_P_46</f>
        <v/>
      </c>
      <c r="G84" s="1806" t="s">
        <v>576</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69"/>
      <c r="C85" s="671"/>
      <c r="D85" s="669"/>
      <c r="E85" s="482" t="str">
        <f>FHD_NUM_P_47</f>
        <v/>
      </c>
      <c r="F85" s="1805" t="str">
        <f>FHD_P_47</f>
        <v/>
      </c>
      <c r="G85" s="1806" t="s">
        <v>576</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69"/>
      <c r="B86" s="839"/>
      <c r="C86" s="671"/>
      <c r="D86" s="669"/>
      <c r="E86" s="482" t="str">
        <f>FHD_NUM_P_48</f>
        <v/>
      </c>
      <c r="F86" s="1805" t="str">
        <f>FHD_P_48</f>
        <v/>
      </c>
      <c r="G86" s="1806" t="s">
        <v>576</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69"/>
      <c r="B87" s="839"/>
      <c r="C87" s="671"/>
      <c r="D87" s="669"/>
      <c r="E87" s="482" t="str">
        <f>FHD_NUM_P_49</f>
        <v/>
      </c>
      <c r="F87" s="1805" t="str">
        <f>FHD_P_49</f>
        <v/>
      </c>
      <c r="G87" s="1806" t="s">
        <v>576</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69"/>
      <c r="B88" s="839"/>
      <c r="C88" s="671"/>
      <c r="D88" s="669"/>
      <c r="E88" s="482" t="str">
        <f>FHD_NUM_P_50</f>
        <v/>
      </c>
      <c r="F88" s="1805" t="str">
        <f>FHD_P_50</f>
        <v/>
      </c>
      <c r="G88" s="1806" t="s">
        <v>576</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69"/>
      <c r="B89" s="839"/>
      <c r="C89" s="671"/>
      <c r="D89" s="669"/>
      <c r="E89" s="482" t="str">
        <f>FHD_NUM_P_51</f>
        <v/>
      </c>
      <c r="F89" s="1805" t="str">
        <f>FHD_P_51</f>
        <v/>
      </c>
      <c r="G89" s="1806" t="s">
        <v>576</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69"/>
      <c r="B90" s="839"/>
      <c r="C90" s="671"/>
      <c r="D90" s="669"/>
      <c r="E90" s="482" t="str">
        <f>FHD_NUM_P_52</f>
        <v/>
      </c>
      <c r="F90" s="1805" t="str">
        <f>FHD_P_52</f>
        <v/>
      </c>
      <c r="G90" s="1806" t="s">
        <v>553</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69" t="s">
        <v>577</v>
      </c>
      <c r="C91" s="671"/>
      <c r="D91" s="669"/>
      <c r="E91" s="482" t="str">
        <f>FHD_NUM_P_53</f>
        <v/>
      </c>
      <c r="F91" s="1805" t="str">
        <f>FHD_P_53</f>
        <v/>
      </c>
      <c r="G91" s="1806" t="s">
        <v>576</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69"/>
      <c r="C92" s="671"/>
      <c r="D92" s="669"/>
      <c r="E92" s="482" t="str">
        <f>FHD_NUM_P_54</f>
        <v/>
      </c>
      <c r="F92" s="1805" t="str">
        <f>FHD_P_54</f>
        <v/>
      </c>
      <c r="G92" s="1806" t="s">
        <v>576</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69"/>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69"/>
      <c r="C94" s="671"/>
      <c r="D94" s="669"/>
      <c r="E94" s="482" t="str">
        <f>FHD_NUM_P_56</f>
        <v/>
      </c>
      <c r="F94" s="1805" t="str">
        <f>FHD_P_56</f>
        <v/>
      </c>
      <c r="G94" s="1806" t="s">
        <v>578</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69"/>
      <c r="B95" s="839"/>
      <c r="C95" s="671"/>
      <c r="D95" s="669"/>
      <c r="E95" s="482" t="str">
        <f>FHD_NUM_P_57</f>
        <v/>
      </c>
      <c r="F95" s="1805" t="str">
        <f>FHD_P_57</f>
        <v/>
      </c>
      <c r="G95" s="1806" t="s">
        <v>553</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69" t="s">
        <v>579</v>
      </c>
      <c r="D96" s="1564"/>
      <c r="E96" s="482" t="str">
        <f>FHD_NUM_P_58</f>
        <v/>
      </c>
      <c r="F96" s="1805" t="str">
        <f>FHD_P_58</f>
        <v/>
      </c>
      <c r="G96" s="1806" t="s">
        <v>576</v>
      </c>
      <c r="H96" s="906"/>
      <c r="I96" s="513"/>
      <c r="J96" s="226" t="str">
        <f>FHD_NOTE_P_58</f>
        <v/>
      </c>
      <c r="K96" s="479"/>
      <c r="AF96" s="1557">
        <v>0</v>
      </c>
    </row>
    <row r="97" spans="1:32" ht="18.75" hidden="1" customHeight="1">
      <c r="A97" s="2269"/>
      <c r="D97" s="1564"/>
      <c r="E97" s="482" t="str">
        <f>FHD_NUM_P_59</f>
        <v/>
      </c>
      <c r="F97" s="1805" t="str">
        <f>FHD_P_59</f>
        <v/>
      </c>
      <c r="G97" s="1806" t="s">
        <v>576</v>
      </c>
      <c r="H97" s="906"/>
      <c r="I97" s="513"/>
      <c r="J97" s="226" t="str">
        <f>FHD_NOTE_P_59</f>
        <v/>
      </c>
      <c r="K97" s="479"/>
      <c r="AF97" s="1557">
        <v>0</v>
      </c>
    </row>
    <row r="98" spans="1:32" ht="18.75" hidden="1" customHeight="1">
      <c r="A98" s="2269"/>
      <c r="D98" s="1564"/>
      <c r="E98" s="482" t="str">
        <f>FHD_NUM_P_60</f>
        <v/>
      </c>
      <c r="F98" s="1805" t="str">
        <f>FHD_P_60</f>
        <v/>
      </c>
      <c r="G98" s="1806" t="s">
        <v>576</v>
      </c>
      <c r="H98" s="906"/>
      <c r="I98" s="513"/>
      <c r="J98" s="226" t="str">
        <f>FHD_NOTE_P_60</f>
        <v/>
      </c>
      <c r="K98" s="479"/>
      <c r="AF98" s="1557">
        <v>0</v>
      </c>
    </row>
    <row r="99" spans="1:32" s="1292" customFormat="1" ht="18.75" customHeight="1">
      <c r="A99" s="2269" t="s">
        <v>580</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551</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69"/>
      <c r="D100" s="484"/>
      <c r="E100" s="942" t="str">
        <f>E99&amp;".0"</f>
        <v>7.0</v>
      </c>
      <c r="F100" s="923"/>
      <c r="G100" s="924"/>
      <c r="H100" s="921"/>
      <c r="I100" s="921"/>
      <c r="J100" s="925"/>
      <c r="AF100" s="1562">
        <v>0</v>
      </c>
    </row>
    <row r="101" spans="1:32" ht="15" customHeight="1">
      <c r="A101" s="2269"/>
      <c r="D101" s="1559"/>
      <c r="E101" s="900"/>
      <c r="F101" s="901" t="s">
        <v>581</v>
      </c>
      <c r="G101" s="508"/>
      <c r="H101" s="509"/>
      <c r="I101" s="509"/>
      <c r="J101" s="933" t="s">
        <v>582</v>
      </c>
      <c r="K101" s="479"/>
      <c r="AF101" s="1557">
        <v>0</v>
      </c>
    </row>
    <row r="102" spans="1:32" s="1292" customFormat="1" ht="18.75" customHeight="1">
      <c r="A102" s="2269"/>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551</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69"/>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578</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69"/>
      <c r="C104" s="1562" t="s">
        <v>583</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578</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69"/>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578</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69"/>
      <c r="C106" s="1562"/>
      <c r="D106" s="1564"/>
      <c r="E106" s="482" t="str">
        <f>FHD_NUM_P_66</f>
        <v>10.1</v>
      </c>
      <c r="F106" s="1450" t="str">
        <f>FHD_P_66</f>
        <v xml:space="preserve">По приборам учёта </v>
      </c>
      <c r="G106" s="1802" t="s">
        <v>578</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69"/>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578</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69"/>
      <c r="C108" s="1562"/>
      <c r="D108" s="1564"/>
      <c r="E108" s="482" t="str">
        <f>FHD_NUM_P_68</f>
        <v>10.2</v>
      </c>
      <c r="F108" s="1450" t="str">
        <f>FHD_P_68</f>
        <v>Расчётным путём</v>
      </c>
      <c r="G108" s="1802" t="s">
        <v>578</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69"/>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578</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69"/>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584</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69"/>
      <c r="C111" s="1562"/>
      <c r="D111" s="1564"/>
      <c r="E111" s="482" t="str">
        <f>FHD_NUM_P_71</f>
        <v>12</v>
      </c>
      <c r="F111" s="1805" t="str">
        <f>FHD_P_71</f>
        <v>Фактический объем потерь при передаче тепловой энергии</v>
      </c>
      <c r="G111" s="1802" t="s">
        <v>584</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585</v>
      </c>
      <c r="H112" s="513"/>
      <c r="I112" s="513"/>
      <c r="J112" s="226" t="str">
        <f>FHD_NOTE_P_72</f>
        <v/>
      </c>
      <c r="K112" s="479"/>
      <c r="AF112" s="1557">
        <v>19</v>
      </c>
    </row>
    <row r="113" spans="1:32" ht="18.75" customHeight="1">
      <c r="A113" s="918" t="s">
        <v>586</v>
      </c>
      <c r="D113" s="1564"/>
      <c r="E113" s="482" t="str">
        <f>FHD_NUM_P_73</f>
        <v>14</v>
      </c>
      <c r="F113" s="1805" t="str">
        <f>FHD_P_73</f>
        <v>Среднесписочная численность административно-управленческого персонала</v>
      </c>
      <c r="G113" s="899" t="s">
        <v>585</v>
      </c>
      <c r="H113" s="897"/>
      <c r="I113" s="897"/>
      <c r="J113" s="226" t="str">
        <f>FHD_NOTE_P_73</f>
        <v/>
      </c>
      <c r="K113" s="479"/>
      <c r="AF113" s="1557">
        <v>0</v>
      </c>
    </row>
    <row r="114" spans="1:32" ht="33.75" hidden="1" customHeight="1">
      <c r="A114" s="918" t="s">
        <v>587</v>
      </c>
      <c r="D114" s="1564"/>
      <c r="E114" s="482" t="str">
        <f>FHD_NUM_P_74</f>
        <v/>
      </c>
      <c r="F114" s="1805" t="str">
        <f>FHD_P_74</f>
        <v/>
      </c>
      <c r="G114" s="1801" t="s">
        <v>588</v>
      </c>
      <c r="H114" s="513"/>
      <c r="I114" s="513"/>
      <c r="J114" s="226" t="str">
        <f>FHD_NOTE_P_74</f>
        <v/>
      </c>
      <c r="K114" s="479"/>
      <c r="AF114" s="1557">
        <v>0</v>
      </c>
    </row>
    <row r="115" spans="1:32" s="1561" customFormat="1" ht="18.75" hidden="1" customHeight="1">
      <c r="A115" s="2269" t="s">
        <v>589</v>
      </c>
      <c r="B115" s="839"/>
      <c r="C115" s="671"/>
      <c r="D115" s="669"/>
      <c r="E115" s="482" t="str">
        <f>FHD_NUM_P_75</f>
        <v/>
      </c>
      <c r="F115" s="1805" t="str">
        <f>FHD_P_75</f>
        <v/>
      </c>
      <c r="G115" s="1801" t="s">
        <v>553</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69"/>
      <c r="B116" s="839"/>
      <c r="C116" s="671"/>
      <c r="D116" s="669"/>
      <c r="E116" s="482" t="str">
        <f>FHD_NUM_P_76</f>
        <v/>
      </c>
      <c r="F116" s="1805" t="str">
        <f>FHD_P_76</f>
        <v/>
      </c>
      <c r="G116" s="1801" t="s">
        <v>553</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69"/>
      <c r="B117" s="839"/>
      <c r="C117" s="671"/>
      <c r="D117" s="669"/>
      <c r="E117" s="482" t="str">
        <f>FHD_NUM_P_77</f>
        <v/>
      </c>
      <c r="F117" s="1805" t="str">
        <f>FHD_P_77</f>
        <v/>
      </c>
      <c r="G117" s="1801" t="s">
        <v>553</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69"/>
      <c r="D118" s="484"/>
      <c r="E118" s="942" t="str">
        <f>E117&amp;".0"</f>
        <v>.0</v>
      </c>
      <c r="F118" s="926"/>
      <c r="G118" s="1577"/>
      <c r="H118" s="921"/>
      <c r="I118" s="921"/>
      <c r="J118" s="925"/>
      <c r="AF118" s="1562">
        <v>0</v>
      </c>
    </row>
    <row r="119" spans="1:32" s="1561" customFormat="1" ht="15" hidden="1" customHeight="1">
      <c r="A119" s="2269"/>
      <c r="B119" s="839"/>
      <c r="C119" s="671"/>
      <c r="D119" s="682"/>
      <c r="E119" s="902"/>
      <c r="F119" s="903" t="s">
        <v>590</v>
      </c>
      <c r="G119" s="683"/>
      <c r="H119" s="684"/>
      <c r="I119" s="684"/>
      <c r="J119" s="932" t="s">
        <v>591</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69" t="s">
        <v>592</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555</v>
      </c>
      <c r="H120" s="513"/>
      <c r="I120" s="513"/>
      <c r="J120" s="226" t="str">
        <f>FHD_NOTE_P_78</f>
        <v/>
      </c>
      <c r="K120" s="479"/>
      <c r="AF120" s="1557">
        <v>0</v>
      </c>
    </row>
    <row r="121" spans="1:32" s="1568" customFormat="1" ht="0.75" customHeight="1">
      <c r="A121" s="2269"/>
      <c r="D121" s="484"/>
      <c r="E121" s="942" t="str">
        <f>E120&amp;".0"</f>
        <v>15.0</v>
      </c>
      <c r="F121" s="926"/>
      <c r="G121" s="1577"/>
      <c r="H121" s="921"/>
      <c r="I121" s="921"/>
      <c r="J121" s="925"/>
      <c r="AF121" s="1562">
        <v>0</v>
      </c>
    </row>
    <row r="122" spans="1:32" ht="15" customHeight="1">
      <c r="A122" s="2269"/>
      <c r="D122" s="1559"/>
      <c r="E122" s="506"/>
      <c r="F122" s="1094" t="s">
        <v>581</v>
      </c>
      <c r="G122" s="508"/>
      <c r="H122" s="509"/>
      <c r="I122" s="509"/>
      <c r="J122" s="933" t="s">
        <v>593</v>
      </c>
      <c r="K122" s="479"/>
      <c r="AF122" s="1557">
        <v>0</v>
      </c>
    </row>
    <row r="123" spans="1:32" ht="22.5" customHeight="1">
      <c r="A123" s="2269"/>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557</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69"/>
      <c r="D124" s="484"/>
      <c r="E124" s="942" t="str">
        <f>E123&amp;".0"</f>
        <v>16.0</v>
      </c>
      <c r="F124" s="927"/>
      <c r="G124" s="1577"/>
      <c r="H124" s="921"/>
      <c r="I124" s="921"/>
      <c r="J124" s="925"/>
      <c r="AF124" s="1562">
        <v>0</v>
      </c>
    </row>
    <row r="125" spans="1:32" ht="15" customHeight="1">
      <c r="A125" s="2269"/>
      <c r="D125" s="1559"/>
      <c r="E125" s="506"/>
      <c r="F125" s="1094" t="s">
        <v>581</v>
      </c>
      <c r="G125" s="508"/>
      <c r="H125" s="509"/>
      <c r="I125" s="509"/>
      <c r="J125" s="933" t="s">
        <v>594</v>
      </c>
      <c r="K125" s="479"/>
      <c r="AF125" s="1557">
        <v>0</v>
      </c>
    </row>
    <row r="126" spans="1:32" ht="22.5" customHeight="1">
      <c r="A126" s="2269"/>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595</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69"/>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596</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69"/>
      <c r="C128" s="1562" t="s">
        <v>583</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301</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69"/>
      <c r="C129" s="1562" t="s">
        <v>583</v>
      </c>
      <c r="D129" s="1564"/>
      <c r="E129" s="482" t="str">
        <f>FHD_NUM_P_83</f>
        <v>19.1</v>
      </c>
      <c r="F129" s="1450" t="str">
        <f>FHD_P_83</f>
        <v>Информация о показателях физического износа объектов теплоснабжения</v>
      </c>
      <c r="G129" s="1803" t="s">
        <v>301</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69"/>
      <c r="C130" s="1562" t="s">
        <v>583</v>
      </c>
      <c r="D130" s="1564"/>
      <c r="E130" s="482" t="str">
        <f>FHD_NUM_P_84</f>
        <v>19.2</v>
      </c>
      <c r="F130" s="1450" t="str">
        <f>FHD_P_84</f>
        <v>Информация о показателях энергетической эффективности объектов теплоснабжения</v>
      </c>
      <c r="G130" s="1803" t="s">
        <v>301</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78</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5" t="str">
        <f>FHD20_NAME_FORM</f>
        <v>Форма 11. Информация о расходах на капитальный и текущий ремонт основных средств</v>
      </c>
      <c r="F5" s="2165"/>
      <c r="G5" s="2165"/>
      <c r="H5" s="2165"/>
      <c r="I5" s="2165"/>
      <c r="J5" s="2165"/>
      <c r="K5" s="2165"/>
      <c r="L5" s="549"/>
      <c r="M5" s="549"/>
      <c r="CF5" s="441">
        <v>28</v>
      </c>
    </row>
    <row r="6" spans="1:84" s="1561" customFormat="1" ht="16.899999999999999" customHeight="1">
      <c r="A6" s="546"/>
      <c r="B6" s="693"/>
      <c r="C6" s="445"/>
      <c r="D6" s="987"/>
      <c r="E6" s="2137" t="str">
        <f>IF(org=0,"Не определено",org)</f>
        <v>ОП АО "Байкалэнерго" - "Саяногорские тепловые сети"</v>
      </c>
      <c r="F6" s="2137"/>
      <c r="G6" s="2137"/>
      <c r="H6" s="2137"/>
      <c r="I6" s="2137"/>
      <c r="J6" s="2137"/>
      <c r="K6" s="2137"/>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38" t="s">
        <v>295</v>
      </c>
      <c r="F9" s="2043"/>
      <c r="G9" s="2043"/>
      <c r="H9" s="2043"/>
      <c r="I9" s="2043"/>
      <c r="J9" s="2043"/>
      <c r="K9" s="2043"/>
      <c r="L9" s="2043"/>
      <c r="M9" s="2043"/>
      <c r="N9" s="2043"/>
      <c r="O9" s="2043"/>
      <c r="P9" s="2043"/>
      <c r="Q9" s="2043"/>
      <c r="R9" s="2037"/>
      <c r="S9" s="2056" t="s">
        <v>296</v>
      </c>
      <c r="T9" s="271"/>
      <c r="CF9" s="441">
        <v>19</v>
      </c>
    </row>
    <row r="10" spans="1:84" ht="48.2" customHeight="1">
      <c r="D10" s="487" t="s">
        <v>84</v>
      </c>
      <c r="E10" s="2056" t="s">
        <v>84</v>
      </c>
      <c r="F10" s="2056"/>
      <c r="G10" s="457" t="s">
        <v>297</v>
      </c>
      <c r="H10" s="2056" t="s">
        <v>84</v>
      </c>
      <c r="I10" s="2056"/>
      <c r="J10" s="457" t="s">
        <v>597</v>
      </c>
      <c r="K10" s="457" t="s">
        <v>598</v>
      </c>
      <c r="L10" s="2056" t="s">
        <v>84</v>
      </c>
      <c r="M10" s="2056"/>
      <c r="N10" s="457" t="s">
        <v>599</v>
      </c>
      <c r="O10" s="457" t="s">
        <v>600</v>
      </c>
      <c r="P10" s="457" t="s">
        <v>601</v>
      </c>
      <c r="Q10" s="457" t="s">
        <v>602</v>
      </c>
      <c r="R10" s="457" t="s">
        <v>603</v>
      </c>
      <c r="S10" s="2056"/>
      <c r="T10" s="271"/>
      <c r="CF10" s="441">
        <v>46</v>
      </c>
    </row>
    <row r="11" spans="1:84" s="1568" customFormat="1" ht="15" hidden="1" customHeight="1">
      <c r="A11" s="981"/>
      <c r="D11" s="954" t="s">
        <v>105</v>
      </c>
      <c r="E11" s="954"/>
      <c r="F11" s="954" t="s">
        <v>106</v>
      </c>
      <c r="G11" s="954" t="s">
        <v>86</v>
      </c>
      <c r="H11" s="954"/>
      <c r="I11" s="954" t="s">
        <v>87</v>
      </c>
      <c r="J11" s="954" t="s">
        <v>107</v>
      </c>
      <c r="K11" s="954" t="s">
        <v>88</v>
      </c>
      <c r="L11" s="954"/>
      <c r="M11" s="954" t="s">
        <v>89</v>
      </c>
      <c r="N11" s="954" t="s">
        <v>108</v>
      </c>
      <c r="O11" s="954" t="s">
        <v>145</v>
      </c>
      <c r="P11" s="954" t="s">
        <v>146</v>
      </c>
      <c r="Q11" s="954" t="s">
        <v>147</v>
      </c>
      <c r="R11" s="954" t="s">
        <v>148</v>
      </c>
      <c r="S11" s="954" t="s">
        <v>149</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371</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113</v>
      </c>
      <c r="B14" s="560"/>
      <c r="C14" s="560"/>
      <c r="D14" s="2275" t="s">
        <v>105</v>
      </c>
      <c r="E14" s="2282" t="s">
        <v>101</v>
      </c>
      <c r="F14" s="2283"/>
      <c r="G14" s="2284"/>
      <c r="H14" s="2278" t="str">
        <f>IF(A14="","",INDEX(DIFFERENTIATION_UNMERGE_VD,MATCH(A14,DIFFERENTIATION_ID_DIFF,0)))</f>
        <v>Подключение (технологическое присоединение) к системе теплоснабжения</v>
      </c>
      <c r="I14" s="2278"/>
      <c r="J14" s="2278"/>
      <c r="K14" s="2278"/>
      <c r="L14" s="2278"/>
      <c r="M14" s="2278"/>
      <c r="N14" s="2278"/>
      <c r="O14" s="2278"/>
      <c r="P14" s="2278"/>
      <c r="Q14" s="2278"/>
      <c r="R14" s="2278"/>
      <c r="S14" s="655"/>
      <c r="T14" s="652"/>
      <c r="U14" s="561"/>
      <c r="V14" s="561"/>
      <c r="W14" s="562"/>
      <c r="X14" s="562"/>
      <c r="Y14" s="562"/>
      <c r="Z14" s="562"/>
      <c r="AA14" s="563"/>
      <c r="AB14" s="564"/>
      <c r="AC14" s="2281"/>
      <c r="AD14" s="565"/>
      <c r="AE14" s="566" t="s">
        <v>22</v>
      </c>
      <c r="AF14" s="566"/>
      <c r="AG14" s="567" t="s">
        <v>604</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6"/>
      <c r="E15" s="2282" t="s">
        <v>559</v>
      </c>
      <c r="F15" s="2283"/>
      <c r="G15" s="2284"/>
      <c r="H15" s="2278" t="str">
        <f>IF(A14="","",INDEX(DIFFERENTIATION_UNMERGE_AREA,MATCH(A14,DIFFERENTIATION_ID_DIFF,0)))</f>
        <v>Территория 1</v>
      </c>
      <c r="I15" s="2278"/>
      <c r="J15" s="2278"/>
      <c r="K15" s="2278"/>
      <c r="L15" s="2278"/>
      <c r="M15" s="2278"/>
      <c r="N15" s="2278"/>
      <c r="O15" s="2278"/>
      <c r="P15" s="2278"/>
      <c r="Q15" s="2278"/>
      <c r="R15" s="2278"/>
      <c r="S15" s="655"/>
      <c r="T15" s="652"/>
      <c r="U15" s="561"/>
      <c r="V15" s="561"/>
      <c r="W15" s="562"/>
      <c r="X15" s="562"/>
      <c r="Y15" s="562"/>
      <c r="Z15" s="562"/>
      <c r="AA15" s="563"/>
      <c r="AB15" s="564"/>
      <c r="AC15" s="228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6"/>
      <c r="E16" s="2282" t="s">
        <v>560</v>
      </c>
      <c r="F16" s="2283"/>
      <c r="G16" s="2284"/>
      <c r="H16" s="2278" t="str">
        <f>IF(A14="","",INDEX(DIFFERENTIATION_UNMERGE_SYSTEM,MATCH(A14,DIFFERENTIATION_ID_DIFF,0)))</f>
        <v>без дифференциации</v>
      </c>
      <c r="I16" s="2278"/>
      <c r="J16" s="2278"/>
      <c r="K16" s="2278"/>
      <c r="L16" s="2278"/>
      <c r="M16" s="2278"/>
      <c r="N16" s="2278"/>
      <c r="O16" s="2278"/>
      <c r="P16" s="2278"/>
      <c r="Q16" s="2278"/>
      <c r="R16" s="2278"/>
      <c r="S16" s="655"/>
      <c r="T16" s="652"/>
      <c r="U16" s="561"/>
      <c r="V16" s="561"/>
      <c r="W16" s="562"/>
      <c r="X16" s="562"/>
      <c r="Y16" s="562"/>
      <c r="Z16" s="562"/>
      <c r="AA16" s="563"/>
      <c r="AB16" s="564"/>
      <c r="AC16" s="228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6"/>
      <c r="E17" s="2280" t="s">
        <v>605</v>
      </c>
      <c r="F17" s="2280"/>
      <c r="G17" s="2280"/>
      <c r="H17" s="2280"/>
      <c r="I17" s="2280"/>
      <c r="J17" s="2280"/>
      <c r="K17" s="2280"/>
      <c r="L17" s="2280"/>
      <c r="M17" s="2280"/>
      <c r="N17" s="2280"/>
      <c r="O17" s="2280"/>
      <c r="P17" s="2280"/>
      <c r="Q17" s="494">
        <f>SUMIF(T18:T19,"i",Q18:Q19)</f>
        <v>0</v>
      </c>
      <c r="R17" s="946"/>
      <c r="S17" s="826" t="s">
        <v>606</v>
      </c>
      <c r="T17" s="653" t="s">
        <v>607</v>
      </c>
      <c r="U17" s="2188">
        <v>1</v>
      </c>
      <c r="V17" s="2188" t="str">
        <f>INDEX(B_FHD_FLAG_INDEX_1,1,MATCH(A14,B_FHD_FLAG_DIFFERENTIATION,0))</f>
        <v>отсутствует</v>
      </c>
      <c r="W17" s="353"/>
      <c r="X17" s="353"/>
      <c r="Y17" s="353"/>
      <c r="Z17" s="353"/>
      <c r="AA17" s="447"/>
      <c r="AB17" s="353"/>
      <c r="AC17" s="228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6"/>
      <c r="E18" s="571"/>
      <c r="F18" s="571">
        <v>0</v>
      </c>
      <c r="G18" s="571"/>
      <c r="H18" s="571"/>
      <c r="I18" s="571"/>
      <c r="J18" s="571"/>
      <c r="K18" s="571"/>
      <c r="L18" s="571"/>
      <c r="M18" s="571"/>
      <c r="N18" s="571"/>
      <c r="O18" s="571"/>
      <c r="P18" s="571"/>
      <c r="Q18" s="571"/>
      <c r="R18" s="571"/>
      <c r="S18" s="572"/>
      <c r="T18" s="654"/>
      <c r="U18" s="2188"/>
      <c r="V18" s="2188"/>
      <c r="W18" s="447"/>
      <c r="X18" s="447"/>
      <c r="Y18" s="447"/>
      <c r="Z18" s="447"/>
      <c r="AA18" s="447"/>
      <c r="AB18" s="353"/>
      <c r="AC18" s="228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6"/>
      <c r="E19" s="585" t="s">
        <v>22</v>
      </c>
      <c r="F19" s="586" t="s">
        <v>22</v>
      </c>
      <c r="G19" s="586" t="s">
        <v>22</v>
      </c>
      <c r="H19" s="587" t="s">
        <v>22</v>
      </c>
      <c r="I19" s="587"/>
      <c r="J19" s="587"/>
      <c r="K19" s="587"/>
      <c r="L19" s="587"/>
      <c r="M19" s="587"/>
      <c r="N19" s="587"/>
      <c r="O19" s="587"/>
      <c r="P19" s="587"/>
      <c r="Q19" s="587"/>
      <c r="R19" s="588"/>
      <c r="S19" s="949"/>
      <c r="T19" s="654"/>
      <c r="U19" s="2188"/>
      <c r="V19" s="2188"/>
      <c r="W19" s="353"/>
      <c r="X19" s="353"/>
      <c r="Y19" s="353"/>
      <c r="Z19" s="353"/>
      <c r="AA19" s="447"/>
      <c r="AB19" s="353"/>
      <c r="AC19" s="2281"/>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6"/>
      <c r="E20" s="2280" t="s">
        <v>608</v>
      </c>
      <c r="F20" s="2280"/>
      <c r="G20" s="2280"/>
      <c r="H20" s="2280"/>
      <c r="I20" s="2280"/>
      <c r="J20" s="2280"/>
      <c r="K20" s="2280"/>
      <c r="L20" s="2280"/>
      <c r="M20" s="2280"/>
      <c r="N20" s="2280"/>
      <c r="O20" s="2280"/>
      <c r="P20" s="2280"/>
      <c r="Q20" s="494">
        <f>SUMIF(T21:T22,"i",Q21:Q22)</f>
        <v>0</v>
      </c>
      <c r="R20" s="946"/>
      <c r="S20" s="645" t="s">
        <v>609</v>
      </c>
      <c r="T20" s="653" t="s">
        <v>607</v>
      </c>
      <c r="U20" s="2188">
        <v>2</v>
      </c>
      <c r="V20" s="2188"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6"/>
      <c r="E21" s="571"/>
      <c r="F21" s="571">
        <v>0</v>
      </c>
      <c r="G21" s="571"/>
      <c r="H21" s="571"/>
      <c r="I21" s="571"/>
      <c r="J21" s="571"/>
      <c r="K21" s="571"/>
      <c r="L21" s="571"/>
      <c r="M21" s="571"/>
      <c r="N21" s="571"/>
      <c r="O21" s="571"/>
      <c r="P21" s="571"/>
      <c r="Q21" s="571"/>
      <c r="R21" s="571"/>
      <c r="S21" s="572"/>
      <c r="T21" s="654"/>
      <c r="U21" s="2188"/>
      <c r="V21" s="2188"/>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7"/>
      <c r="E22" s="585" t="s">
        <v>22</v>
      </c>
      <c r="F22" s="586" t="s">
        <v>22</v>
      </c>
      <c r="G22" s="586" t="s">
        <v>22</v>
      </c>
      <c r="H22" s="587" t="s">
        <v>22</v>
      </c>
      <c r="I22" s="587"/>
      <c r="J22" s="587"/>
      <c r="K22" s="587"/>
      <c r="L22" s="587"/>
      <c r="M22" s="587"/>
      <c r="N22" s="587"/>
      <c r="O22" s="587"/>
      <c r="P22" s="587"/>
      <c r="Q22" s="587"/>
      <c r="R22" s="588"/>
      <c r="S22" s="949"/>
      <c r="T22" s="654"/>
      <c r="U22" s="2188"/>
      <c r="V22" s="2188"/>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279"/>
      <c r="F27" s="2279"/>
      <c r="G27" s="2279"/>
      <c r="H27" s="2279"/>
      <c r="I27" s="2279"/>
      <c r="J27" s="2279"/>
      <c r="K27" s="2279"/>
      <c r="L27" s="2279"/>
      <c r="M27" s="2279"/>
      <c r="N27" s="2279"/>
      <c r="O27" s="2279"/>
      <c r="P27" s="2279"/>
      <c r="Q27" s="2279"/>
      <c r="R27" s="2279"/>
      <c r="CF27" s="441">
        <v>11</v>
      </c>
    </row>
    <row r="28" spans="1:84" ht="11.45" customHeight="1">
      <c r="F28" s="692"/>
      <c r="G28" s="692"/>
      <c r="CF28" s="441">
        <v>11</v>
      </c>
    </row>
    <row r="29" spans="1:84" ht="11.25" hidden="1" customHeight="1">
      <c r="A29" s="546" t="s">
        <v>78</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610</v>
      </c>
      <c r="C2" s="1975" t="s">
        <v>611</v>
      </c>
      <c r="D2" s="1974" t="s">
        <v>612</v>
      </c>
      <c r="E2" s="1978" t="e">
        <f>RIGHT(I2,LEN(I2)-SEARCH("#",SUBSTITUTE(I2,".","#",LEN(I2)-LEN(SUBSTITUTE(I2,".","")))))</f>
        <v>#VALUE!</v>
      </c>
      <c r="F2" s="1980">
        <f>J2</f>
        <v>0</v>
      </c>
      <c r="G2" s="1562"/>
      <c r="H2" s="1981"/>
      <c r="I2" s="1971"/>
      <c r="J2" s="476"/>
      <c r="K2" s="1941" t="s">
        <v>551</v>
      </c>
      <c r="L2" s="687"/>
      <c r="M2" s="687"/>
      <c r="N2" s="479"/>
      <c r="O2" s="1451" t="s">
        <v>552</v>
      </c>
      <c r="P2" s="479"/>
      <c r="Q2" s="1562"/>
      <c r="R2" s="1562"/>
      <c r="W2" s="1562"/>
      <c r="Z2" s="480"/>
      <c r="AF2" s="1558"/>
      <c r="AG2" s="1558"/>
      <c r="AH2" s="1558"/>
      <c r="AI2" s="1558"/>
      <c r="AJ2" s="1558"/>
      <c r="AK2" s="1292">
        <v>0</v>
      </c>
    </row>
    <row r="3" spans="1:37" ht="11.25" hidden="1" customHeight="1">
      <c r="E3" s="1973" t="s">
        <v>613</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14" t="s">
        <v>614</v>
      </c>
      <c r="J6" s="2114"/>
      <c r="K6" s="2114"/>
      <c r="L6" s="2114"/>
      <c r="M6" s="2114"/>
      <c r="O6" s="492"/>
      <c r="AK6" s="1557">
        <v>55</v>
      </c>
    </row>
    <row r="7" spans="1:37" ht="25.15" customHeight="1">
      <c r="I7" s="2137" t="str">
        <f>IF(org=0,"Не определено",org)</f>
        <v>ОП АО "Байкалэнерго" - "Саяногорские тепловые сети"</v>
      </c>
      <c r="J7" s="2137"/>
      <c r="K7" s="2137"/>
      <c r="L7" s="2137"/>
      <c r="M7" s="2137"/>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113</v>
      </c>
      <c r="AK9" s="1562">
        <v>1</v>
      </c>
    </row>
    <row r="10" spans="1:37" ht="11.45" customHeight="1">
      <c r="E10" s="1972" t="s">
        <v>615</v>
      </c>
      <c r="I10" s="647"/>
      <c r="J10" s="2271" t="s">
        <v>101</v>
      </c>
      <c r="K10" s="2272"/>
      <c r="L10" s="1951" t="str">
        <f>IF(L9="","",INDEX(DIFFERENTIATION_UNMERGE_VD,MATCH(L9,DIFFERENTIATION_ID_DIFF,0)))</f>
        <v/>
      </c>
      <c r="M10" s="1951" t="str">
        <f>IF(M9="","",INDEX(DIFFERENTIATION_UNMERGE_VD,MATCH(M9,DIFFERENTIATION_ID_DIFF,0)))</f>
        <v>Подключение (технологическое присоединение) к системе теплоснабжения</v>
      </c>
      <c r="O10" s="2056" t="s">
        <v>296</v>
      </c>
      <c r="AK10" s="1557">
        <v>11</v>
      </c>
    </row>
    <row r="11" spans="1:37" ht="11.45" customHeight="1">
      <c r="E11" s="1972" t="s">
        <v>616</v>
      </c>
      <c r="I11" s="647"/>
      <c r="J11" s="2271" t="s">
        <v>559</v>
      </c>
      <c r="K11" s="2272"/>
      <c r="L11" s="1951" t="str">
        <f>IF(L9="","",INDEX(DIFFERENTIATION_UNMERGE_AREA,MATCH(L9,DIFFERENTIATION_ID_DIFF,0)))</f>
        <v/>
      </c>
      <c r="M11" s="1951" t="str">
        <f>IF(M9="","",INDEX(DIFFERENTIATION_UNMERGE_AREA,MATCH(M9,DIFFERENTIATION_ID_DIFF,0)))</f>
        <v>Территория 1</v>
      </c>
      <c r="O11" s="2056"/>
      <c r="AK11" s="1557">
        <v>11</v>
      </c>
    </row>
    <row r="12" spans="1:37" ht="11.45" customHeight="1">
      <c r="E12" s="1972" t="s">
        <v>617</v>
      </c>
      <c r="I12" s="1588"/>
      <c r="J12" s="2271" t="s">
        <v>560</v>
      </c>
      <c r="K12" s="2272"/>
      <c r="L12" s="1951" t="str">
        <f>IF(L9="","",INDEX(DIFFERENTIATION_UNMERGE_SYSTEM,MATCH(L9,DIFFERENTIATION_ID_DIFF,0)))</f>
        <v/>
      </c>
      <c r="M12" s="1951" t="str">
        <f>IF(M9="","",INDEX(DIFFERENTIATION_UNMERGE_SYSTEM,MATCH(M9,DIFFERENTIATION_ID_DIFF,0)))</f>
        <v>без дифференциации</v>
      </c>
      <c r="O12" s="2056"/>
      <c r="AK12" s="1557">
        <v>11</v>
      </c>
    </row>
    <row r="13" spans="1:37" ht="11.45" customHeight="1">
      <c r="E13" s="1972" t="s">
        <v>618</v>
      </c>
      <c r="F13" s="1972" t="s">
        <v>619</v>
      </c>
      <c r="I13" s="2273" t="s">
        <v>295</v>
      </c>
      <c r="J13" s="2274"/>
      <c r="K13" s="2274"/>
      <c r="L13" s="1949"/>
      <c r="M13" s="1989"/>
      <c r="O13" s="2056"/>
      <c r="AK13" s="1557">
        <v>11</v>
      </c>
    </row>
    <row r="14" spans="1:37" ht="24" customHeight="1">
      <c r="I14" s="1942" t="s">
        <v>84</v>
      </c>
      <c r="J14" s="1942" t="s">
        <v>297</v>
      </c>
      <c r="K14" s="1942" t="s">
        <v>561</v>
      </c>
      <c r="L14" s="1982" t="s">
        <v>298</v>
      </c>
      <c r="M14" s="1983" t="s">
        <v>298</v>
      </c>
      <c r="O14" s="2056"/>
      <c r="AK14" s="1557">
        <v>23</v>
      </c>
    </row>
    <row r="15" spans="1:37" ht="24" customHeight="1">
      <c r="A15" s="1976"/>
      <c r="B15" s="1975" t="s">
        <v>620</v>
      </c>
      <c r="C15" s="1975" t="s">
        <v>621</v>
      </c>
      <c r="D15" s="1974" t="s">
        <v>622</v>
      </c>
      <c r="E15" s="1978" t="s">
        <v>623</v>
      </c>
      <c r="F15" s="1978" t="s">
        <v>623</v>
      </c>
      <c r="G15" s="1562" t="s">
        <v>583</v>
      </c>
      <c r="H15" s="1943"/>
      <c r="I15" s="1556">
        <v>1</v>
      </c>
      <c r="J15" s="1944" t="s">
        <v>624</v>
      </c>
      <c r="K15" s="1942" t="s">
        <v>301</v>
      </c>
      <c r="L15" s="598"/>
      <c r="M15" s="748"/>
      <c r="N15" s="479" t="s">
        <v>625</v>
      </c>
      <c r="O15" s="1451" t="s">
        <v>626</v>
      </c>
      <c r="P15" s="479" t="s">
        <v>625</v>
      </c>
      <c r="AK15" s="1557">
        <v>23</v>
      </c>
    </row>
    <row r="16" spans="1:37" ht="35.65" customHeight="1">
      <c r="A16" s="1976"/>
      <c r="B16" s="1975" t="s">
        <v>627</v>
      </c>
      <c r="C16" s="1975" t="s">
        <v>628</v>
      </c>
      <c r="D16" s="1974" t="s">
        <v>612</v>
      </c>
      <c r="E16" s="1978" t="s">
        <v>623</v>
      </c>
      <c r="F16" s="1978" t="s">
        <v>623</v>
      </c>
      <c r="H16" s="1943"/>
      <c r="I16" s="1555">
        <v>2</v>
      </c>
      <c r="J16" s="1985" t="s">
        <v>629</v>
      </c>
      <c r="K16" s="1984" t="s">
        <v>551</v>
      </c>
      <c r="L16" s="1990"/>
      <c r="M16" s="1602"/>
      <c r="N16" s="479" t="s">
        <v>625</v>
      </c>
      <c r="O16" s="1451" t="s">
        <v>630</v>
      </c>
      <c r="P16" s="479" t="s">
        <v>625</v>
      </c>
      <c r="AK16" s="1557">
        <v>34</v>
      </c>
    </row>
    <row r="17" spans="1:37" s="1568" customFormat="1" ht="17.25" hidden="1" customHeight="1">
      <c r="A17" s="1093"/>
      <c r="B17" s="1093"/>
      <c r="C17" s="1093"/>
      <c r="D17" s="1093"/>
      <c r="E17" s="1093"/>
      <c r="H17" s="1250"/>
      <c r="I17" s="942" t="s">
        <v>631</v>
      </c>
      <c r="J17" s="920"/>
      <c r="K17" s="942"/>
      <c r="L17" s="921"/>
      <c r="M17" s="921"/>
      <c r="O17" s="1311"/>
      <c r="AK17" s="1562">
        <v>1</v>
      </c>
    </row>
    <row r="18" spans="1:37" s="1292" customFormat="1" ht="24" customHeight="1">
      <c r="A18" s="916"/>
      <c r="B18" s="916"/>
      <c r="C18" s="916"/>
      <c r="D18" s="916"/>
      <c r="E18" s="916"/>
      <c r="G18" s="1562"/>
      <c r="H18" s="1559"/>
      <c r="I18" s="506"/>
      <c r="J18" s="507" t="s">
        <v>581</v>
      </c>
      <c r="K18" s="508"/>
      <c r="L18" s="1992"/>
      <c r="M18" s="509"/>
      <c r="N18" s="479"/>
      <c r="O18" s="1451" t="s">
        <v>582</v>
      </c>
      <c r="P18" s="479"/>
      <c r="Q18" s="1562"/>
      <c r="R18" s="1562"/>
      <c r="W18" s="1562"/>
      <c r="Z18" s="480"/>
      <c r="AF18" s="1558"/>
      <c r="AG18" s="1558"/>
      <c r="AH18" s="1558"/>
      <c r="AI18" s="1558"/>
      <c r="AJ18" s="1558"/>
      <c r="AK18" s="1292">
        <v>23</v>
      </c>
    </row>
    <row r="19" spans="1:37" ht="19.899999999999999" customHeight="1">
      <c r="A19" s="1976"/>
      <c r="B19" s="1975" t="s">
        <v>632</v>
      </c>
      <c r="C19" s="1975" t="s">
        <v>633</v>
      </c>
      <c r="D19" s="1974" t="s">
        <v>612</v>
      </c>
      <c r="E19" s="1978" t="s">
        <v>623</v>
      </c>
      <c r="F19" s="1978" t="s">
        <v>623</v>
      </c>
      <c r="H19" s="1943"/>
      <c r="I19" s="1590">
        <v>3</v>
      </c>
      <c r="J19" s="1944" t="s">
        <v>633</v>
      </c>
      <c r="K19" s="1940" t="s">
        <v>551</v>
      </c>
      <c r="L19" s="663"/>
      <c r="M19" s="493"/>
      <c r="N19" s="479"/>
      <c r="O19" s="1451" t="s">
        <v>634</v>
      </c>
      <c r="P19" s="479"/>
      <c r="AK19" s="1557">
        <v>19</v>
      </c>
    </row>
    <row r="20" spans="1:37" ht="77.650000000000006" customHeight="1">
      <c r="A20" s="1976"/>
      <c r="B20" s="1975" t="s">
        <v>635</v>
      </c>
      <c r="C20" s="1975" t="s">
        <v>636</v>
      </c>
      <c r="D20" s="1974" t="s">
        <v>612</v>
      </c>
      <c r="E20" s="1978" t="s">
        <v>623</v>
      </c>
      <c r="F20" s="1978" t="s">
        <v>623</v>
      </c>
      <c r="H20" s="1943"/>
      <c r="I20" s="1590">
        <v>4</v>
      </c>
      <c r="J20" s="1944" t="s">
        <v>637</v>
      </c>
      <c r="K20" s="1940" t="s">
        <v>578</v>
      </c>
      <c r="L20" s="663"/>
      <c r="M20" s="493"/>
      <c r="N20" s="479"/>
      <c r="O20" s="1451"/>
      <c r="P20" s="479"/>
      <c r="AK20" s="1557">
        <v>74</v>
      </c>
    </row>
    <row r="21" spans="1:37" ht="35.65" customHeight="1">
      <c r="A21" s="1976"/>
      <c r="B21" s="1975" t="s">
        <v>638</v>
      </c>
      <c r="C21" s="1975" t="s">
        <v>639</v>
      </c>
      <c r="D21" s="1974" t="s">
        <v>612</v>
      </c>
      <c r="E21" s="1978" t="s">
        <v>623</v>
      </c>
      <c r="F21" s="1978" t="s">
        <v>623</v>
      </c>
      <c r="H21" s="1943"/>
      <c r="I21" s="1590">
        <v>5</v>
      </c>
      <c r="J21" s="1944" t="s">
        <v>640</v>
      </c>
      <c r="K21" s="1940" t="s">
        <v>578</v>
      </c>
      <c r="L21" s="663"/>
      <c r="M21" s="493"/>
      <c r="N21" s="479"/>
      <c r="O21" s="1451" t="s">
        <v>634</v>
      </c>
      <c r="P21" s="479"/>
      <c r="AK21" s="1557">
        <v>34</v>
      </c>
    </row>
    <row r="22" spans="1:37" ht="48.2" customHeight="1">
      <c r="A22" s="1976"/>
      <c r="B22" s="1975" t="s">
        <v>641</v>
      </c>
      <c r="C22" s="1975" t="s">
        <v>642</v>
      </c>
      <c r="D22" s="1974" t="s">
        <v>612</v>
      </c>
      <c r="E22" s="1978" t="s">
        <v>623</v>
      </c>
      <c r="F22" s="1978" t="s">
        <v>623</v>
      </c>
      <c r="H22" s="1943"/>
      <c r="I22" s="1590">
        <v>6</v>
      </c>
      <c r="J22" s="1944" t="s">
        <v>643</v>
      </c>
      <c r="K22" s="1940" t="s">
        <v>578</v>
      </c>
      <c r="L22" s="663"/>
      <c r="M22" s="493"/>
      <c r="N22" s="479"/>
      <c r="O22" s="1451" t="s">
        <v>644</v>
      </c>
      <c r="P22" s="479"/>
      <c r="AK22" s="1557">
        <v>46</v>
      </c>
    </row>
    <row r="23" spans="1:37" ht="19.899999999999999" customHeight="1">
      <c r="A23" s="1976"/>
      <c r="B23" s="1975" t="s">
        <v>645</v>
      </c>
      <c r="C23" s="1975" t="s">
        <v>646</v>
      </c>
      <c r="D23" s="1974" t="s">
        <v>612</v>
      </c>
      <c r="E23" s="1978" t="s">
        <v>623</v>
      </c>
      <c r="F23" s="1978" t="s">
        <v>623</v>
      </c>
      <c r="H23" s="1943"/>
      <c r="I23" s="1590" t="s">
        <v>647</v>
      </c>
      <c r="J23" s="1450" t="s">
        <v>648</v>
      </c>
      <c r="K23" s="1940" t="s">
        <v>578</v>
      </c>
      <c r="L23" s="663"/>
      <c r="M23" s="493"/>
      <c r="N23" s="479"/>
      <c r="O23" s="1451" t="s">
        <v>634</v>
      </c>
      <c r="P23" s="479"/>
      <c r="AK23" s="1557">
        <v>19</v>
      </c>
    </row>
    <row r="24" spans="1:37" ht="19.899999999999999" customHeight="1">
      <c r="A24" s="1976"/>
      <c r="B24" s="1975" t="s">
        <v>649</v>
      </c>
      <c r="C24" s="1975" t="s">
        <v>650</v>
      </c>
      <c r="D24" s="1974" t="s">
        <v>612</v>
      </c>
      <c r="E24" s="1978" t="s">
        <v>623</v>
      </c>
      <c r="F24" s="1978" t="s">
        <v>623</v>
      </c>
      <c r="H24" s="1943"/>
      <c r="I24" s="1590" t="s">
        <v>651</v>
      </c>
      <c r="J24" s="1450" t="s">
        <v>652</v>
      </c>
      <c r="K24" s="1940" t="s">
        <v>578</v>
      </c>
      <c r="L24" s="663"/>
      <c r="M24" s="493"/>
      <c r="N24" s="479"/>
      <c r="O24" s="1451"/>
      <c r="P24" s="479"/>
      <c r="AK24" s="1557">
        <v>19</v>
      </c>
    </row>
    <row r="25" spans="1:37" ht="24" customHeight="1">
      <c r="A25" s="1976"/>
      <c r="B25" s="1975" t="s">
        <v>653</v>
      </c>
      <c r="C25" s="1975" t="s">
        <v>654</v>
      </c>
      <c r="D25" s="1974" t="s">
        <v>612</v>
      </c>
      <c r="E25" s="1978" t="s">
        <v>623</v>
      </c>
      <c r="F25" s="1978" t="s">
        <v>623</v>
      </c>
      <c r="H25" s="1943"/>
      <c r="I25" s="1590" t="s">
        <v>655</v>
      </c>
      <c r="J25" s="1450" t="s">
        <v>656</v>
      </c>
      <c r="K25" s="1940" t="s">
        <v>578</v>
      </c>
      <c r="L25" s="663"/>
      <c r="M25" s="493"/>
      <c r="N25" s="479"/>
      <c r="O25" s="1451"/>
      <c r="P25" s="479"/>
      <c r="AK25" s="1557">
        <v>23</v>
      </c>
    </row>
    <row r="26" spans="1:37" ht="24" customHeight="1">
      <c r="A26" s="1976"/>
      <c r="B26" s="1975" t="s">
        <v>657</v>
      </c>
      <c r="C26" s="1975" t="s">
        <v>658</v>
      </c>
      <c r="D26" s="1974" t="s">
        <v>612</v>
      </c>
      <c r="E26" s="1978" t="s">
        <v>623</v>
      </c>
      <c r="F26" s="1978" t="s">
        <v>623</v>
      </c>
      <c r="H26" s="1943"/>
      <c r="I26" s="1590">
        <v>7</v>
      </c>
      <c r="J26" s="1944" t="s">
        <v>658</v>
      </c>
      <c r="K26" s="1940" t="s">
        <v>659</v>
      </c>
      <c r="L26" s="663"/>
      <c r="M26" s="493"/>
      <c r="N26" s="479"/>
      <c r="O26" s="1451"/>
      <c r="P26" s="479"/>
      <c r="AK26" s="1557">
        <v>23</v>
      </c>
    </row>
    <row r="27" spans="1:37" ht="24" customHeight="1">
      <c r="A27" s="1976"/>
      <c r="B27" s="1975" t="s">
        <v>660</v>
      </c>
      <c r="C27" s="1975" t="s">
        <v>661</v>
      </c>
      <c r="D27" s="1974" t="s">
        <v>612</v>
      </c>
      <c r="E27" s="1978" t="s">
        <v>623</v>
      </c>
      <c r="F27" s="1978" t="s">
        <v>623</v>
      </c>
      <c r="H27" s="1943"/>
      <c r="I27" s="1590">
        <v>8</v>
      </c>
      <c r="J27" s="1944" t="s">
        <v>661</v>
      </c>
      <c r="K27" s="1940" t="s">
        <v>584</v>
      </c>
      <c r="L27" s="663"/>
      <c r="M27" s="493"/>
      <c r="N27" s="479"/>
      <c r="O27" s="1451"/>
      <c r="P27" s="479"/>
      <c r="AK27" s="1557">
        <v>23</v>
      </c>
    </row>
    <row r="28" spans="1:37" ht="35.65" customHeight="1">
      <c r="A28" s="1976"/>
      <c r="B28" s="1975" t="s">
        <v>662</v>
      </c>
      <c r="C28" s="1975" t="s">
        <v>663</v>
      </c>
      <c r="D28" s="1974" t="s">
        <v>612</v>
      </c>
      <c r="E28" s="1978" t="s">
        <v>623</v>
      </c>
      <c r="F28" s="1978" t="s">
        <v>623</v>
      </c>
      <c r="H28" s="1943"/>
      <c r="I28" s="1601">
        <v>9</v>
      </c>
      <c r="J28" s="1944" t="s">
        <v>664</v>
      </c>
      <c r="K28" s="1940" t="s">
        <v>555</v>
      </c>
      <c r="L28" s="663"/>
      <c r="M28" s="493"/>
      <c r="N28" s="479"/>
      <c r="O28" s="1451"/>
      <c r="P28" s="479"/>
      <c r="AK28" s="1557">
        <v>34</v>
      </c>
    </row>
    <row r="29" spans="1:37" ht="35.65" customHeight="1">
      <c r="A29" s="1976"/>
      <c r="B29" s="1975" t="s">
        <v>665</v>
      </c>
      <c r="C29" s="1975" t="s">
        <v>666</v>
      </c>
      <c r="D29" s="1974" t="s">
        <v>612</v>
      </c>
      <c r="E29" s="1978" t="s">
        <v>623</v>
      </c>
      <c r="F29" s="1978" t="s">
        <v>623</v>
      </c>
      <c r="H29" s="1943"/>
      <c r="I29" s="1601">
        <v>10</v>
      </c>
      <c r="J29" s="1944" t="s">
        <v>667</v>
      </c>
      <c r="K29" s="1940" t="s">
        <v>555</v>
      </c>
      <c r="L29" s="663"/>
      <c r="M29" s="493"/>
      <c r="N29" s="479"/>
      <c r="O29" s="1451"/>
      <c r="P29" s="479"/>
      <c r="AK29" s="1557">
        <v>34</v>
      </c>
    </row>
    <row r="30" spans="1:37" ht="24" customHeight="1">
      <c r="A30" s="1976"/>
      <c r="B30" s="1975" t="s">
        <v>668</v>
      </c>
      <c r="C30" s="1975" t="s">
        <v>669</v>
      </c>
      <c r="D30" s="1974" t="s">
        <v>612</v>
      </c>
      <c r="E30" s="1978" t="s">
        <v>623</v>
      </c>
      <c r="F30" s="1978" t="s">
        <v>623</v>
      </c>
      <c r="H30" s="1943"/>
      <c r="I30" s="1601">
        <v>11</v>
      </c>
      <c r="J30" s="1944" t="s">
        <v>669</v>
      </c>
      <c r="K30" s="1940" t="s">
        <v>585</v>
      </c>
      <c r="L30" s="1991"/>
      <c r="M30" s="1547"/>
      <c r="N30" s="479"/>
      <c r="O30" s="1451"/>
      <c r="P30" s="479"/>
      <c r="AK30" s="1557">
        <v>23</v>
      </c>
    </row>
    <row r="31" spans="1:37" ht="24" customHeight="1">
      <c r="A31" s="1976"/>
      <c r="B31" s="1975" t="s">
        <v>670</v>
      </c>
      <c r="C31" s="1975" t="s">
        <v>671</v>
      </c>
      <c r="D31" s="1974" t="s">
        <v>612</v>
      </c>
      <c r="E31" s="1978" t="s">
        <v>623</v>
      </c>
      <c r="F31" s="1978" t="s">
        <v>623</v>
      </c>
      <c r="H31" s="1943"/>
      <c r="I31" s="1601">
        <v>12</v>
      </c>
      <c r="J31" s="1944" t="s">
        <v>671</v>
      </c>
      <c r="K31" s="1940" t="s">
        <v>585</v>
      </c>
      <c r="L31" s="1991"/>
      <c r="M31" s="1547"/>
      <c r="N31" s="479"/>
      <c r="O31" s="1451"/>
      <c r="P31" s="479"/>
      <c r="AK31" s="1557">
        <v>23</v>
      </c>
    </row>
    <row r="32" spans="1:37" ht="48.2" customHeight="1">
      <c r="A32" s="1976"/>
      <c r="B32" s="1975" t="s">
        <v>672</v>
      </c>
      <c r="C32" s="1975" t="s">
        <v>673</v>
      </c>
      <c r="D32" s="1974" t="s">
        <v>612</v>
      </c>
      <c r="E32" s="1978" t="s">
        <v>623</v>
      </c>
      <c r="F32" s="1978" t="s">
        <v>623</v>
      </c>
      <c r="H32" s="1943"/>
      <c r="I32" s="1601">
        <v>13</v>
      </c>
      <c r="J32" s="1944" t="s">
        <v>674</v>
      </c>
      <c r="K32" s="1940" t="s">
        <v>595</v>
      </c>
      <c r="L32" s="663"/>
      <c r="M32" s="493"/>
      <c r="N32" s="479"/>
      <c r="O32" s="1451" t="s">
        <v>634</v>
      </c>
      <c r="P32" s="479"/>
      <c r="AK32" s="1557">
        <v>46</v>
      </c>
    </row>
    <row r="33" spans="1:37" s="1292" customFormat="1" ht="48.2" customHeight="1">
      <c r="A33" s="1976"/>
      <c r="B33" s="1975" t="s">
        <v>675</v>
      </c>
      <c r="C33" s="1975" t="s">
        <v>676</v>
      </c>
      <c r="D33" s="1974" t="s">
        <v>612</v>
      </c>
      <c r="E33" s="1978" t="s">
        <v>623</v>
      </c>
      <c r="F33" s="1978" t="s">
        <v>623</v>
      </c>
      <c r="G33" s="1562"/>
      <c r="H33" s="1943"/>
      <c r="I33" s="1601">
        <v>14</v>
      </c>
      <c r="J33" s="1956" t="s">
        <v>677</v>
      </c>
      <c r="K33" s="1945" t="s">
        <v>678</v>
      </c>
      <c r="L33" s="663"/>
      <c r="M33" s="493"/>
      <c r="N33" s="479"/>
      <c r="O33" s="1451" t="s">
        <v>634</v>
      </c>
      <c r="P33" s="479"/>
      <c r="Q33" s="1562"/>
      <c r="R33" s="1562"/>
      <c r="W33" s="1562"/>
      <c r="Z33" s="480"/>
      <c r="AF33" s="1558"/>
      <c r="AG33" s="1558"/>
      <c r="AH33" s="1558"/>
      <c r="AI33" s="1558"/>
      <c r="AJ33" s="1558"/>
      <c r="AK33" s="1292">
        <v>46</v>
      </c>
    </row>
    <row r="34" spans="1:37" ht="108" customHeight="1">
      <c r="A34" s="1976"/>
      <c r="B34" s="1975" t="s">
        <v>679</v>
      </c>
      <c r="C34" s="1975" t="s">
        <v>680</v>
      </c>
      <c r="D34" s="1974" t="s">
        <v>622</v>
      </c>
      <c r="E34" s="1978" t="s">
        <v>623</v>
      </c>
      <c r="F34" s="1978" t="s">
        <v>623</v>
      </c>
      <c r="G34" s="1562" t="s">
        <v>583</v>
      </c>
      <c r="H34" s="1943"/>
      <c r="I34" s="1954">
        <v>15</v>
      </c>
      <c r="J34" s="1955" t="s">
        <v>681</v>
      </c>
      <c r="K34" s="1940" t="s">
        <v>301</v>
      </c>
      <c r="L34" s="321"/>
      <c r="M34" s="1090"/>
      <c r="N34" s="479"/>
      <c r="O34" s="1451" t="s">
        <v>626</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78</v>
      </c>
      <c r="B204" s="916" t="s">
        <v>146</v>
      </c>
      <c r="C204" s="916" t="s">
        <v>146</v>
      </c>
      <c r="D204" s="916" t="s">
        <v>146</v>
      </c>
      <c r="E204" s="916" t="s">
        <v>146</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1"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682</v>
      </c>
      <c r="C2" s="1975" t="s">
        <v>683</v>
      </c>
      <c r="D2" s="1974" t="s">
        <v>622</v>
      </c>
      <c r="E2" s="1980">
        <f>I2-3</f>
        <v>-3</v>
      </c>
      <c r="F2" s="1980">
        <f>J2</f>
        <v>0</v>
      </c>
      <c r="H2" s="1656" t="s">
        <v>684</v>
      </c>
      <c r="I2" s="1946"/>
      <c r="J2" s="1608"/>
      <c r="K2" s="1940" t="s">
        <v>301</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65" t="s">
        <v>685</v>
      </c>
      <c r="J5" s="2165"/>
      <c r="K5" s="2165"/>
      <c r="L5" s="2165"/>
      <c r="M5" s="203"/>
      <c r="W5" s="1557">
        <v>48</v>
      </c>
    </row>
    <row r="6" spans="1:23" ht="18" customHeight="1">
      <c r="H6" s="312"/>
      <c r="I6" s="2137" t="str">
        <f>IF(org=0,"Не определено",org)</f>
        <v>ОП АО "Байкалэнерго" - "Саяногорские тепловые сети"</v>
      </c>
      <c r="J6" s="2137"/>
      <c r="K6" s="2137"/>
      <c r="L6" s="2137"/>
      <c r="M6" s="203"/>
      <c r="W6" s="1557">
        <v>17</v>
      </c>
    </row>
    <row r="7" spans="1:23" ht="14.65" customHeight="1">
      <c r="H7" s="312"/>
      <c r="I7" s="393"/>
      <c r="J7" s="399"/>
      <c r="K7" s="399"/>
      <c r="L7" s="688"/>
      <c r="M7" s="130"/>
      <c r="W7" s="1557">
        <v>14</v>
      </c>
    </row>
    <row r="8" spans="1:23" ht="14.65" customHeight="1">
      <c r="H8" s="312"/>
      <c r="I8" s="2285" t="s">
        <v>295</v>
      </c>
      <c r="J8" s="2286"/>
      <c r="K8" s="2286"/>
      <c r="L8" s="2287"/>
      <c r="M8" s="2288" t="s">
        <v>296</v>
      </c>
      <c r="W8" s="1557">
        <v>14</v>
      </c>
    </row>
    <row r="9" spans="1:23" ht="35.65" customHeight="1">
      <c r="E9" s="1973" t="s">
        <v>613</v>
      </c>
      <c r="F9" s="1973" t="s">
        <v>619</v>
      </c>
      <c r="H9" s="312"/>
      <c r="I9" s="1947" t="s">
        <v>84</v>
      </c>
      <c r="J9" s="1948" t="s">
        <v>297</v>
      </c>
      <c r="K9" s="1986" t="s">
        <v>561</v>
      </c>
      <c r="L9" s="1987" t="s">
        <v>298</v>
      </c>
      <c r="M9" s="2288"/>
      <c r="W9" s="1557">
        <v>34</v>
      </c>
    </row>
    <row r="10" spans="1:23" ht="35.65" customHeight="1">
      <c r="B10" s="1975" t="s">
        <v>686</v>
      </c>
      <c r="C10" s="1975" t="s">
        <v>687</v>
      </c>
      <c r="D10" s="1974" t="s">
        <v>622</v>
      </c>
      <c r="E10" s="1978" t="s">
        <v>623</v>
      </c>
      <c r="F10" s="1978" t="s">
        <v>623</v>
      </c>
      <c r="H10" s="312"/>
      <c r="I10" s="1946" t="s">
        <v>105</v>
      </c>
      <c r="J10" s="1811" t="s">
        <v>688</v>
      </c>
      <c r="K10" s="1940" t="s">
        <v>301</v>
      </c>
      <c r="L10" s="748"/>
      <c r="M10" s="234" t="s">
        <v>689</v>
      </c>
      <c r="W10" s="1557">
        <v>34</v>
      </c>
    </row>
    <row r="11" spans="1:23" ht="50.25" customHeight="1">
      <c r="B11" s="1975" t="s">
        <v>690</v>
      </c>
      <c r="C11" s="1975" t="s">
        <v>691</v>
      </c>
      <c r="D11" s="1974" t="s">
        <v>622</v>
      </c>
      <c r="E11" s="1978" t="s">
        <v>623</v>
      </c>
      <c r="F11" s="1978" t="s">
        <v>623</v>
      </c>
      <c r="H11" s="312"/>
      <c r="I11" s="1946" t="s">
        <v>106</v>
      </c>
      <c r="J11" s="1811" t="s">
        <v>692</v>
      </c>
      <c r="K11" s="1940" t="s">
        <v>301</v>
      </c>
      <c r="L11" s="748"/>
      <c r="M11" s="234" t="s">
        <v>689</v>
      </c>
      <c r="W11" s="1557">
        <v>48</v>
      </c>
    </row>
    <row r="12" spans="1:23" ht="48.2" customHeight="1">
      <c r="B12" s="1975" t="s">
        <v>693</v>
      </c>
      <c r="C12" s="1975" t="s">
        <v>694</v>
      </c>
      <c r="D12" s="1974" t="s">
        <v>622</v>
      </c>
      <c r="E12" s="1978" t="s">
        <v>623</v>
      </c>
      <c r="F12" s="1978" t="s">
        <v>623</v>
      </c>
      <c r="H12" s="1614"/>
      <c r="I12" s="1946" t="s">
        <v>86</v>
      </c>
      <c r="J12" s="1953" t="s">
        <v>695</v>
      </c>
      <c r="K12" s="1940" t="s">
        <v>301</v>
      </c>
      <c r="L12" s="748"/>
      <c r="M12" s="234" t="s">
        <v>696</v>
      </c>
      <c r="N12" s="1550"/>
      <c r="P12" s="1557"/>
      <c r="W12" s="1557">
        <v>46</v>
      </c>
    </row>
    <row r="13" spans="1:23" ht="14.65" customHeight="1">
      <c r="E13" s="280"/>
      <c r="H13" s="312"/>
      <c r="I13" s="284"/>
      <c r="J13" s="587" t="s">
        <v>697</v>
      </c>
      <c r="K13" s="507"/>
      <c r="L13" s="151"/>
      <c r="M13" s="234"/>
      <c r="W13" s="1557">
        <v>14</v>
      </c>
    </row>
    <row r="14" spans="1:23" ht="14.65" customHeight="1">
      <c r="E14" s="280"/>
      <c r="H14" s="312"/>
      <c r="I14" s="986"/>
      <c r="J14" s="1603"/>
      <c r="K14" s="1604"/>
      <c r="L14" s="1605"/>
      <c r="M14" s="1950"/>
      <c r="W14" s="1557">
        <v>14</v>
      </c>
    </row>
    <row r="15" spans="1:23" ht="14.65" customHeight="1">
      <c r="I15" s="1607"/>
      <c r="J15" s="2183"/>
      <c r="K15" s="2183"/>
      <c r="L15" s="2183"/>
      <c r="M15" s="2183"/>
      <c r="W15" s="1557">
        <v>14</v>
      </c>
    </row>
    <row r="16" spans="1:23" ht="21" hidden="1" customHeight="1">
      <c r="A16" s="1952" t="s">
        <v>78</v>
      </c>
      <c r="B16" s="1557">
        <v>9</v>
      </c>
      <c r="C16" s="1557">
        <v>9</v>
      </c>
      <c r="D16" s="1557">
        <v>9</v>
      </c>
      <c r="E16" s="1952" t="s">
        <v>145</v>
      </c>
      <c r="F16" s="1977" t="s">
        <v>145</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547</v>
      </c>
      <c r="H2" s="477"/>
      <c r="I2" s="477"/>
      <c r="J2" s="478" t="s">
        <v>698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14" t="s">
        <v>699</v>
      </c>
      <c r="F6" s="2114"/>
      <c r="G6" s="2114"/>
      <c r="H6" s="2114"/>
      <c r="I6" s="2114"/>
      <c r="J6" s="492"/>
      <c r="AF6" s="1557">
        <v>30</v>
      </c>
    </row>
    <row r="7" spans="1:32" ht="11.45" customHeight="1">
      <c r="E7" s="2137" t="str">
        <f>IF(org=0,"Не определено",org)</f>
        <v>ОП АО "Байкалэнерго" - "Саяногорские тепловые сети"</v>
      </c>
      <c r="F7" s="2137"/>
      <c r="G7" s="2137"/>
      <c r="H7" s="2137"/>
      <c r="I7" s="2137"/>
      <c r="AF7" s="1557">
        <v>11</v>
      </c>
    </row>
    <row r="8" spans="1:32" ht="11.45" customHeight="1">
      <c r="E8" s="1061"/>
      <c r="F8" s="1061"/>
      <c r="G8" s="1061"/>
      <c r="H8" s="1061"/>
      <c r="I8" s="1061"/>
      <c r="AF8" s="1557">
        <v>11</v>
      </c>
    </row>
    <row r="9" spans="1:32" s="1568" customFormat="1" ht="4.1500000000000004" customHeight="1">
      <c r="A9" s="1093"/>
      <c r="H9" s="818"/>
      <c r="I9" s="818" t="s">
        <v>113</v>
      </c>
      <c r="AF9" s="1562">
        <v>4</v>
      </c>
    </row>
    <row r="10" spans="1:32" ht="11.45" customHeight="1">
      <c r="E10" s="647"/>
      <c r="F10" s="2271" t="s">
        <v>101</v>
      </c>
      <c r="G10" s="2272"/>
      <c r="H10" s="1478" t="str">
        <f>IF(H9="","",INDEX(DIFFERENTIATION_UNMERGE_VD,MATCH(H9,DIFFERENTIATION_ID_DIFF,0)))</f>
        <v/>
      </c>
      <c r="I10" s="1478" t="str">
        <f>IF(I9="","",INDEX(DIFFERENTIATION_UNMERGE_VD,MATCH(I9,DIFFERENTIATION_ID_DIFF,0)))</f>
        <v>Подключение (технологическое присоединение) к системе теплоснабжения</v>
      </c>
      <c r="J10" s="2056"/>
      <c r="AF10" s="1557">
        <v>11</v>
      </c>
    </row>
    <row r="11" spans="1:32" ht="11.45" customHeight="1">
      <c r="E11" s="647"/>
      <c r="F11" s="2271" t="s">
        <v>559</v>
      </c>
      <c r="G11" s="2272"/>
      <c r="H11" s="1478" t="str">
        <f>IF(H9="","",INDEX(DIFFERENTIATION_UNMERGE_AREA,MATCH(H9,DIFFERENTIATION_ID_DIFF,0)))</f>
        <v/>
      </c>
      <c r="I11" s="1478" t="str">
        <f>IF(I9="","",INDEX(DIFFERENTIATION_UNMERGE_AREA,MATCH(I9,DIFFERENTIATION_ID_DIFF,0)))</f>
        <v>Территория 1</v>
      </c>
      <c r="J11" s="2056"/>
      <c r="AF11" s="1557">
        <v>11</v>
      </c>
    </row>
    <row r="12" spans="1:32" ht="1.1499999999999999" customHeight="1">
      <c r="E12" s="1588"/>
      <c r="F12" s="2289" t="s">
        <v>560</v>
      </c>
      <c r="G12" s="2290"/>
      <c r="H12" s="1589" t="str">
        <f>IF(H9="","",INDEX(DIFFERENTIATION_UNMERGE_SYSTEM,MATCH(H9,DIFFERENTIATION_ID_DIFF,0)))</f>
        <v/>
      </c>
      <c r="I12" s="1589" t="str">
        <f>IF(I9="","",INDEX(DIFFERENTIATION_UNMERGE_SYSTEM,MATCH(I9,DIFFERENTIATION_ID_DIFF,0)))</f>
        <v>без дифференциации</v>
      </c>
      <c r="J12" s="2056"/>
      <c r="AF12" s="1557">
        <v>1</v>
      </c>
    </row>
    <row r="13" spans="1:32" ht="11.45" customHeight="1">
      <c r="E13" s="2273" t="s">
        <v>295</v>
      </c>
      <c r="F13" s="2274"/>
      <c r="G13" s="2274"/>
      <c r="H13" s="1477"/>
      <c r="I13" s="1477"/>
      <c r="J13" s="2056"/>
      <c r="AF13" s="1557">
        <v>11</v>
      </c>
    </row>
    <row r="14" spans="1:32" ht="24" customHeight="1">
      <c r="E14" s="1565" t="s">
        <v>84</v>
      </c>
      <c r="F14" s="1560" t="s">
        <v>297</v>
      </c>
      <c r="G14" s="1560" t="s">
        <v>561</v>
      </c>
      <c r="H14" s="1560" t="s">
        <v>298</v>
      </c>
      <c r="I14" s="1560" t="s">
        <v>298</v>
      </c>
      <c r="J14" s="2056"/>
      <c r="AF14" s="1557">
        <v>23</v>
      </c>
    </row>
    <row r="15" spans="1:32" ht="19.899999999999999" customHeight="1">
      <c r="D15" s="1564"/>
      <c r="E15" s="1556" t="s">
        <v>105</v>
      </c>
      <c r="F15" s="643" t="s">
        <v>700</v>
      </c>
      <c r="G15" s="1572" t="s">
        <v>547</v>
      </c>
      <c r="H15" s="493"/>
      <c r="I15" s="493"/>
      <c r="J15" s="226" t="s">
        <v>701</v>
      </c>
      <c r="K15" s="479" t="s">
        <v>625</v>
      </c>
      <c r="AF15" s="1557">
        <v>19</v>
      </c>
    </row>
    <row r="16" spans="1:32" ht="35.65" customHeight="1">
      <c r="D16" s="1564"/>
      <c r="E16" s="1556" t="s">
        <v>106</v>
      </c>
      <c r="F16" s="643" t="s">
        <v>702</v>
      </c>
      <c r="G16" s="1572" t="s">
        <v>547</v>
      </c>
      <c r="H16" s="494">
        <f>SUM(H17,H20:H32)</f>
        <v>0</v>
      </c>
      <c r="I16" s="494">
        <f>SUM(I17,I20,I23,I26,I29:I32)</f>
        <v>0</v>
      </c>
      <c r="J16" s="226" t="s">
        <v>703</v>
      </c>
      <c r="K16" s="479" t="s">
        <v>625</v>
      </c>
      <c r="AF16" s="1557">
        <v>34</v>
      </c>
    </row>
    <row r="17" spans="1:32" ht="19.899999999999999" customHeight="1">
      <c r="D17" s="1564"/>
      <c r="E17" s="1590" t="s">
        <v>704</v>
      </c>
      <c r="F17" s="883" t="s">
        <v>705</v>
      </c>
      <c r="G17" s="1569" t="s">
        <v>547</v>
      </c>
      <c r="H17" s="493"/>
      <c r="I17" s="493"/>
      <c r="J17" s="226" t="s">
        <v>706</v>
      </c>
      <c r="K17" s="479"/>
      <c r="AF17" s="1557">
        <v>19</v>
      </c>
    </row>
    <row r="18" spans="1:32" ht="24" customHeight="1">
      <c r="D18" s="1564"/>
      <c r="E18" s="1590" t="s">
        <v>707</v>
      </c>
      <c r="F18" s="1576" t="s">
        <v>708</v>
      </c>
      <c r="G18" s="1569" t="s">
        <v>547</v>
      </c>
      <c r="H18" s="493"/>
      <c r="I18" s="493"/>
      <c r="J18" s="226" t="s">
        <v>709</v>
      </c>
      <c r="K18" s="479"/>
      <c r="AF18" s="1557">
        <v>23</v>
      </c>
    </row>
    <row r="19" spans="1:32" ht="35.65" customHeight="1">
      <c r="D19" s="1564"/>
      <c r="E19" s="1590" t="s">
        <v>710</v>
      </c>
      <c r="F19" s="1576" t="s">
        <v>711</v>
      </c>
      <c r="G19" s="1569" t="s">
        <v>547</v>
      </c>
      <c r="H19" s="493"/>
      <c r="I19" s="493"/>
      <c r="J19" s="226"/>
      <c r="K19" s="479"/>
      <c r="AF19" s="1557">
        <v>34</v>
      </c>
    </row>
    <row r="20" spans="1:32" ht="19.899999999999999" customHeight="1">
      <c r="D20" s="1564"/>
      <c r="E20" s="1590" t="s">
        <v>302</v>
      </c>
      <c r="F20" s="883" t="s">
        <v>712</v>
      </c>
      <c r="G20" s="1569" t="s">
        <v>547</v>
      </c>
      <c r="H20" s="493"/>
      <c r="I20" s="493"/>
      <c r="J20" s="226" t="s">
        <v>713</v>
      </c>
      <c r="K20" s="479"/>
      <c r="AF20" s="1557">
        <v>19</v>
      </c>
    </row>
    <row r="21" spans="1:32" ht="19.899999999999999" customHeight="1">
      <c r="D21" s="1564"/>
      <c r="E21" s="1590" t="s">
        <v>714</v>
      </c>
      <c r="F21" s="1576" t="s">
        <v>715</v>
      </c>
      <c r="G21" s="1569" t="s">
        <v>547</v>
      </c>
      <c r="H21" s="493"/>
      <c r="I21" s="493"/>
      <c r="J21" s="226"/>
      <c r="K21" s="479"/>
      <c r="AF21" s="1557">
        <v>19</v>
      </c>
    </row>
    <row r="22" spans="1:32" ht="19.899999999999999" customHeight="1">
      <c r="D22" s="1564"/>
      <c r="E22" s="1590" t="s">
        <v>716</v>
      </c>
      <c r="F22" s="1576" t="s">
        <v>717</v>
      </c>
      <c r="G22" s="1569" t="s">
        <v>547</v>
      </c>
      <c r="H22" s="493"/>
      <c r="I22" s="493"/>
      <c r="J22" s="226"/>
      <c r="K22" s="479"/>
      <c r="AF22" s="1557">
        <v>19</v>
      </c>
    </row>
    <row r="23" spans="1:32" ht="24" customHeight="1">
      <c r="D23" s="1564"/>
      <c r="E23" s="1590" t="s">
        <v>305</v>
      </c>
      <c r="F23" s="883" t="s">
        <v>718</v>
      </c>
      <c r="G23" s="1569" t="s">
        <v>547</v>
      </c>
      <c r="H23" s="493"/>
      <c r="I23" s="493"/>
      <c r="J23" s="226" t="s">
        <v>719</v>
      </c>
      <c r="K23" s="479"/>
      <c r="AF23" s="1557">
        <v>23</v>
      </c>
    </row>
    <row r="24" spans="1:32" ht="19.899999999999999" customHeight="1">
      <c r="D24" s="1564"/>
      <c r="E24" s="1590" t="s">
        <v>720</v>
      </c>
      <c r="F24" s="1576" t="s">
        <v>721</v>
      </c>
      <c r="G24" s="1569" t="s">
        <v>547</v>
      </c>
      <c r="H24" s="493"/>
      <c r="I24" s="493"/>
      <c r="J24" s="226"/>
      <c r="K24" s="479"/>
      <c r="AF24" s="1557">
        <v>19</v>
      </c>
    </row>
    <row r="25" spans="1:32" ht="35.65" customHeight="1">
      <c r="D25" s="1564"/>
      <c r="E25" s="1590" t="s">
        <v>722</v>
      </c>
      <c r="F25" s="1576" t="s">
        <v>723</v>
      </c>
      <c r="G25" s="1569" t="s">
        <v>547</v>
      </c>
      <c r="H25" s="493"/>
      <c r="I25" s="493"/>
      <c r="J25" s="226"/>
      <c r="K25" s="479"/>
      <c r="AF25" s="1557">
        <v>34</v>
      </c>
    </row>
    <row r="26" spans="1:32" ht="24" customHeight="1">
      <c r="D26" s="1564"/>
      <c r="E26" s="1590" t="s">
        <v>724</v>
      </c>
      <c r="F26" s="883" t="s">
        <v>725</v>
      </c>
      <c r="G26" s="1569" t="s">
        <v>547</v>
      </c>
      <c r="H26" s="493"/>
      <c r="I26" s="493"/>
      <c r="J26" s="226" t="s">
        <v>726</v>
      </c>
      <c r="K26" s="479"/>
      <c r="AF26" s="1557">
        <v>23</v>
      </c>
    </row>
    <row r="27" spans="1:32" ht="19.899999999999999" customHeight="1">
      <c r="D27" s="1564"/>
      <c r="E27" s="1601" t="s">
        <v>727</v>
      </c>
      <c r="F27" s="1576" t="s">
        <v>728</v>
      </c>
      <c r="G27" s="1580" t="s">
        <v>547</v>
      </c>
      <c r="H27" s="1602"/>
      <c r="I27" s="1602"/>
      <c r="J27" s="226"/>
      <c r="K27" s="479"/>
      <c r="AF27" s="1557">
        <v>19</v>
      </c>
    </row>
    <row r="28" spans="1:32" ht="19.899999999999999" customHeight="1">
      <c r="D28" s="1564"/>
      <c r="E28" s="1601" t="s">
        <v>729</v>
      </c>
      <c r="F28" s="1576" t="s">
        <v>730</v>
      </c>
      <c r="G28" s="1580" t="s">
        <v>547</v>
      </c>
      <c r="H28" s="1602"/>
      <c r="I28" s="1602"/>
      <c r="J28" s="226"/>
      <c r="K28" s="479"/>
      <c r="AF28" s="1557">
        <v>19</v>
      </c>
    </row>
    <row r="29" spans="1:32" ht="19.899999999999999" customHeight="1">
      <c r="D29" s="1564"/>
      <c r="E29" s="1601" t="s">
        <v>731</v>
      </c>
      <c r="F29" s="883" t="s">
        <v>732</v>
      </c>
      <c r="G29" s="1580" t="s">
        <v>547</v>
      </c>
      <c r="H29" s="1602"/>
      <c r="I29" s="1602"/>
      <c r="J29" s="226"/>
      <c r="K29" s="479"/>
      <c r="AF29" s="1557">
        <v>19</v>
      </c>
    </row>
    <row r="30" spans="1:32" ht="19.899999999999999" customHeight="1">
      <c r="D30" s="1564"/>
      <c r="E30" s="1601" t="s">
        <v>733</v>
      </c>
      <c r="F30" s="883" t="s">
        <v>734</v>
      </c>
      <c r="G30" s="1580" t="s">
        <v>547</v>
      </c>
      <c r="H30" s="1602"/>
      <c r="I30" s="1602"/>
      <c r="J30" s="226"/>
      <c r="K30" s="479"/>
      <c r="AF30" s="1557">
        <v>19</v>
      </c>
    </row>
    <row r="31" spans="1:32" ht="19.899999999999999" customHeight="1">
      <c r="D31" s="1564"/>
      <c r="E31" s="1601" t="s">
        <v>735</v>
      </c>
      <c r="F31" s="883" t="s">
        <v>736</v>
      </c>
      <c r="G31" s="1580" t="s">
        <v>547</v>
      </c>
      <c r="H31" s="1602"/>
      <c r="I31" s="1602"/>
      <c r="J31" s="226"/>
      <c r="K31" s="479"/>
      <c r="AF31" s="1557">
        <v>19</v>
      </c>
    </row>
    <row r="32" spans="1:32" s="1292" customFormat="1" ht="35.65" customHeight="1">
      <c r="A32" s="916"/>
      <c r="C32" s="1562"/>
      <c r="D32" s="1564"/>
      <c r="E32" s="1601" t="s">
        <v>737</v>
      </c>
      <c r="F32" s="883" t="s">
        <v>738</v>
      </c>
      <c r="G32" s="1570" t="s">
        <v>547</v>
      </c>
      <c r="H32" s="515">
        <f>SUM(H33:H34)</f>
        <v>0</v>
      </c>
      <c r="I32" s="515">
        <f>SUM(I33:I34)</f>
        <v>0</v>
      </c>
      <c r="J32" s="226" t="s">
        <v>739</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572</v>
      </c>
      <c r="G34" s="508"/>
      <c r="H34" s="509"/>
      <c r="I34" s="509"/>
      <c r="J34" s="238" t="s">
        <v>740</v>
      </c>
      <c r="K34" s="479"/>
      <c r="L34" s="1562"/>
      <c r="M34" s="1562"/>
      <c r="R34" s="1562"/>
      <c r="U34" s="480"/>
      <c r="AA34" s="1558"/>
      <c r="AB34" s="1558"/>
      <c r="AC34" s="1558"/>
      <c r="AD34" s="1558"/>
      <c r="AE34" s="1558"/>
      <c r="AF34" s="1086">
        <v>19</v>
      </c>
    </row>
    <row r="35" spans="1:32" ht="60" customHeight="1">
      <c r="D35" s="1564"/>
      <c r="E35" s="1601" t="s">
        <v>741</v>
      </c>
      <c r="F35" s="883" t="s">
        <v>742</v>
      </c>
      <c r="G35" s="1580" t="s">
        <v>547</v>
      </c>
      <c r="H35" s="1602"/>
      <c r="I35" s="1602"/>
      <c r="J35" s="226" t="s">
        <v>743</v>
      </c>
      <c r="K35" s="479"/>
      <c r="AF35" s="1557">
        <v>57</v>
      </c>
    </row>
    <row r="36" spans="1:32" s="1292" customFormat="1" ht="24" customHeight="1">
      <c r="A36" s="918" t="s">
        <v>573</v>
      </c>
      <c r="C36" s="1562"/>
      <c r="D36" s="1564"/>
      <c r="E36" s="1590" t="s">
        <v>86</v>
      </c>
      <c r="F36" s="643" t="s">
        <v>744</v>
      </c>
      <c r="G36" s="1569" t="s">
        <v>547</v>
      </c>
      <c r="H36" s="493"/>
      <c r="I36" s="493"/>
      <c r="J36" s="226" t="s">
        <v>745</v>
      </c>
      <c r="K36" s="479"/>
      <c r="L36" s="1562"/>
      <c r="M36" s="1562"/>
      <c r="R36" s="1562"/>
      <c r="U36" s="480"/>
      <c r="AA36" s="1558"/>
      <c r="AB36" s="1558"/>
      <c r="AC36" s="1558"/>
      <c r="AD36" s="1558"/>
      <c r="AE36" s="1558"/>
      <c r="AF36" s="1086">
        <v>23</v>
      </c>
    </row>
    <row r="37" spans="1:32" s="1292" customFormat="1" ht="35.65" customHeight="1">
      <c r="A37" s="918"/>
      <c r="C37" s="1562"/>
      <c r="D37" s="1564"/>
      <c r="E37" s="1590" t="s">
        <v>319</v>
      </c>
      <c r="F37" s="883" t="s">
        <v>746</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87</v>
      </c>
      <c r="F38" s="643" t="s">
        <v>747</v>
      </c>
      <c r="G38" s="1569" t="s">
        <v>547</v>
      </c>
      <c r="H38" s="493"/>
      <c r="I38" s="493"/>
      <c r="J38" s="226" t="s">
        <v>748</v>
      </c>
      <c r="K38" s="479"/>
      <c r="L38" s="1562"/>
      <c r="M38" s="1562"/>
      <c r="R38" s="1562"/>
      <c r="U38" s="480"/>
      <c r="AA38" s="1558"/>
      <c r="AB38" s="1558"/>
      <c r="AC38" s="1558"/>
      <c r="AD38" s="1558"/>
      <c r="AE38" s="1558"/>
      <c r="AF38" s="1086">
        <v>19</v>
      </c>
    </row>
    <row r="39" spans="1:32" s="1292" customFormat="1" ht="24" customHeight="1">
      <c r="A39" s="916"/>
      <c r="C39" s="1562"/>
      <c r="D39" s="511"/>
      <c r="E39" s="1590" t="s">
        <v>749</v>
      </c>
      <c r="F39" s="883" t="s">
        <v>750</v>
      </c>
      <c r="G39" s="1580" t="s">
        <v>547</v>
      </c>
      <c r="H39" s="493"/>
      <c r="I39" s="493"/>
      <c r="J39" s="226" t="s">
        <v>751</v>
      </c>
      <c r="K39" s="479"/>
      <c r="L39" s="1562"/>
      <c r="M39" s="1562"/>
      <c r="R39" s="1562"/>
      <c r="U39" s="480"/>
      <c r="AA39" s="1558"/>
      <c r="AB39" s="1558"/>
      <c r="AC39" s="1558"/>
      <c r="AD39" s="1558"/>
      <c r="AE39" s="1558"/>
      <c r="AF39" s="1086">
        <v>23</v>
      </c>
    </row>
    <row r="40" spans="1:32" s="1292" customFormat="1" ht="24" customHeight="1">
      <c r="A40" s="916"/>
      <c r="C40" s="1562"/>
      <c r="D40" s="1564"/>
      <c r="E40" s="1590" t="s">
        <v>752</v>
      </c>
      <c r="F40" s="1576" t="s">
        <v>753</v>
      </c>
      <c r="G40" s="1569" t="s">
        <v>547</v>
      </c>
      <c r="H40" s="493"/>
      <c r="I40" s="493"/>
      <c r="J40" s="226" t="s">
        <v>754</v>
      </c>
      <c r="K40" s="479"/>
      <c r="L40" s="1562"/>
      <c r="M40" s="1562"/>
      <c r="R40" s="1562"/>
      <c r="U40" s="480"/>
      <c r="AA40" s="1558"/>
      <c r="AB40" s="1558"/>
      <c r="AC40" s="1558"/>
      <c r="AD40" s="1558"/>
      <c r="AE40" s="1558"/>
      <c r="AF40" s="1086">
        <v>23</v>
      </c>
    </row>
    <row r="41" spans="1:32" s="1292" customFormat="1" ht="24" customHeight="1">
      <c r="A41" s="916"/>
      <c r="C41" s="1562"/>
      <c r="D41" s="1564"/>
      <c r="E41" s="1590" t="s">
        <v>755</v>
      </c>
      <c r="F41" s="1576" t="s">
        <v>756</v>
      </c>
      <c r="G41" s="1569" t="s">
        <v>547</v>
      </c>
      <c r="H41" s="493"/>
      <c r="I41" s="493"/>
      <c r="J41" s="226" t="s">
        <v>757</v>
      </c>
      <c r="K41" s="479"/>
      <c r="L41" s="1562"/>
      <c r="M41" s="1562"/>
      <c r="R41" s="1562"/>
      <c r="U41" s="480"/>
      <c r="AA41" s="1558"/>
      <c r="AB41" s="1558"/>
      <c r="AC41" s="1558"/>
      <c r="AD41" s="1558"/>
      <c r="AE41" s="1558"/>
      <c r="AF41" s="1086">
        <v>23</v>
      </c>
    </row>
    <row r="42" spans="1:32" s="1292" customFormat="1" ht="24" customHeight="1">
      <c r="A42" s="916"/>
      <c r="C42" s="1562"/>
      <c r="D42" s="1564"/>
      <c r="E42" s="1590" t="s">
        <v>758</v>
      </c>
      <c r="F42" s="1576" t="s">
        <v>759</v>
      </c>
      <c r="G42" s="1569" t="s">
        <v>547</v>
      </c>
      <c r="H42" s="493"/>
      <c r="I42" s="493"/>
      <c r="J42" s="226" t="s">
        <v>760</v>
      </c>
      <c r="K42" s="479"/>
      <c r="L42" s="1562"/>
      <c r="M42" s="1562"/>
      <c r="R42" s="1562"/>
      <c r="U42" s="480"/>
      <c r="AA42" s="1558"/>
      <c r="AB42" s="1558"/>
      <c r="AC42" s="1558"/>
      <c r="AD42" s="1558"/>
      <c r="AE42" s="1558"/>
      <c r="AF42" s="1086">
        <v>23</v>
      </c>
    </row>
    <row r="43" spans="1:32" s="1292" customFormat="1" ht="35.65" customHeight="1">
      <c r="A43" s="916"/>
      <c r="C43" s="1562" t="s">
        <v>583</v>
      </c>
      <c r="D43" s="1564"/>
      <c r="E43" s="1590" t="s">
        <v>107</v>
      </c>
      <c r="F43" s="643" t="s">
        <v>624</v>
      </c>
      <c r="G43" s="1572" t="s">
        <v>761</v>
      </c>
      <c r="H43" s="337"/>
      <c r="I43" s="337"/>
      <c r="J43" s="226" t="s">
        <v>762</v>
      </c>
      <c r="K43" s="479"/>
      <c r="L43" s="1562"/>
      <c r="M43" s="1562"/>
      <c r="R43" s="1562"/>
      <c r="U43" s="480"/>
      <c r="AA43" s="1558"/>
      <c r="AB43" s="1558"/>
      <c r="AC43" s="1558"/>
      <c r="AD43" s="1558"/>
      <c r="AE43" s="1558"/>
      <c r="AF43" s="1086">
        <v>34</v>
      </c>
    </row>
    <row r="44" spans="1:32" s="1292" customFormat="1" ht="35.65" customHeight="1">
      <c r="A44" s="916"/>
      <c r="C44" s="1562"/>
      <c r="D44" s="1564"/>
      <c r="E44" s="1590" t="s">
        <v>88</v>
      </c>
      <c r="F44" s="643" t="s">
        <v>763</v>
      </c>
      <c r="G44" s="1569" t="s">
        <v>764</v>
      </c>
      <c r="H44" s="481"/>
      <c r="I44" s="481"/>
      <c r="J44" s="226" t="s">
        <v>765</v>
      </c>
      <c r="K44" s="479"/>
      <c r="L44" s="1562"/>
      <c r="M44" s="1562"/>
      <c r="R44" s="1562"/>
      <c r="U44" s="480"/>
      <c r="AA44" s="1558"/>
      <c r="AB44" s="1558"/>
      <c r="AC44" s="1558"/>
      <c r="AD44" s="1558"/>
      <c r="AE44" s="1558"/>
      <c r="AF44" s="1086">
        <v>34</v>
      </c>
    </row>
    <row r="45" spans="1:32" s="1292" customFormat="1" ht="24" customHeight="1">
      <c r="A45" s="916"/>
      <c r="C45" s="1562"/>
      <c r="D45" s="1564"/>
      <c r="E45" s="1590" t="s">
        <v>89</v>
      </c>
      <c r="F45" s="643" t="s">
        <v>766</v>
      </c>
      <c r="G45" s="1580" t="s">
        <v>767</v>
      </c>
      <c r="H45" s="481"/>
      <c r="I45" s="481"/>
      <c r="J45" s="226" t="s">
        <v>768</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108</v>
      </c>
      <c r="F46" s="643" t="s">
        <v>769</v>
      </c>
      <c r="G46" s="1569" t="s">
        <v>585</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78</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547</v>
      </c>
      <c r="H2" s="477"/>
      <c r="I2" s="477"/>
      <c r="J2" s="478" t="s">
        <v>550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65" t="s">
        <v>770</v>
      </c>
      <c r="F6" s="2165"/>
      <c r="G6" s="2165"/>
      <c r="H6" s="2165"/>
      <c r="I6" s="2165"/>
      <c r="J6" s="492"/>
      <c r="AF6" s="1557">
        <v>32</v>
      </c>
    </row>
    <row r="7" spans="1:32" ht="25.15" customHeight="1">
      <c r="E7" s="2137" t="str">
        <f>IF(org=0,"Не определено",org)</f>
        <v>ОП АО "Байкалэнерго" - "Саяногорские тепловые сети"</v>
      </c>
      <c r="F7" s="2137"/>
      <c r="G7" s="2137"/>
      <c r="H7" s="2137"/>
      <c r="I7" s="2137"/>
      <c r="AF7" s="1557">
        <v>24</v>
      </c>
    </row>
    <row r="8" spans="1:32" ht="11.45" customHeight="1">
      <c r="E8" s="1061"/>
      <c r="F8" s="1061"/>
      <c r="G8" s="1061"/>
      <c r="H8" s="1061"/>
      <c r="I8" s="1061"/>
      <c r="AF8" s="1557">
        <v>11</v>
      </c>
    </row>
    <row r="9" spans="1:32" s="1568" customFormat="1" ht="1.1499999999999999" customHeight="1">
      <c r="A9" s="1093"/>
      <c r="H9" s="818"/>
      <c r="I9" s="818" t="s">
        <v>113</v>
      </c>
      <c r="AF9" s="1562">
        <v>1</v>
      </c>
    </row>
    <row r="10" spans="1:32" ht="11.45" customHeight="1">
      <c r="E10" s="647"/>
      <c r="F10" s="2271" t="s">
        <v>101</v>
      </c>
      <c r="G10" s="2272"/>
      <c r="H10" s="1585" t="str">
        <f>IF(H9="","",INDEX(DIFFERENTIATION_UNMERGE_VD,MATCH(H9,DIFFERENTIATION_ID_DIFF,0)))</f>
        <v/>
      </c>
      <c r="I10" s="1585" t="str">
        <f>IF(I9="","",INDEX(DIFFERENTIATION_UNMERGE_VD,MATCH(I9,DIFFERENTIATION_ID_DIFF,0)))</f>
        <v>Подключение (технологическое присоединение) к системе теплоснабжения</v>
      </c>
      <c r="J10" s="2056"/>
      <c r="AF10" s="1557">
        <v>11</v>
      </c>
    </row>
    <row r="11" spans="1:32" ht="11.45" customHeight="1">
      <c r="E11" s="647"/>
      <c r="F11" s="2271" t="s">
        <v>559</v>
      </c>
      <c r="G11" s="2272"/>
      <c r="H11" s="1585" t="str">
        <f>IF(H9="","",INDEX(DIFFERENTIATION_UNMERGE_AREA,MATCH(H9,DIFFERENTIATION_ID_DIFF,0)))</f>
        <v/>
      </c>
      <c r="I11" s="1585" t="str">
        <f>IF(I9="","",INDEX(DIFFERENTIATION_UNMERGE_AREA,MATCH(I9,DIFFERENTIATION_ID_DIFF,0)))</f>
        <v>Территория 1</v>
      </c>
      <c r="J11" s="2056"/>
      <c r="AF11" s="1557">
        <v>11</v>
      </c>
    </row>
    <row r="12" spans="1:32" ht="11.25" hidden="1" customHeight="1">
      <c r="E12" s="1588"/>
      <c r="F12" s="2289" t="s">
        <v>560</v>
      </c>
      <c r="G12" s="2290"/>
      <c r="H12" s="1589" t="str">
        <f>IF(H9="","",INDEX(DIFFERENTIATION_UNMERGE_SYSTEM,MATCH(H9,DIFFERENTIATION_ID_DIFF,0)))</f>
        <v/>
      </c>
      <c r="I12" s="1589" t="str">
        <f>IF(I9="","",INDEX(DIFFERENTIATION_UNMERGE_SYSTEM,MATCH(I9,DIFFERENTIATION_ID_DIFF,0)))</f>
        <v>без дифференциации</v>
      </c>
      <c r="J12" s="2056"/>
      <c r="AF12" s="1557">
        <v>0</v>
      </c>
    </row>
    <row r="13" spans="1:32" ht="11.45" customHeight="1">
      <c r="E13" s="2273" t="s">
        <v>295</v>
      </c>
      <c r="F13" s="2274"/>
      <c r="G13" s="2274"/>
      <c r="H13" s="1582"/>
      <c r="I13" s="1582"/>
      <c r="J13" s="2056"/>
      <c r="AF13" s="1557">
        <v>11</v>
      </c>
    </row>
    <row r="14" spans="1:32" ht="24" customHeight="1">
      <c r="E14" s="1583" t="s">
        <v>84</v>
      </c>
      <c r="F14" s="1586" t="s">
        <v>297</v>
      </c>
      <c r="G14" s="1586" t="s">
        <v>561</v>
      </c>
      <c r="H14" s="1586" t="s">
        <v>298</v>
      </c>
      <c r="I14" s="1586" t="s">
        <v>298</v>
      </c>
      <c r="J14" s="2056"/>
      <c r="AF14" s="1557">
        <v>23</v>
      </c>
    </row>
    <row r="15" spans="1:32" ht="19.899999999999999" customHeight="1">
      <c r="D15" s="1564"/>
      <c r="E15" s="1556" t="s">
        <v>105</v>
      </c>
      <c r="F15" s="643" t="s">
        <v>771</v>
      </c>
      <c r="G15" s="1583" t="s">
        <v>547</v>
      </c>
      <c r="H15" s="493"/>
      <c r="I15" s="493"/>
      <c r="J15" s="226" t="s">
        <v>772</v>
      </c>
      <c r="K15" s="479" t="s">
        <v>625</v>
      </c>
      <c r="AF15" s="1557">
        <v>19</v>
      </c>
    </row>
    <row r="16" spans="1:32" ht="24" customHeight="1">
      <c r="D16" s="1564"/>
      <c r="E16" s="1556" t="s">
        <v>106</v>
      </c>
      <c r="F16" s="1591" t="s">
        <v>773</v>
      </c>
      <c r="G16" s="1583" t="s">
        <v>547</v>
      </c>
      <c r="H16" s="494">
        <f>SUM(H17,H20:H27)</f>
        <v>0</v>
      </c>
      <c r="I16" s="494">
        <f>SUM(I17,I20:I27)</f>
        <v>0</v>
      </c>
      <c r="J16" s="226" t="s">
        <v>774</v>
      </c>
      <c r="K16" s="479" t="s">
        <v>625</v>
      </c>
      <c r="AF16" s="1557">
        <v>23</v>
      </c>
    </row>
    <row r="17" spans="1:32" ht="35.65" customHeight="1">
      <c r="D17" s="1564"/>
      <c r="E17" s="1590" t="s">
        <v>704</v>
      </c>
      <c r="F17" s="1593" t="s">
        <v>775</v>
      </c>
      <c r="G17" s="1580" t="s">
        <v>547</v>
      </c>
      <c r="H17" s="493"/>
      <c r="I17" s="493"/>
      <c r="J17" s="226" t="s">
        <v>776</v>
      </c>
      <c r="K17" s="479"/>
      <c r="AF17" s="1557">
        <v>34</v>
      </c>
    </row>
    <row r="18" spans="1:32" ht="19.899999999999999" customHeight="1">
      <c r="D18" s="1564"/>
      <c r="E18" s="1590" t="s">
        <v>707</v>
      </c>
      <c r="F18" s="1594" t="s">
        <v>777</v>
      </c>
      <c r="G18" s="1580" t="s">
        <v>547</v>
      </c>
      <c r="H18" s="493"/>
      <c r="I18" s="493"/>
      <c r="J18" s="226"/>
      <c r="K18" s="479"/>
      <c r="AF18" s="1557">
        <v>19</v>
      </c>
    </row>
    <row r="19" spans="1:32" ht="24" customHeight="1">
      <c r="D19" s="1564"/>
      <c r="E19" s="1590" t="s">
        <v>710</v>
      </c>
      <c r="F19" s="1594" t="s">
        <v>778</v>
      </c>
      <c r="G19" s="1580" t="s">
        <v>547</v>
      </c>
      <c r="H19" s="493"/>
      <c r="I19" s="493"/>
      <c r="J19" s="226"/>
      <c r="K19" s="479"/>
      <c r="AF19" s="1557">
        <v>23</v>
      </c>
    </row>
    <row r="20" spans="1:32" ht="35.65" customHeight="1">
      <c r="D20" s="1564"/>
      <c r="E20" s="1590" t="s">
        <v>302</v>
      </c>
      <c r="F20" s="1593" t="s">
        <v>779</v>
      </c>
      <c r="G20" s="1580" t="s">
        <v>547</v>
      </c>
      <c r="H20" s="493"/>
      <c r="I20" s="493"/>
      <c r="J20" s="226"/>
      <c r="K20" s="479"/>
      <c r="AF20" s="1557">
        <v>34</v>
      </c>
    </row>
    <row r="21" spans="1:32" ht="48.2" customHeight="1">
      <c r="D21" s="1564"/>
      <c r="E21" s="1590" t="s">
        <v>305</v>
      </c>
      <c r="F21" s="1593" t="s">
        <v>780</v>
      </c>
      <c r="G21" s="1580" t="s">
        <v>547</v>
      </c>
      <c r="H21" s="493"/>
      <c r="I21" s="493"/>
      <c r="J21" s="226"/>
      <c r="K21" s="479"/>
      <c r="AF21" s="1557">
        <v>46</v>
      </c>
    </row>
    <row r="22" spans="1:32" ht="60" customHeight="1">
      <c r="D22" s="1564"/>
      <c r="E22" s="1590" t="s">
        <v>724</v>
      </c>
      <c r="F22" s="1593" t="s">
        <v>781</v>
      </c>
      <c r="G22" s="1580" t="s">
        <v>547</v>
      </c>
      <c r="H22" s="493"/>
      <c r="I22" s="493"/>
      <c r="J22" s="226"/>
      <c r="K22" s="479"/>
      <c r="AF22" s="1557">
        <v>57</v>
      </c>
    </row>
    <row r="23" spans="1:32" ht="35.65" customHeight="1">
      <c r="D23" s="1564"/>
      <c r="E23" s="1590" t="s">
        <v>731</v>
      </c>
      <c r="F23" s="1593" t="s">
        <v>782</v>
      </c>
      <c r="G23" s="1580" t="s">
        <v>547</v>
      </c>
      <c r="H23" s="493"/>
      <c r="I23" s="493"/>
      <c r="J23" s="226"/>
      <c r="K23" s="479"/>
      <c r="AF23" s="1557">
        <v>34</v>
      </c>
    </row>
    <row r="24" spans="1:32" ht="35.65" customHeight="1">
      <c r="D24" s="1564"/>
      <c r="E24" s="1590" t="s">
        <v>733</v>
      </c>
      <c r="F24" s="1593" t="s">
        <v>783</v>
      </c>
      <c r="G24" s="1580" t="s">
        <v>547</v>
      </c>
      <c r="H24" s="493"/>
      <c r="I24" s="493"/>
      <c r="J24" s="226"/>
      <c r="K24" s="479"/>
      <c r="AF24" s="1557">
        <v>34</v>
      </c>
    </row>
    <row r="25" spans="1:32" ht="24" customHeight="1">
      <c r="D25" s="1564"/>
      <c r="E25" s="1590" t="s">
        <v>735</v>
      </c>
      <c r="F25" s="1593" t="s">
        <v>784</v>
      </c>
      <c r="G25" s="1580" t="s">
        <v>547</v>
      </c>
      <c r="H25" s="493"/>
      <c r="I25" s="493"/>
      <c r="J25" s="226"/>
      <c r="K25" s="479"/>
      <c r="AF25" s="1557">
        <v>23</v>
      </c>
    </row>
    <row r="26" spans="1:32" ht="76.5" customHeight="1">
      <c r="D26" s="1564"/>
      <c r="E26" s="1590" t="s">
        <v>737</v>
      </c>
      <c r="F26" s="1593" t="s">
        <v>785</v>
      </c>
      <c r="G26" s="1580" t="s">
        <v>547</v>
      </c>
      <c r="H26" s="493"/>
      <c r="I26" s="493"/>
      <c r="J26" s="226"/>
      <c r="K26" s="479"/>
      <c r="AF26" s="1557">
        <v>73</v>
      </c>
    </row>
    <row r="27" spans="1:32" s="1292" customFormat="1" ht="35.65" customHeight="1">
      <c r="A27" s="916"/>
      <c r="C27" s="1562"/>
      <c r="D27" s="1564"/>
      <c r="E27" s="1555" t="s">
        <v>741</v>
      </c>
      <c r="F27" s="1554" t="s">
        <v>786</v>
      </c>
      <c r="G27" s="1581" t="s">
        <v>547</v>
      </c>
      <c r="H27" s="515">
        <f>SUM(H28:H29)</f>
        <v>0</v>
      </c>
      <c r="I27" s="515">
        <f>SUM(I28:I29)</f>
        <v>0</v>
      </c>
      <c r="J27" s="226" t="s">
        <v>739</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572</v>
      </c>
      <c r="G29" s="508"/>
      <c r="H29" s="509"/>
      <c r="I29" s="509"/>
      <c r="J29" s="238" t="s">
        <v>740</v>
      </c>
      <c r="K29" s="479"/>
      <c r="L29" s="1562"/>
      <c r="M29" s="1562"/>
      <c r="R29" s="1562"/>
      <c r="U29" s="480"/>
      <c r="AA29" s="1558"/>
      <c r="AB29" s="1558"/>
      <c r="AC29" s="1558"/>
      <c r="AD29" s="1558"/>
      <c r="AE29" s="1558"/>
      <c r="AF29" s="1086">
        <v>19</v>
      </c>
    </row>
    <row r="30" spans="1:32" s="1292" customFormat="1" ht="24" customHeight="1">
      <c r="A30" s="916"/>
      <c r="C30" s="1562"/>
      <c r="D30" s="1564"/>
      <c r="E30" s="1590" t="s">
        <v>86</v>
      </c>
      <c r="F30" s="1587" t="s">
        <v>787</v>
      </c>
      <c r="G30" s="1580" t="s">
        <v>547</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87</v>
      </c>
      <c r="F31" s="1587" t="s">
        <v>788</v>
      </c>
      <c r="G31" s="1580" t="s">
        <v>547</v>
      </c>
      <c r="H31" s="493"/>
      <c r="I31" s="493"/>
      <c r="J31" s="226" t="s">
        <v>789</v>
      </c>
      <c r="K31" s="479"/>
      <c r="L31" s="1562"/>
      <c r="M31" s="1562"/>
      <c r="R31" s="1562"/>
      <c r="U31" s="480"/>
      <c r="AA31" s="1558"/>
      <c r="AB31" s="1558"/>
      <c r="AC31" s="1558"/>
      <c r="AD31" s="1558"/>
      <c r="AE31" s="1558"/>
      <c r="AF31" s="1086">
        <v>34</v>
      </c>
    </row>
    <row r="32" spans="1:32" s="1292" customFormat="1" ht="24" customHeight="1">
      <c r="A32" s="916"/>
      <c r="C32" s="1562"/>
      <c r="D32" s="1564"/>
      <c r="E32" s="1590" t="s">
        <v>749</v>
      </c>
      <c r="F32" s="626" t="s">
        <v>753</v>
      </c>
      <c r="G32" s="1580" t="s">
        <v>547</v>
      </c>
      <c r="H32" s="493"/>
      <c r="I32" s="493"/>
      <c r="J32" s="226" t="s">
        <v>790</v>
      </c>
      <c r="K32" s="479"/>
      <c r="L32" s="1562"/>
      <c r="M32" s="1562"/>
      <c r="R32" s="1562"/>
      <c r="U32" s="480"/>
      <c r="AA32" s="1558"/>
      <c r="AB32" s="1558"/>
      <c r="AC32" s="1558"/>
      <c r="AD32" s="1558"/>
      <c r="AE32" s="1558"/>
      <c r="AF32" s="1086">
        <v>23</v>
      </c>
    </row>
    <row r="33" spans="1:32" s="1292" customFormat="1" ht="24" customHeight="1">
      <c r="A33" s="916"/>
      <c r="C33" s="1562"/>
      <c r="D33" s="1564"/>
      <c r="E33" s="1590" t="s">
        <v>791</v>
      </c>
      <c r="F33" s="626" t="s">
        <v>792</v>
      </c>
      <c r="G33" s="1580" t="s">
        <v>547</v>
      </c>
      <c r="H33" s="493"/>
      <c r="I33" s="493"/>
      <c r="J33" s="226" t="s">
        <v>793</v>
      </c>
      <c r="K33" s="479"/>
      <c r="L33" s="1562"/>
      <c r="M33" s="1562"/>
      <c r="R33" s="1562"/>
      <c r="U33" s="480"/>
      <c r="AA33" s="1558"/>
      <c r="AB33" s="1558"/>
      <c r="AC33" s="1558"/>
      <c r="AD33" s="1558"/>
      <c r="AE33" s="1558"/>
      <c r="AF33" s="1086">
        <v>23</v>
      </c>
    </row>
    <row r="34" spans="1:32" s="1292" customFormat="1" ht="24" customHeight="1">
      <c r="A34" s="916"/>
      <c r="C34" s="1562"/>
      <c r="D34" s="1564"/>
      <c r="E34" s="1590" t="s">
        <v>794</v>
      </c>
      <c r="F34" s="626" t="s">
        <v>759</v>
      </c>
      <c r="G34" s="1580" t="s">
        <v>547</v>
      </c>
      <c r="H34" s="493"/>
      <c r="I34" s="493"/>
      <c r="J34" s="226" t="s">
        <v>795</v>
      </c>
      <c r="K34" s="479"/>
      <c r="L34" s="1562"/>
      <c r="M34" s="1562"/>
      <c r="R34" s="1562"/>
      <c r="U34" s="480"/>
      <c r="AA34" s="1558"/>
      <c r="AB34" s="1558"/>
      <c r="AC34" s="1558"/>
      <c r="AD34" s="1558"/>
      <c r="AE34" s="1558"/>
      <c r="AF34" s="1086">
        <v>23</v>
      </c>
    </row>
    <row r="35" spans="1:32" s="1292" customFormat="1" ht="35.65" customHeight="1">
      <c r="A35" s="916"/>
      <c r="C35" s="1562" t="s">
        <v>583</v>
      </c>
      <c r="D35" s="1564"/>
      <c r="E35" s="1590" t="s">
        <v>107</v>
      </c>
      <c r="F35" s="1587" t="s">
        <v>624</v>
      </c>
      <c r="G35" s="1583" t="s">
        <v>301</v>
      </c>
      <c r="H35" s="337"/>
      <c r="I35" s="337"/>
      <c r="J35" s="226" t="s">
        <v>796</v>
      </c>
      <c r="K35" s="479"/>
      <c r="L35" s="1562"/>
      <c r="M35" s="1562"/>
      <c r="R35" s="1562"/>
      <c r="U35" s="480"/>
      <c r="AA35" s="1558"/>
      <c r="AB35" s="1558"/>
      <c r="AC35" s="1558"/>
      <c r="AD35" s="1558"/>
      <c r="AE35" s="1558"/>
      <c r="AF35" s="1086">
        <v>34</v>
      </c>
    </row>
    <row r="36" spans="1:32" s="1292" customFormat="1" ht="35.65" customHeight="1">
      <c r="A36" s="916"/>
      <c r="C36" s="1562"/>
      <c r="D36" s="1564"/>
      <c r="E36" s="1590" t="s">
        <v>88</v>
      </c>
      <c r="F36" s="1587" t="s">
        <v>797</v>
      </c>
      <c r="G36" s="1580" t="s">
        <v>764</v>
      </c>
      <c r="H36" s="481"/>
      <c r="I36" s="481"/>
      <c r="J36" s="226" t="s">
        <v>765</v>
      </c>
      <c r="K36" s="479"/>
      <c r="L36" s="1562"/>
      <c r="M36" s="1562"/>
      <c r="R36" s="1562"/>
      <c r="U36" s="480"/>
      <c r="AA36" s="1558"/>
      <c r="AB36" s="1558"/>
      <c r="AC36" s="1558"/>
      <c r="AD36" s="1558"/>
      <c r="AE36" s="1558"/>
      <c r="AF36" s="1086">
        <v>34</v>
      </c>
    </row>
    <row r="37" spans="1:32" s="1292" customFormat="1" ht="24" customHeight="1">
      <c r="A37" s="916"/>
      <c r="C37" s="1562"/>
      <c r="D37" s="1564"/>
      <c r="E37" s="1590" t="s">
        <v>89</v>
      </c>
      <c r="F37" s="1587" t="s">
        <v>798</v>
      </c>
      <c r="G37" s="1580" t="s">
        <v>767</v>
      </c>
      <c r="H37" s="481"/>
      <c r="I37" s="481"/>
      <c r="J37" s="226" t="s">
        <v>768</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799</v>
      </c>
      <c r="F39" s="2183" t="s">
        <v>800</v>
      </c>
      <c r="G39" s="2183"/>
      <c r="H39" s="305"/>
      <c r="I39" s="305"/>
      <c r="J39" s="305"/>
      <c r="AF39" s="1557">
        <v>26</v>
      </c>
    </row>
    <row r="40" spans="1:32" s="1567" customFormat="1" ht="39.75" customHeight="1">
      <c r="A40" s="916"/>
      <c r="B40" s="1562"/>
      <c r="C40" s="1562"/>
      <c r="D40" s="287"/>
      <c r="F40" s="2183" t="s">
        <v>801</v>
      </c>
      <c r="G40" s="2183"/>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78</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4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0"/>
      <c r="F3" s="2051"/>
      <c r="X3" s="441">
        <v>75</v>
      </c>
    </row>
    <row r="4" spans="1:24" s="1561" customFormat="1" ht="21" customHeight="1">
      <c r="A4" s="880"/>
      <c r="B4" s="447"/>
      <c r="D4" s="2159" t="str">
        <f>IF(org=0,"Не определено",org)</f>
        <v>ОП АО "Байкалэнерго" - "Саяногорские тепловые сети"</v>
      </c>
      <c r="E4" s="2160"/>
      <c r="F4" s="2161"/>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113</v>
      </c>
      <c r="J6" s="951"/>
      <c r="X6" s="441">
        <v>1</v>
      </c>
    </row>
    <row r="7" spans="1:24" ht="11.45" customHeight="1">
      <c r="D7" s="647"/>
      <c r="E7" s="2271" t="s">
        <v>101</v>
      </c>
      <c r="F7" s="2272"/>
      <c r="G7" s="2291" t="str">
        <f>IF(G6="","",INDEX(DIFFERENTIATION_UNMERGE_VD,MATCH(G6,DIFFERENTIATION_ID_DIFF,0)))</f>
        <v/>
      </c>
      <c r="H7" s="2292"/>
      <c r="I7" s="2291" t="str">
        <f>IF(I6="","",INDEX(DIFFERENTIATION_UNMERGE_VD,MATCH(I6,DIFFERENTIATION_ID_DIFF,0)))</f>
        <v>Подключение (технологическое присоединение) к системе теплоснабжения</v>
      </c>
      <c r="J7" s="2292"/>
      <c r="K7" s="2115"/>
      <c r="L7" s="445"/>
      <c r="X7" s="441">
        <v>11</v>
      </c>
    </row>
    <row r="8" spans="1:24" ht="11.45" customHeight="1">
      <c r="A8" s="640"/>
      <c r="D8" s="647"/>
      <c r="E8" s="2271" t="s">
        <v>559</v>
      </c>
      <c r="F8" s="2272"/>
      <c r="G8" s="2291" t="str">
        <f>IF(G6="","",INDEX(DIFFERENTIATION_UNMERGE_AREA,MATCH(G6,DIFFERENTIATION_ID_DIFF,0)))</f>
        <v/>
      </c>
      <c r="H8" s="2292"/>
      <c r="I8" s="2291" t="str">
        <f>IF(I6="","",INDEX(DIFFERENTIATION_UNMERGE_AREA,MATCH(I6,DIFFERENTIATION_ID_DIFF,0)))</f>
        <v>Территория 1</v>
      </c>
      <c r="J8" s="2292"/>
      <c r="K8" s="2120"/>
      <c r="L8" s="445"/>
      <c r="X8" s="441">
        <v>11</v>
      </c>
    </row>
    <row r="9" spans="1:24" ht="11.45" customHeight="1">
      <c r="A9" s="640"/>
      <c r="D9" s="647"/>
      <c r="E9" s="2271" t="s">
        <v>560</v>
      </c>
      <c r="F9" s="2272"/>
      <c r="G9" s="2291" t="str">
        <f>IF(G6="","",INDEX(DIFFERENTIATION_UNMERGE_SYSTEM,MATCH(G6,DIFFERENTIATION_ID_DIFF,0)))</f>
        <v/>
      </c>
      <c r="H9" s="2292"/>
      <c r="I9" s="2291" t="str">
        <f>IF(I6="","",INDEX(DIFFERENTIATION_UNMERGE_SYSTEM,MATCH(I6,DIFFERENTIATION_ID_DIFF,0)))</f>
        <v>без дифференциации</v>
      </c>
      <c r="J9" s="2292"/>
      <c r="K9" s="2120"/>
      <c r="L9" s="445"/>
      <c r="X9" s="441">
        <v>11</v>
      </c>
    </row>
    <row r="10" spans="1:24" s="1561" customFormat="1" ht="11.45" customHeight="1">
      <c r="A10" s="950"/>
      <c r="B10" s="447"/>
      <c r="D10" s="2038" t="s">
        <v>295</v>
      </c>
      <c r="E10" s="2043"/>
      <c r="F10" s="2043"/>
      <c r="G10" s="2043"/>
      <c r="H10" s="2043"/>
      <c r="I10" s="2043"/>
      <c r="J10" s="2037"/>
      <c r="K10" s="2120"/>
      <c r="L10" s="445"/>
      <c r="X10" s="692">
        <v>11</v>
      </c>
    </row>
    <row r="11" spans="1:24" s="1561" customFormat="1" ht="24" customHeight="1">
      <c r="A11" s="2183"/>
      <c r="B11" s="2183"/>
      <c r="C11" s="593"/>
      <c r="D11" s="639" t="s">
        <v>84</v>
      </c>
      <c r="E11" s="641" t="s">
        <v>802</v>
      </c>
      <c r="F11" s="641" t="s">
        <v>561</v>
      </c>
      <c r="G11" s="401" t="s">
        <v>298</v>
      </c>
      <c r="H11" s="401" t="s">
        <v>385</v>
      </c>
      <c r="I11" s="737" t="s">
        <v>298</v>
      </c>
      <c r="J11" s="738" t="s">
        <v>385</v>
      </c>
      <c r="K11" s="2170"/>
      <c r="L11" s="594"/>
      <c r="X11" s="445">
        <v>23</v>
      </c>
    </row>
    <row r="12" spans="1:24" s="1568" customFormat="1" ht="10.5" customHeight="1">
      <c r="A12" s="881"/>
      <c r="D12" s="954" t="s">
        <v>105</v>
      </c>
      <c r="E12" s="954" t="s">
        <v>106</v>
      </c>
      <c r="F12" s="954" t="s">
        <v>86</v>
      </c>
      <c r="G12" s="955" t="str">
        <f>G1&amp;".1"</f>
        <v>4.1</v>
      </c>
      <c r="H12" s="955" t="str">
        <f>G1&amp;".2"</f>
        <v>4.2</v>
      </c>
      <c r="I12" s="955" t="str">
        <f>I1&amp;".1"</f>
        <v>4.1</v>
      </c>
      <c r="J12" s="955" t="str">
        <f>I1&amp;".2"</f>
        <v>4.2</v>
      </c>
      <c r="K12" s="955"/>
      <c r="X12" s="447">
        <v>10</v>
      </c>
    </row>
    <row r="13" spans="1:24" ht="22.5" customHeight="1">
      <c r="A13" s="2293" t="s">
        <v>803</v>
      </c>
      <c r="D13" s="882" t="s">
        <v>105</v>
      </c>
      <c r="E13" s="216" t="s">
        <v>804</v>
      </c>
      <c r="F13" s="596" t="s">
        <v>805</v>
      </c>
      <c r="G13" s="493"/>
      <c r="H13" s="597"/>
      <c r="I13" s="493"/>
      <c r="J13" s="597"/>
      <c r="K13" s="226" t="s">
        <v>806</v>
      </c>
      <c r="L13" s="656"/>
      <c r="X13" s="441">
        <v>0</v>
      </c>
    </row>
    <row r="14" spans="1:24" ht="22.5" customHeight="1">
      <c r="A14" s="2293"/>
      <c r="D14" s="475" t="s">
        <v>106</v>
      </c>
      <c r="E14" s="216" t="s">
        <v>807</v>
      </c>
      <c r="F14" s="596" t="s">
        <v>808</v>
      </c>
      <c r="G14" s="493"/>
      <c r="H14" s="598"/>
      <c r="I14" s="493"/>
      <c r="J14" s="598"/>
      <c r="K14" s="226" t="s">
        <v>809</v>
      </c>
      <c r="L14" s="656"/>
      <c r="X14" s="441">
        <v>0</v>
      </c>
    </row>
    <row r="15" spans="1:24" s="1561" customFormat="1" ht="78.75" customHeight="1">
      <c r="A15" s="2293"/>
      <c r="B15" s="447"/>
      <c r="D15" s="882" t="s">
        <v>86</v>
      </c>
      <c r="E15" s="643" t="s">
        <v>810</v>
      </c>
      <c r="F15" s="879" t="s">
        <v>301</v>
      </c>
      <c r="G15" s="879" t="s">
        <v>301</v>
      </c>
      <c r="H15" s="45"/>
      <c r="I15" s="879" t="s">
        <v>301</v>
      </c>
      <c r="J15" s="45"/>
      <c r="K15" s="226" t="s">
        <v>811</v>
      </c>
      <c r="L15" s="656"/>
      <c r="X15" s="692">
        <v>0</v>
      </c>
    </row>
    <row r="16" spans="1:24" s="1561" customFormat="1" ht="22.5" customHeight="1">
      <c r="A16" s="2293"/>
      <c r="B16" s="447"/>
      <c r="D16" s="882" t="s">
        <v>319</v>
      </c>
      <c r="E16" s="883" t="s">
        <v>812</v>
      </c>
      <c r="F16" s="879" t="s">
        <v>813</v>
      </c>
      <c r="G16" s="747"/>
      <c r="H16" s="45"/>
      <c r="I16" s="747"/>
      <c r="J16" s="45"/>
      <c r="K16" s="226"/>
      <c r="L16" s="656"/>
      <c r="X16" s="692">
        <v>0</v>
      </c>
    </row>
    <row r="17" spans="1:24" s="1561" customFormat="1" ht="22.5" customHeight="1">
      <c r="A17" s="2293"/>
      <c r="B17" s="447"/>
      <c r="D17" s="882" t="s">
        <v>327</v>
      </c>
      <c r="E17" s="883" t="s">
        <v>814</v>
      </c>
      <c r="F17" s="879" t="s">
        <v>815</v>
      </c>
      <c r="G17" s="747"/>
      <c r="H17" s="45"/>
      <c r="I17" s="747"/>
      <c r="J17" s="45"/>
      <c r="K17" s="226"/>
      <c r="L17" s="656"/>
      <c r="X17" s="692">
        <v>0</v>
      </c>
    </row>
    <row r="18" spans="1:24" s="1561" customFormat="1" ht="33.75" customHeight="1">
      <c r="A18" s="2293"/>
      <c r="B18" s="447"/>
      <c r="D18" s="882" t="s">
        <v>329</v>
      </c>
      <c r="E18" s="883" t="s">
        <v>816</v>
      </c>
      <c r="F18" s="879" t="s">
        <v>566</v>
      </c>
      <c r="G18" s="616"/>
      <c r="H18" s="45"/>
      <c r="I18" s="616"/>
      <c r="J18" s="45"/>
      <c r="K18" s="226"/>
      <c r="L18" s="656"/>
      <c r="X18" s="692">
        <v>0</v>
      </c>
    </row>
    <row r="19" spans="1:24" ht="101.25" customHeight="1">
      <c r="A19" s="2293"/>
      <c r="D19" s="882" t="s">
        <v>87</v>
      </c>
      <c r="E19" s="216" t="s">
        <v>817</v>
      </c>
      <c r="F19" s="596" t="s">
        <v>541</v>
      </c>
      <c r="G19" s="599"/>
      <c r="H19" s="598"/>
      <c r="I19" s="884"/>
      <c r="J19" s="598"/>
      <c r="K19" s="226" t="s">
        <v>818</v>
      </c>
      <c r="L19" s="656"/>
      <c r="X19" s="441">
        <v>0</v>
      </c>
    </row>
    <row r="20" spans="1:24" s="1561" customFormat="1" ht="18.75" customHeight="1">
      <c r="A20" s="2293"/>
      <c r="C20" s="885"/>
      <c r="D20" s="882" t="s">
        <v>749</v>
      </c>
      <c r="E20" s="883" t="s">
        <v>819</v>
      </c>
      <c r="F20" s="879" t="s">
        <v>301</v>
      </c>
      <c r="G20" s="879" t="s">
        <v>301</v>
      </c>
      <c r="H20" s="878" t="s">
        <v>301</v>
      </c>
      <c r="I20" s="879" t="s">
        <v>301</v>
      </c>
      <c r="J20" s="878" t="s">
        <v>301</v>
      </c>
      <c r="K20" s="877"/>
      <c r="L20" s="656"/>
      <c r="W20" s="611"/>
      <c r="X20" s="692">
        <v>0</v>
      </c>
    </row>
    <row r="21" spans="1:24" s="1561" customFormat="1" ht="33.75" customHeight="1">
      <c r="A21" s="2293"/>
      <c r="C21" s="885"/>
      <c r="D21" s="882" t="s">
        <v>752</v>
      </c>
      <c r="E21" s="512" t="s">
        <v>820</v>
      </c>
      <c r="F21" s="879" t="s">
        <v>821</v>
      </c>
      <c r="G21" s="616"/>
      <c r="H21" s="45"/>
      <c r="I21" s="616"/>
      <c r="J21" s="45"/>
      <c r="K21" s="877"/>
      <c r="L21" s="656"/>
      <c r="W21" s="611"/>
      <c r="X21" s="692">
        <v>0</v>
      </c>
    </row>
    <row r="22" spans="1:24" s="1561" customFormat="1" ht="33.75" customHeight="1">
      <c r="A22" s="2293"/>
      <c r="C22" s="885"/>
      <c r="D22" s="882" t="s">
        <v>755</v>
      </c>
      <c r="E22" s="512" t="s">
        <v>822</v>
      </c>
      <c r="F22" s="879" t="s">
        <v>823</v>
      </c>
      <c r="G22" s="616"/>
      <c r="H22" s="45"/>
      <c r="I22" s="616"/>
      <c r="J22" s="45"/>
      <c r="K22" s="877"/>
      <c r="L22" s="656"/>
      <c r="W22" s="611"/>
      <c r="X22" s="692">
        <v>0</v>
      </c>
    </row>
    <row r="23" spans="1:24" s="1561" customFormat="1" ht="22.5" customHeight="1">
      <c r="A23" s="2293"/>
      <c r="C23" s="885"/>
      <c r="D23" s="882" t="s">
        <v>791</v>
      </c>
      <c r="E23" s="883" t="s">
        <v>824</v>
      </c>
      <c r="F23" s="879" t="s">
        <v>301</v>
      </c>
      <c r="G23" s="879" t="s">
        <v>301</v>
      </c>
      <c r="H23" s="878" t="s">
        <v>301</v>
      </c>
      <c r="I23" s="879" t="s">
        <v>301</v>
      </c>
      <c r="J23" s="878" t="s">
        <v>301</v>
      </c>
      <c r="K23" s="877"/>
      <c r="L23" s="656"/>
      <c r="W23" s="611"/>
      <c r="X23" s="692">
        <v>0</v>
      </c>
    </row>
    <row r="24" spans="1:24" s="1561" customFormat="1" ht="22.5" customHeight="1">
      <c r="A24" s="2293"/>
      <c r="C24" s="885"/>
      <c r="D24" s="882" t="s">
        <v>825</v>
      </c>
      <c r="E24" s="512" t="s">
        <v>826</v>
      </c>
      <c r="F24" s="879" t="s">
        <v>827</v>
      </c>
      <c r="G24" s="616"/>
      <c r="H24" s="622"/>
      <c r="I24" s="616"/>
      <c r="J24" s="622"/>
      <c r="K24" s="877"/>
      <c r="L24" s="656"/>
      <c r="W24" s="611"/>
      <c r="X24" s="692">
        <v>0</v>
      </c>
    </row>
    <row r="25" spans="1:24" s="1561" customFormat="1" ht="22.5" customHeight="1">
      <c r="A25" s="2293"/>
      <c r="C25" s="885"/>
      <c r="D25" s="882" t="s">
        <v>828</v>
      </c>
      <c r="E25" s="512" t="s">
        <v>829</v>
      </c>
      <c r="F25" s="879" t="s">
        <v>301</v>
      </c>
      <c r="G25" s="879" t="s">
        <v>301</v>
      </c>
      <c r="H25" s="878" t="s">
        <v>301</v>
      </c>
      <c r="I25" s="879" t="s">
        <v>301</v>
      </c>
      <c r="J25" s="878" t="s">
        <v>301</v>
      </c>
      <c r="K25" s="877"/>
      <c r="L25" s="656"/>
      <c r="W25" s="611"/>
      <c r="X25" s="692">
        <v>0</v>
      </c>
    </row>
    <row r="26" spans="1:24" s="1561" customFormat="1" ht="18.75" customHeight="1">
      <c r="A26" s="2293"/>
      <c r="C26" s="885"/>
      <c r="D26" s="882" t="s">
        <v>830</v>
      </c>
      <c r="E26" s="489" t="s">
        <v>831</v>
      </c>
      <c r="F26" s="879" t="s">
        <v>832</v>
      </c>
      <c r="G26" s="616"/>
      <c r="H26" s="622"/>
      <c r="I26" s="616"/>
      <c r="J26" s="622"/>
      <c r="K26" s="877"/>
      <c r="L26" s="656"/>
      <c r="W26" s="611"/>
      <c r="X26" s="692">
        <v>0</v>
      </c>
    </row>
    <row r="27" spans="1:24" s="1561" customFormat="1" ht="18.75" customHeight="1">
      <c r="A27" s="2293"/>
      <c r="C27" s="885"/>
      <c r="D27" s="882" t="s">
        <v>833</v>
      </c>
      <c r="E27" s="489" t="s">
        <v>834</v>
      </c>
      <c r="F27" s="879" t="s">
        <v>835</v>
      </c>
      <c r="G27" s="616"/>
      <c r="H27" s="622"/>
      <c r="I27" s="616"/>
      <c r="J27" s="622"/>
      <c r="K27" s="877"/>
      <c r="L27" s="656"/>
      <c r="W27" s="611"/>
      <c r="X27" s="692">
        <v>0</v>
      </c>
    </row>
    <row r="28" spans="1:24" s="1561" customFormat="1" ht="18.75" customHeight="1">
      <c r="A28" s="2293"/>
      <c r="C28" s="885"/>
      <c r="D28" s="882" t="s">
        <v>836</v>
      </c>
      <c r="E28" s="512" t="s">
        <v>837</v>
      </c>
      <c r="F28" s="879" t="s">
        <v>301</v>
      </c>
      <c r="G28" s="879" t="s">
        <v>301</v>
      </c>
      <c r="H28" s="878" t="s">
        <v>301</v>
      </c>
      <c r="I28" s="879" t="s">
        <v>301</v>
      </c>
      <c r="J28" s="878" t="s">
        <v>301</v>
      </c>
      <c r="K28" s="877"/>
      <c r="L28" s="656"/>
      <c r="W28" s="611"/>
      <c r="X28" s="692">
        <v>0</v>
      </c>
    </row>
    <row r="29" spans="1:24" s="1561" customFormat="1" ht="18.75" customHeight="1">
      <c r="A29" s="2293"/>
      <c r="C29" s="885"/>
      <c r="D29" s="882" t="s">
        <v>838</v>
      </c>
      <c r="E29" s="489" t="s">
        <v>831</v>
      </c>
      <c r="F29" s="879" t="s">
        <v>839</v>
      </c>
      <c r="G29" s="616"/>
      <c r="H29" s="622"/>
      <c r="I29" s="616"/>
      <c r="J29" s="622"/>
      <c r="K29" s="877"/>
      <c r="L29" s="656"/>
      <c r="W29" s="611"/>
      <c r="X29" s="692">
        <v>0</v>
      </c>
    </row>
    <row r="30" spans="1:24" s="1561" customFormat="1" ht="18.75" customHeight="1">
      <c r="A30" s="2293"/>
      <c r="C30" s="885"/>
      <c r="D30" s="882" t="s">
        <v>840</v>
      </c>
      <c r="E30" s="489" t="s">
        <v>841</v>
      </c>
      <c r="F30" s="879" t="s">
        <v>842</v>
      </c>
      <c r="G30" s="616"/>
      <c r="H30" s="622"/>
      <c r="I30" s="616"/>
      <c r="J30" s="622"/>
      <c r="K30" s="877"/>
      <c r="L30" s="656"/>
      <c r="W30" s="611"/>
      <c r="X30" s="692">
        <v>0</v>
      </c>
    </row>
    <row r="31" spans="1:24" ht="126.75" customHeight="1">
      <c r="A31" s="2293"/>
      <c r="D31" s="882" t="s">
        <v>107</v>
      </c>
      <c r="E31" s="216" t="s">
        <v>843</v>
      </c>
      <c r="F31" s="596" t="s">
        <v>553</v>
      </c>
      <c r="G31" s="493"/>
      <c r="H31" s="598"/>
      <c r="I31" s="493"/>
      <c r="J31" s="598"/>
      <c r="K31" s="226" t="s">
        <v>844</v>
      </c>
      <c r="L31" s="656"/>
      <c r="X31" s="441">
        <v>0</v>
      </c>
    </row>
    <row r="32" spans="1:24" ht="56.25" customHeight="1">
      <c r="A32" s="2293"/>
      <c r="D32" s="882" t="s">
        <v>88</v>
      </c>
      <c r="E32" s="216" t="s">
        <v>845</v>
      </c>
      <c r="F32" s="475" t="s">
        <v>815</v>
      </c>
      <c r="G32" s="493"/>
      <c r="H32" s="598"/>
      <c r="I32" s="493"/>
      <c r="J32" s="598"/>
      <c r="K32" s="226" t="s">
        <v>846</v>
      </c>
      <c r="L32" s="656"/>
      <c r="X32" s="441">
        <v>0</v>
      </c>
    </row>
    <row r="33" spans="1:24" ht="11.25" customHeight="1">
      <c r="A33" s="2293"/>
      <c r="E33" s="600"/>
      <c r="F33" s="118"/>
      <c r="G33" s="118"/>
      <c r="H33" s="118"/>
      <c r="I33" s="118"/>
      <c r="J33" s="118"/>
      <c r="K33" s="118"/>
      <c r="X33" s="441">
        <v>0</v>
      </c>
    </row>
    <row r="34" spans="1:24" ht="12.75" customHeight="1">
      <c r="A34" s="2293"/>
      <c r="D34" s="4">
        <v>1</v>
      </c>
      <c r="E34" s="272" t="s">
        <v>847</v>
      </c>
      <c r="X34" s="441">
        <v>0</v>
      </c>
    </row>
    <row r="35" spans="1:24" ht="11.25" customHeight="1">
      <c r="A35" s="2293"/>
      <c r="D35" s="305"/>
      <c r="E35" s="272" t="s">
        <v>848</v>
      </c>
      <c r="X35" s="441">
        <v>0</v>
      </c>
    </row>
    <row r="36" spans="1:24" s="1561" customFormat="1" ht="11.45" customHeight="1">
      <c r="A36" s="962"/>
      <c r="B36" s="454"/>
      <c r="D36" s="963"/>
      <c r="E36" s="964"/>
      <c r="X36" s="445">
        <v>11</v>
      </c>
    </row>
    <row r="37" spans="1:24" s="1561" customFormat="1" ht="22.5" hidden="1" customHeight="1">
      <c r="A37" s="2293" t="s">
        <v>849</v>
      </c>
      <c r="B37" s="447"/>
      <c r="D37" s="882">
        <v>1</v>
      </c>
      <c r="E37" s="643" t="s">
        <v>850</v>
      </c>
      <c r="F37" s="596" t="s">
        <v>805</v>
      </c>
      <c r="G37" s="493"/>
      <c r="H37" s="455"/>
      <c r="I37" s="493"/>
      <c r="J37" s="455"/>
      <c r="K37" s="226" t="s">
        <v>851</v>
      </c>
      <c r="X37" s="692">
        <v>0</v>
      </c>
    </row>
    <row r="38" spans="1:24" s="1561" customFormat="1" ht="22.5" hidden="1" customHeight="1">
      <c r="A38" s="2293"/>
      <c r="B38" s="447"/>
      <c r="D38" s="605" t="s">
        <v>106</v>
      </c>
      <c r="E38" s="961" t="s">
        <v>852</v>
      </c>
      <c r="F38" s="965" t="s">
        <v>541</v>
      </c>
      <c r="G38" s="965" t="s">
        <v>541</v>
      </c>
      <c r="H38" s="959"/>
      <c r="I38" s="965" t="s">
        <v>541</v>
      </c>
      <c r="J38" s="959"/>
      <c r="K38" s="960"/>
      <c r="X38" s="692">
        <v>0</v>
      </c>
    </row>
    <row r="39" spans="1:24" s="1561" customFormat="1" ht="33.75" hidden="1" customHeight="1">
      <c r="A39" s="2293"/>
      <c r="B39" s="447"/>
      <c r="D39" s="601" t="s">
        <v>707</v>
      </c>
      <c r="E39" s="659" t="s">
        <v>853</v>
      </c>
      <c r="F39" s="596" t="s">
        <v>854</v>
      </c>
      <c r="G39" s="604"/>
      <c r="H39" s="952"/>
      <c r="I39" s="604"/>
      <c r="J39" s="952"/>
      <c r="K39" s="226" t="s">
        <v>855</v>
      </c>
      <c r="X39" s="692">
        <v>0</v>
      </c>
    </row>
    <row r="40" spans="1:24" s="1561" customFormat="1" ht="33.75" hidden="1" customHeight="1">
      <c r="A40" s="2293"/>
      <c r="B40" s="447"/>
      <c r="D40" s="601" t="s">
        <v>710</v>
      </c>
      <c r="E40" s="659" t="s">
        <v>856</v>
      </c>
      <c r="F40" s="956" t="s">
        <v>857</v>
      </c>
      <c r="G40" s="677"/>
      <c r="H40" s="952"/>
      <c r="I40" s="677"/>
      <c r="J40" s="952"/>
      <c r="K40" s="226" t="s">
        <v>858</v>
      </c>
      <c r="X40" s="692">
        <v>0</v>
      </c>
    </row>
    <row r="41" spans="1:24" s="1561" customFormat="1" ht="22.5" hidden="1" customHeight="1">
      <c r="A41" s="2293"/>
      <c r="B41" s="447"/>
      <c r="D41" s="601" t="s">
        <v>86</v>
      </c>
      <c r="E41" s="658" t="s">
        <v>859</v>
      </c>
      <c r="F41" s="596" t="s">
        <v>541</v>
      </c>
      <c r="G41" s="596" t="s">
        <v>541</v>
      </c>
      <c r="H41" s="953"/>
      <c r="I41" s="596" t="s">
        <v>541</v>
      </c>
      <c r="J41" s="953"/>
      <c r="K41" s="239"/>
      <c r="X41" s="692">
        <v>0</v>
      </c>
    </row>
    <row r="42" spans="1:24" s="1561" customFormat="1" ht="45" hidden="1" customHeight="1">
      <c r="A42" s="2293"/>
      <c r="B42" s="447"/>
      <c r="D42" s="601" t="s">
        <v>319</v>
      </c>
      <c r="E42" s="659" t="s">
        <v>860</v>
      </c>
      <c r="F42" s="596" t="s">
        <v>553</v>
      </c>
      <c r="G42" s="493"/>
      <c r="H42" s="953"/>
      <c r="I42" s="493"/>
      <c r="J42" s="953"/>
      <c r="K42" s="239" t="s">
        <v>861</v>
      </c>
      <c r="X42" s="692">
        <v>0</v>
      </c>
    </row>
    <row r="43" spans="1:24" s="1561" customFormat="1" ht="45" hidden="1" customHeight="1">
      <c r="A43" s="2293"/>
      <c r="B43" s="447"/>
      <c r="D43" s="601" t="s">
        <v>327</v>
      </c>
      <c r="E43" s="603" t="s">
        <v>862</v>
      </c>
      <c r="F43" s="957" t="s">
        <v>553</v>
      </c>
      <c r="G43" s="678"/>
      <c r="H43" s="952"/>
      <c r="I43" s="678"/>
      <c r="J43" s="952"/>
      <c r="K43" s="239" t="s">
        <v>863</v>
      </c>
      <c r="X43" s="692">
        <v>0</v>
      </c>
    </row>
    <row r="44" spans="1:24" s="1561" customFormat="1" ht="11.25" hidden="1" customHeight="1">
      <c r="A44" s="2293"/>
      <c r="B44" s="447"/>
      <c r="D44" s="601" t="s">
        <v>87</v>
      </c>
      <c r="E44" s="602" t="s">
        <v>864</v>
      </c>
      <c r="F44" s="596" t="s">
        <v>854</v>
      </c>
      <c r="G44" s="604"/>
      <c r="H44" s="952"/>
      <c r="I44" s="604"/>
      <c r="J44" s="952"/>
      <c r="K44" s="226"/>
      <c r="X44" s="692">
        <v>0</v>
      </c>
    </row>
    <row r="45" spans="1:24" s="1561" customFormat="1" ht="11.25" hidden="1" customHeight="1">
      <c r="A45" s="2293"/>
      <c r="B45" s="447"/>
      <c r="D45" s="601" t="s">
        <v>749</v>
      </c>
      <c r="E45" s="603" t="s">
        <v>865</v>
      </c>
      <c r="F45" s="596" t="s">
        <v>854</v>
      </c>
      <c r="G45" s="604"/>
      <c r="H45" s="952"/>
      <c r="I45" s="604"/>
      <c r="J45" s="952"/>
      <c r="K45" s="226"/>
      <c r="X45" s="692">
        <v>0</v>
      </c>
    </row>
    <row r="46" spans="1:24" s="1561" customFormat="1" ht="11.25" hidden="1" customHeight="1">
      <c r="A46" s="2293"/>
      <c r="B46" s="447"/>
      <c r="D46" s="601" t="s">
        <v>791</v>
      </c>
      <c r="E46" s="603" t="s">
        <v>866</v>
      </c>
      <c r="F46" s="596" t="s">
        <v>854</v>
      </c>
      <c r="G46" s="604"/>
      <c r="H46" s="952"/>
      <c r="I46" s="604"/>
      <c r="J46" s="952"/>
      <c r="K46" s="226"/>
      <c r="X46" s="692">
        <v>0</v>
      </c>
    </row>
    <row r="47" spans="1:24" s="1561" customFormat="1" ht="11.25" hidden="1" customHeight="1">
      <c r="A47" s="2293"/>
      <c r="B47" s="447"/>
      <c r="D47" s="601" t="s">
        <v>794</v>
      </c>
      <c r="E47" s="603" t="s">
        <v>867</v>
      </c>
      <c r="F47" s="596" t="s">
        <v>854</v>
      </c>
      <c r="G47" s="604"/>
      <c r="H47" s="952"/>
      <c r="I47" s="604"/>
      <c r="J47" s="952"/>
      <c r="K47" s="226"/>
      <c r="X47" s="692">
        <v>0</v>
      </c>
    </row>
    <row r="48" spans="1:24" s="1561" customFormat="1" ht="11.25" hidden="1" customHeight="1">
      <c r="A48" s="2293"/>
      <c r="B48" s="447"/>
      <c r="D48" s="601" t="s">
        <v>868</v>
      </c>
      <c r="E48" s="607" t="s">
        <v>869</v>
      </c>
      <c r="F48" s="596" t="s">
        <v>854</v>
      </c>
      <c r="G48" s="604"/>
      <c r="H48" s="952"/>
      <c r="I48" s="604"/>
      <c r="J48" s="952"/>
      <c r="K48" s="226"/>
      <c r="X48" s="692">
        <v>0</v>
      </c>
    </row>
    <row r="49" spans="1:24" s="1561" customFormat="1" ht="11.25" hidden="1" customHeight="1">
      <c r="A49" s="2293"/>
      <c r="B49" s="447"/>
      <c r="D49" s="601" t="s">
        <v>870</v>
      </c>
      <c r="E49" s="607" t="s">
        <v>871</v>
      </c>
      <c r="F49" s="596" t="s">
        <v>854</v>
      </c>
      <c r="G49" s="604"/>
      <c r="H49" s="952"/>
      <c r="I49" s="604"/>
      <c r="J49" s="952"/>
      <c r="K49" s="226"/>
      <c r="X49" s="692">
        <v>0</v>
      </c>
    </row>
    <row r="50" spans="1:24" s="1561" customFormat="1" ht="11.25" hidden="1" customHeight="1">
      <c r="A50" s="2293"/>
      <c r="B50" s="447"/>
      <c r="D50" s="601" t="s">
        <v>872</v>
      </c>
      <c r="E50" s="603" t="s">
        <v>873</v>
      </c>
      <c r="F50" s="596" t="s">
        <v>854</v>
      </c>
      <c r="G50" s="604"/>
      <c r="H50" s="952"/>
      <c r="I50" s="604"/>
      <c r="J50" s="952"/>
      <c r="K50" s="226"/>
      <c r="X50" s="692">
        <v>0</v>
      </c>
    </row>
    <row r="51" spans="1:24" s="1561" customFormat="1" ht="11.25" hidden="1" customHeight="1">
      <c r="A51" s="2293"/>
      <c r="B51" s="447"/>
      <c r="D51" s="601" t="s">
        <v>874</v>
      </c>
      <c r="E51" s="603" t="s">
        <v>875</v>
      </c>
      <c r="F51" s="596" t="s">
        <v>854</v>
      </c>
      <c r="G51" s="604"/>
      <c r="H51" s="952"/>
      <c r="I51" s="604"/>
      <c r="J51" s="952"/>
      <c r="K51" s="226"/>
      <c r="X51" s="692">
        <v>0</v>
      </c>
    </row>
    <row r="52" spans="1:24" s="1561" customFormat="1" ht="45" hidden="1" customHeight="1">
      <c r="A52" s="2293"/>
      <c r="B52" s="447"/>
      <c r="D52" s="601" t="s">
        <v>107</v>
      </c>
      <c r="E52" s="602" t="s">
        <v>876</v>
      </c>
      <c r="F52" s="596" t="s">
        <v>854</v>
      </c>
      <c r="G52" s="604"/>
      <c r="H52" s="952"/>
      <c r="I52" s="604"/>
      <c r="J52" s="952"/>
      <c r="K52" s="226"/>
      <c r="X52" s="692">
        <v>0</v>
      </c>
    </row>
    <row r="53" spans="1:24" s="1561" customFormat="1" ht="11.25" hidden="1" customHeight="1">
      <c r="A53" s="2293"/>
      <c r="B53" s="447"/>
      <c r="D53" s="601" t="s">
        <v>308</v>
      </c>
      <c r="E53" s="603" t="s">
        <v>865</v>
      </c>
      <c r="F53" s="596" t="s">
        <v>854</v>
      </c>
      <c r="G53" s="604"/>
      <c r="H53" s="952"/>
      <c r="I53" s="604"/>
      <c r="J53" s="952"/>
      <c r="K53" s="226"/>
      <c r="X53" s="692">
        <v>0</v>
      </c>
    </row>
    <row r="54" spans="1:24" s="1561" customFormat="1" ht="11.25" hidden="1" customHeight="1">
      <c r="A54" s="2293"/>
      <c r="B54" s="447"/>
      <c r="D54" s="601" t="s">
        <v>877</v>
      </c>
      <c r="E54" s="603" t="s">
        <v>866</v>
      </c>
      <c r="F54" s="596" t="s">
        <v>854</v>
      </c>
      <c r="G54" s="604"/>
      <c r="H54" s="952"/>
      <c r="I54" s="604"/>
      <c r="J54" s="952"/>
      <c r="K54" s="226"/>
      <c r="X54" s="692">
        <v>0</v>
      </c>
    </row>
    <row r="55" spans="1:24" s="1561" customFormat="1" ht="11.25" hidden="1" customHeight="1">
      <c r="A55" s="2293"/>
      <c r="B55" s="447"/>
      <c r="D55" s="601" t="s">
        <v>878</v>
      </c>
      <c r="E55" s="603" t="s">
        <v>867</v>
      </c>
      <c r="F55" s="596" t="s">
        <v>854</v>
      </c>
      <c r="G55" s="604"/>
      <c r="H55" s="952"/>
      <c r="I55" s="604"/>
      <c r="J55" s="952"/>
      <c r="K55" s="226"/>
      <c r="X55" s="692">
        <v>0</v>
      </c>
    </row>
    <row r="56" spans="1:24" s="1561" customFormat="1" ht="11.25" hidden="1" customHeight="1">
      <c r="A56" s="2293"/>
      <c r="B56" s="447"/>
      <c r="D56" s="601" t="s">
        <v>879</v>
      </c>
      <c r="E56" s="607" t="s">
        <v>869</v>
      </c>
      <c r="F56" s="596" t="s">
        <v>854</v>
      </c>
      <c r="G56" s="604"/>
      <c r="H56" s="952"/>
      <c r="I56" s="604"/>
      <c r="J56" s="952"/>
      <c r="K56" s="226"/>
      <c r="X56" s="692">
        <v>0</v>
      </c>
    </row>
    <row r="57" spans="1:24" s="1561" customFormat="1" ht="11.25" hidden="1" customHeight="1">
      <c r="A57" s="2293"/>
      <c r="B57" s="447"/>
      <c r="D57" s="601" t="s">
        <v>880</v>
      </c>
      <c r="E57" s="607" t="s">
        <v>871</v>
      </c>
      <c r="F57" s="596" t="s">
        <v>854</v>
      </c>
      <c r="G57" s="604"/>
      <c r="H57" s="952"/>
      <c r="I57" s="604"/>
      <c r="J57" s="952"/>
      <c r="K57" s="226"/>
      <c r="X57" s="692">
        <v>0</v>
      </c>
    </row>
    <row r="58" spans="1:24" s="1561" customFormat="1" ht="11.25" hidden="1" customHeight="1">
      <c r="A58" s="2293"/>
      <c r="B58" s="447"/>
      <c r="D58" s="601" t="s">
        <v>881</v>
      </c>
      <c r="E58" s="603" t="s">
        <v>873</v>
      </c>
      <c r="F58" s="596" t="s">
        <v>854</v>
      </c>
      <c r="G58" s="604"/>
      <c r="H58" s="952"/>
      <c r="I58" s="604"/>
      <c r="J58" s="952"/>
      <c r="K58" s="226"/>
      <c r="X58" s="692">
        <v>0</v>
      </c>
    </row>
    <row r="59" spans="1:24" s="1561" customFormat="1" ht="11.25" hidden="1" customHeight="1">
      <c r="A59" s="2293"/>
      <c r="B59" s="447"/>
      <c r="D59" s="601" t="s">
        <v>882</v>
      </c>
      <c r="E59" s="603" t="s">
        <v>875</v>
      </c>
      <c r="F59" s="596" t="s">
        <v>854</v>
      </c>
      <c r="G59" s="604"/>
      <c r="H59" s="952"/>
      <c r="I59" s="604"/>
      <c r="J59" s="952"/>
      <c r="K59" s="226"/>
      <c r="X59" s="692">
        <v>0</v>
      </c>
    </row>
    <row r="60" spans="1:24" s="1561" customFormat="1" ht="33.75" hidden="1" customHeight="1">
      <c r="A60" s="2293"/>
      <c r="B60" s="447"/>
      <c r="D60" s="601" t="s">
        <v>88</v>
      </c>
      <c r="E60" s="602" t="s">
        <v>883</v>
      </c>
      <c r="F60" s="657" t="s">
        <v>553</v>
      </c>
      <c r="G60" s="678"/>
      <c r="H60" s="952"/>
      <c r="I60" s="678"/>
      <c r="J60" s="952"/>
      <c r="K60" s="239" t="s">
        <v>884</v>
      </c>
      <c r="X60" s="692">
        <v>0</v>
      </c>
    </row>
    <row r="61" spans="1:24" s="1561" customFormat="1" ht="33.75" hidden="1" customHeight="1">
      <c r="A61" s="2293"/>
      <c r="B61" s="447"/>
      <c r="D61" s="601" t="s">
        <v>89</v>
      </c>
      <c r="E61" s="602" t="s">
        <v>885</v>
      </c>
      <c r="F61" s="662" t="s">
        <v>815</v>
      </c>
      <c r="G61" s="604"/>
      <c r="H61" s="952"/>
      <c r="I61" s="604"/>
      <c r="J61" s="952"/>
      <c r="K61" s="226"/>
      <c r="X61" s="692">
        <v>0</v>
      </c>
    </row>
    <row r="62" spans="1:24" s="1561" customFormat="1" ht="22.5" hidden="1" customHeight="1">
      <c r="A62" s="2293"/>
      <c r="B62" s="447" t="s">
        <v>583</v>
      </c>
      <c r="D62" s="601" t="s">
        <v>108</v>
      </c>
      <c r="E62" s="602" t="s">
        <v>886</v>
      </c>
      <c r="F62" s="662" t="s">
        <v>301</v>
      </c>
      <c r="G62" s="318"/>
      <c r="H62" s="952"/>
      <c r="I62" s="318"/>
      <c r="J62" s="952"/>
      <c r="K62" s="226" t="s">
        <v>626</v>
      </c>
      <c r="X62" s="692">
        <v>0</v>
      </c>
    </row>
    <row r="63" spans="1:24" s="1561" customFormat="1" ht="45" hidden="1" customHeight="1">
      <c r="A63" s="2293"/>
      <c r="B63" s="447" t="s">
        <v>583</v>
      </c>
      <c r="D63" s="601" t="s">
        <v>887</v>
      </c>
      <c r="E63" s="603" t="s">
        <v>888</v>
      </c>
      <c r="F63" s="657" t="s">
        <v>301</v>
      </c>
      <c r="G63" s="318"/>
      <c r="H63" s="952"/>
      <c r="I63" s="318"/>
      <c r="J63" s="952"/>
      <c r="K63" s="226" t="s">
        <v>626</v>
      </c>
      <c r="X63" s="692">
        <v>0</v>
      </c>
    </row>
    <row r="64" spans="1:24" s="1561" customFormat="1" ht="11.45" customHeight="1">
      <c r="A64" s="962"/>
      <c r="B64" s="454"/>
      <c r="D64" s="963"/>
      <c r="E64" s="964"/>
      <c r="X64" s="445">
        <v>11</v>
      </c>
    </row>
    <row r="65" spans="1:24" s="1561" customFormat="1" ht="22.5" hidden="1" customHeight="1">
      <c r="A65" s="2293" t="s">
        <v>889</v>
      </c>
      <c r="B65" s="447"/>
      <c r="D65" s="601">
        <v>1</v>
      </c>
      <c r="E65" s="680" t="s">
        <v>890</v>
      </c>
      <c r="F65" s="676" t="s">
        <v>805</v>
      </c>
      <c r="G65" s="677"/>
      <c r="H65" s="958"/>
      <c r="I65" s="677"/>
      <c r="J65" s="958"/>
      <c r="K65" s="238" t="s">
        <v>891</v>
      </c>
      <c r="X65" s="692">
        <v>0</v>
      </c>
    </row>
    <row r="66" spans="1:24" s="1561" customFormat="1" ht="56.25" hidden="1" customHeight="1">
      <c r="A66" s="2293"/>
      <c r="B66" s="447"/>
      <c r="D66" s="679" t="s">
        <v>106</v>
      </c>
      <c r="E66" s="643" t="s">
        <v>892</v>
      </c>
      <c r="F66" s="596" t="s">
        <v>541</v>
      </c>
      <c r="G66" s="596" t="s">
        <v>541</v>
      </c>
      <c r="H66" s="455"/>
      <c r="I66" s="596" t="s">
        <v>541</v>
      </c>
      <c r="J66" s="455"/>
      <c r="K66" s="226"/>
      <c r="X66" s="692">
        <v>0</v>
      </c>
    </row>
    <row r="67" spans="1:24" s="1561" customFormat="1" ht="33.75" hidden="1" customHeight="1">
      <c r="A67" s="2293"/>
      <c r="B67" s="447"/>
      <c r="D67" s="679" t="s">
        <v>704</v>
      </c>
      <c r="E67" s="883" t="s">
        <v>893</v>
      </c>
      <c r="F67" s="596" t="s">
        <v>857</v>
      </c>
      <c r="G67" s="663"/>
      <c r="H67" s="455"/>
      <c r="I67" s="663"/>
      <c r="J67" s="455"/>
      <c r="K67" s="226"/>
      <c r="X67" s="692">
        <v>0</v>
      </c>
    </row>
    <row r="68" spans="1:24" s="1561" customFormat="1" ht="22.5" hidden="1" customHeight="1">
      <c r="A68" s="2293"/>
      <c r="B68" s="447"/>
      <c r="D68" s="679" t="s">
        <v>302</v>
      </c>
      <c r="E68" s="883" t="s">
        <v>894</v>
      </c>
      <c r="F68" s="596" t="s">
        <v>857</v>
      </c>
      <c r="G68" s="663"/>
      <c r="H68" s="455"/>
      <c r="I68" s="663"/>
      <c r="J68" s="455"/>
      <c r="K68" s="226"/>
      <c r="X68" s="692">
        <v>0</v>
      </c>
    </row>
    <row r="69" spans="1:24" s="1561" customFormat="1" ht="22.5" hidden="1" customHeight="1">
      <c r="A69" s="2293"/>
      <c r="B69" s="447"/>
      <c r="D69" s="679" t="s">
        <v>305</v>
      </c>
      <c r="E69" s="883" t="s">
        <v>895</v>
      </c>
      <c r="F69" s="657" t="s">
        <v>553</v>
      </c>
      <c r="G69" s="678"/>
      <c r="H69" s="455"/>
      <c r="I69" s="678"/>
      <c r="J69" s="455"/>
      <c r="K69" s="226"/>
      <c r="X69" s="692">
        <v>0</v>
      </c>
    </row>
    <row r="70" spans="1:24" s="1561" customFormat="1" ht="22.5" hidden="1" customHeight="1">
      <c r="A70" s="2293"/>
      <c r="B70" s="447"/>
      <c r="D70" s="679" t="s">
        <v>724</v>
      </c>
      <c r="E70" s="883" t="s">
        <v>896</v>
      </c>
      <c r="F70" s="657" t="s">
        <v>553</v>
      </c>
      <c r="G70" s="678"/>
      <c r="H70" s="455"/>
      <c r="I70" s="678"/>
      <c r="J70" s="455"/>
      <c r="K70" s="226"/>
      <c r="X70" s="692">
        <v>0</v>
      </c>
    </row>
    <row r="71" spans="1:24" s="1561" customFormat="1" ht="22.5" hidden="1" customHeight="1">
      <c r="A71" s="2293"/>
      <c r="B71" s="447"/>
      <c r="D71" s="601" t="s">
        <v>86</v>
      </c>
      <c r="E71" s="602" t="s">
        <v>897</v>
      </c>
      <c r="F71" s="596" t="s">
        <v>857</v>
      </c>
      <c r="G71" s="493"/>
      <c r="H71" s="959"/>
      <c r="I71" s="493"/>
      <c r="J71" s="959"/>
      <c r="K71" s="239"/>
      <c r="X71" s="692">
        <v>0</v>
      </c>
    </row>
    <row r="72" spans="1:24" s="1561" customFormat="1" ht="56.25" hidden="1" customHeight="1">
      <c r="A72" s="2293"/>
      <c r="B72" s="447"/>
      <c r="D72" s="601" t="s">
        <v>87</v>
      </c>
      <c r="E72" s="602" t="s">
        <v>898</v>
      </c>
      <c r="F72" s="657" t="s">
        <v>553</v>
      </c>
      <c r="G72" s="678"/>
      <c r="H72" s="952"/>
      <c r="I72" s="678"/>
      <c r="J72" s="952"/>
      <c r="K72" s="239"/>
      <c r="X72" s="692">
        <v>0</v>
      </c>
    </row>
    <row r="73" spans="1:24" s="1561" customFormat="1" ht="33.75" hidden="1" customHeight="1">
      <c r="A73" s="2293"/>
      <c r="B73" s="447"/>
      <c r="D73" s="601" t="s">
        <v>107</v>
      </c>
      <c r="E73" s="602" t="s">
        <v>899</v>
      </c>
      <c r="F73" s="662" t="s">
        <v>815</v>
      </c>
      <c r="G73" s="604"/>
      <c r="H73" s="952"/>
      <c r="I73" s="604"/>
      <c r="J73" s="952"/>
      <c r="K73" s="226"/>
      <c r="X73" s="692">
        <v>0</v>
      </c>
    </row>
    <row r="74" spans="1:24" s="1561" customFormat="1" ht="22.5" hidden="1" customHeight="1">
      <c r="A74" s="2293"/>
      <c r="B74" s="447" t="s">
        <v>583</v>
      </c>
      <c r="D74" s="601" t="s">
        <v>88</v>
      </c>
      <c r="E74" s="602" t="s">
        <v>900</v>
      </c>
      <c r="F74" s="662" t="s">
        <v>301</v>
      </c>
      <c r="G74" s="318"/>
      <c r="H74" s="952"/>
      <c r="I74" s="318"/>
      <c r="J74" s="952"/>
      <c r="K74" s="226" t="s">
        <v>626</v>
      </c>
      <c r="X74" s="692">
        <v>0</v>
      </c>
    </row>
    <row r="75" spans="1:24" s="1561" customFormat="1" ht="45" hidden="1" customHeight="1">
      <c r="A75" s="2293"/>
      <c r="B75" s="447" t="s">
        <v>583</v>
      </c>
      <c r="D75" s="601" t="s">
        <v>647</v>
      </c>
      <c r="E75" s="603" t="s">
        <v>901</v>
      </c>
      <c r="F75" s="657" t="s">
        <v>301</v>
      </c>
      <c r="G75" s="318"/>
      <c r="H75" s="952"/>
      <c r="I75" s="318"/>
      <c r="J75" s="952"/>
      <c r="K75" s="226" t="s">
        <v>626</v>
      </c>
      <c r="X75" s="692">
        <v>0</v>
      </c>
    </row>
    <row r="76" spans="1:24" s="1561" customFormat="1" ht="11.45" customHeight="1">
      <c r="A76" s="962"/>
      <c r="B76" s="454"/>
      <c r="D76" s="963"/>
      <c r="E76" s="964"/>
      <c r="X76" s="445">
        <v>11</v>
      </c>
    </row>
    <row r="77" spans="1:24" s="1561" customFormat="1" ht="11.25" hidden="1" customHeight="1">
      <c r="A77" s="2293" t="s">
        <v>902</v>
      </c>
      <c r="B77" s="447"/>
      <c r="D77" s="601">
        <v>1</v>
      </c>
      <c r="E77" s="602" t="s">
        <v>903</v>
      </c>
      <c r="F77" s="657" t="s">
        <v>805</v>
      </c>
      <c r="G77" s="660"/>
      <c r="H77" s="952"/>
      <c r="I77" s="660"/>
      <c r="J77" s="952"/>
      <c r="K77" s="226" t="s">
        <v>904</v>
      </c>
      <c r="X77" s="692">
        <v>0</v>
      </c>
    </row>
    <row r="78" spans="1:24" s="1561" customFormat="1" ht="11.25" hidden="1" customHeight="1">
      <c r="A78" s="2293"/>
      <c r="B78" s="447"/>
      <c r="D78" s="601" t="s">
        <v>106</v>
      </c>
      <c r="E78" s="602" t="s">
        <v>905</v>
      </c>
      <c r="F78" s="657" t="s">
        <v>805</v>
      </c>
      <c r="G78" s="660"/>
      <c r="H78" s="952"/>
      <c r="I78" s="660"/>
      <c r="J78" s="952"/>
      <c r="K78" s="226" t="s">
        <v>906</v>
      </c>
      <c r="X78" s="692">
        <v>0</v>
      </c>
    </row>
    <row r="79" spans="1:24" s="1561" customFormat="1" ht="22.5" hidden="1" customHeight="1">
      <c r="A79" s="2293"/>
      <c r="B79" s="447"/>
      <c r="D79" s="601" t="s">
        <v>86</v>
      </c>
      <c r="E79" s="658" t="s">
        <v>907</v>
      </c>
      <c r="F79" s="596" t="s">
        <v>854</v>
      </c>
      <c r="G79" s="660"/>
      <c r="H79" s="952"/>
      <c r="I79" s="660"/>
      <c r="J79" s="952"/>
      <c r="K79" s="226" t="s">
        <v>908</v>
      </c>
      <c r="X79" s="692">
        <v>0</v>
      </c>
    </row>
    <row r="80" spans="1:24" s="1561" customFormat="1" ht="11.25" hidden="1" customHeight="1">
      <c r="A80" s="2293"/>
      <c r="B80" s="447"/>
      <c r="D80" s="601" t="s">
        <v>319</v>
      </c>
      <c r="E80" s="659" t="s">
        <v>909</v>
      </c>
      <c r="F80" s="596" t="s">
        <v>854</v>
      </c>
      <c r="G80" s="660"/>
      <c r="H80" s="952"/>
      <c r="I80" s="660"/>
      <c r="J80" s="952"/>
      <c r="K80" s="226"/>
      <c r="X80" s="692">
        <v>0</v>
      </c>
    </row>
    <row r="81" spans="1:24" s="1561" customFormat="1" ht="11.25" hidden="1" customHeight="1">
      <c r="A81" s="2293"/>
      <c r="B81" s="447"/>
      <c r="D81" s="601" t="s">
        <v>327</v>
      </c>
      <c r="E81" s="659" t="s">
        <v>910</v>
      </c>
      <c r="F81" s="596" t="s">
        <v>854</v>
      </c>
      <c r="G81" s="660"/>
      <c r="H81" s="952"/>
      <c r="I81" s="660"/>
      <c r="J81" s="952"/>
      <c r="K81" s="226"/>
      <c r="X81" s="692">
        <v>0</v>
      </c>
    </row>
    <row r="82" spans="1:24" s="1561" customFormat="1" ht="11.25" hidden="1" customHeight="1">
      <c r="A82" s="2293"/>
      <c r="B82" s="447"/>
      <c r="D82" s="601" t="s">
        <v>329</v>
      </c>
      <c r="E82" s="659" t="s">
        <v>911</v>
      </c>
      <c r="F82" s="596" t="s">
        <v>854</v>
      </c>
      <c r="G82" s="660"/>
      <c r="H82" s="952"/>
      <c r="I82" s="660"/>
      <c r="J82" s="952"/>
      <c r="K82" s="226"/>
      <c r="X82" s="692">
        <v>0</v>
      </c>
    </row>
    <row r="83" spans="1:24" s="1561" customFormat="1" ht="11.25" hidden="1" customHeight="1">
      <c r="A83" s="2293"/>
      <c r="B83" s="447"/>
      <c r="D83" s="601" t="s">
        <v>331</v>
      </c>
      <c r="E83" s="659" t="s">
        <v>912</v>
      </c>
      <c r="F83" s="596" t="s">
        <v>854</v>
      </c>
      <c r="G83" s="660"/>
      <c r="H83" s="952"/>
      <c r="I83" s="660"/>
      <c r="J83" s="952"/>
      <c r="K83" s="226"/>
      <c r="X83" s="692">
        <v>0</v>
      </c>
    </row>
    <row r="84" spans="1:24" s="1561" customFormat="1" ht="11.25" hidden="1" customHeight="1">
      <c r="A84" s="2293"/>
      <c r="B84" s="447"/>
      <c r="D84" s="601" t="s">
        <v>913</v>
      </c>
      <c r="E84" s="659" t="s">
        <v>914</v>
      </c>
      <c r="F84" s="596" t="s">
        <v>854</v>
      </c>
      <c r="G84" s="660"/>
      <c r="H84" s="952"/>
      <c r="I84" s="660"/>
      <c r="J84" s="952"/>
      <c r="K84" s="226"/>
      <c r="X84" s="692">
        <v>0</v>
      </c>
    </row>
    <row r="85" spans="1:24" s="1561" customFormat="1" ht="11.25" hidden="1" customHeight="1">
      <c r="A85" s="2293"/>
      <c r="B85" s="447"/>
      <c r="D85" s="601" t="s">
        <v>915</v>
      </c>
      <c r="E85" s="659" t="s">
        <v>916</v>
      </c>
      <c r="F85" s="596" t="s">
        <v>854</v>
      </c>
      <c r="G85" s="660"/>
      <c r="H85" s="952"/>
      <c r="I85" s="660"/>
      <c r="J85" s="952"/>
      <c r="K85" s="226"/>
      <c r="X85" s="692">
        <v>0</v>
      </c>
    </row>
    <row r="86" spans="1:24" s="1561" customFormat="1" ht="11.25" hidden="1" customHeight="1">
      <c r="A86" s="2293"/>
      <c r="B86" s="447"/>
      <c r="D86" s="601" t="s">
        <v>917</v>
      </c>
      <c r="E86" s="659" t="s">
        <v>918</v>
      </c>
      <c r="F86" s="596" t="s">
        <v>854</v>
      </c>
      <c r="G86" s="660"/>
      <c r="H86" s="952"/>
      <c r="I86" s="660"/>
      <c r="J86" s="952"/>
      <c r="K86" s="226"/>
      <c r="X86" s="692">
        <v>0</v>
      </c>
    </row>
    <row r="87" spans="1:24" s="1561" customFormat="1" ht="45" hidden="1" customHeight="1">
      <c r="A87" s="2293"/>
      <c r="B87" s="447"/>
      <c r="D87" s="601" t="s">
        <v>87</v>
      </c>
      <c r="E87" s="602" t="s">
        <v>919</v>
      </c>
      <c r="F87" s="596" t="s">
        <v>854</v>
      </c>
      <c r="G87" s="660"/>
      <c r="H87" s="952"/>
      <c r="I87" s="660"/>
      <c r="J87" s="952"/>
      <c r="K87" s="226" t="s">
        <v>920</v>
      </c>
      <c r="X87" s="692">
        <v>0</v>
      </c>
    </row>
    <row r="88" spans="1:24" s="1561" customFormat="1" ht="11.25" hidden="1" customHeight="1">
      <c r="A88" s="2293"/>
      <c r="B88" s="447"/>
      <c r="D88" s="601" t="s">
        <v>749</v>
      </c>
      <c r="E88" s="659" t="s">
        <v>909</v>
      </c>
      <c r="F88" s="596" t="s">
        <v>854</v>
      </c>
      <c r="G88" s="660"/>
      <c r="H88" s="952"/>
      <c r="I88" s="660"/>
      <c r="J88" s="952"/>
      <c r="K88" s="226"/>
      <c r="X88" s="692">
        <v>0</v>
      </c>
    </row>
    <row r="89" spans="1:24" s="1561" customFormat="1" ht="11.25" hidden="1" customHeight="1">
      <c r="A89" s="2293"/>
      <c r="B89" s="447"/>
      <c r="D89" s="601" t="s">
        <v>791</v>
      </c>
      <c r="E89" s="659" t="s">
        <v>910</v>
      </c>
      <c r="F89" s="596" t="s">
        <v>854</v>
      </c>
      <c r="G89" s="660"/>
      <c r="H89" s="952"/>
      <c r="I89" s="660"/>
      <c r="J89" s="952"/>
      <c r="K89" s="226"/>
      <c r="X89" s="692">
        <v>0</v>
      </c>
    </row>
    <row r="90" spans="1:24" s="1561" customFormat="1" ht="11.25" hidden="1" customHeight="1">
      <c r="A90" s="2293"/>
      <c r="B90" s="447"/>
      <c r="D90" s="601" t="s">
        <v>794</v>
      </c>
      <c r="E90" s="659" t="s">
        <v>911</v>
      </c>
      <c r="F90" s="596" t="s">
        <v>854</v>
      </c>
      <c r="G90" s="660"/>
      <c r="H90" s="952"/>
      <c r="I90" s="660"/>
      <c r="J90" s="952"/>
      <c r="K90" s="226"/>
      <c r="X90" s="692">
        <v>0</v>
      </c>
    </row>
    <row r="91" spans="1:24" s="1561" customFormat="1" ht="11.25" hidden="1" customHeight="1">
      <c r="A91" s="2293"/>
      <c r="B91" s="447"/>
      <c r="D91" s="601" t="s">
        <v>872</v>
      </c>
      <c r="E91" s="659" t="s">
        <v>912</v>
      </c>
      <c r="F91" s="596" t="s">
        <v>854</v>
      </c>
      <c r="G91" s="660"/>
      <c r="H91" s="952"/>
      <c r="I91" s="660"/>
      <c r="J91" s="952"/>
      <c r="K91" s="226"/>
      <c r="X91" s="692">
        <v>0</v>
      </c>
    </row>
    <row r="92" spans="1:24" s="1561" customFormat="1" ht="11.25" hidden="1" customHeight="1">
      <c r="A92" s="2293"/>
      <c r="B92" s="447"/>
      <c r="D92" s="601" t="s">
        <v>874</v>
      </c>
      <c r="E92" s="659" t="s">
        <v>914</v>
      </c>
      <c r="F92" s="596" t="s">
        <v>854</v>
      </c>
      <c r="G92" s="660"/>
      <c r="H92" s="952"/>
      <c r="I92" s="660"/>
      <c r="J92" s="952"/>
      <c r="K92" s="226"/>
      <c r="X92" s="692">
        <v>0</v>
      </c>
    </row>
    <row r="93" spans="1:24" s="1561" customFormat="1" ht="11.25" hidden="1" customHeight="1">
      <c r="A93" s="2293"/>
      <c r="B93" s="447"/>
      <c r="D93" s="601" t="s">
        <v>921</v>
      </c>
      <c r="E93" s="659" t="s">
        <v>916</v>
      </c>
      <c r="F93" s="596" t="s">
        <v>854</v>
      </c>
      <c r="G93" s="660"/>
      <c r="H93" s="952"/>
      <c r="I93" s="660"/>
      <c r="J93" s="952"/>
      <c r="K93" s="226"/>
      <c r="X93" s="692">
        <v>0</v>
      </c>
    </row>
    <row r="94" spans="1:24" s="1561" customFormat="1" ht="11.25" hidden="1" customHeight="1">
      <c r="A94" s="2293"/>
      <c r="B94" s="447"/>
      <c r="D94" s="601" t="s">
        <v>922</v>
      </c>
      <c r="E94" s="659" t="s">
        <v>918</v>
      </c>
      <c r="F94" s="596" t="s">
        <v>854</v>
      </c>
      <c r="G94" s="660"/>
      <c r="H94" s="952"/>
      <c r="I94" s="660"/>
      <c r="J94" s="952"/>
      <c r="K94" s="226"/>
      <c r="X94" s="692">
        <v>0</v>
      </c>
    </row>
    <row r="95" spans="1:24" s="1561" customFormat="1" ht="24.75" hidden="1" customHeight="1">
      <c r="A95" s="2293"/>
      <c r="B95" s="447"/>
      <c r="D95" s="601" t="s">
        <v>107</v>
      </c>
      <c r="E95" s="602" t="s">
        <v>923</v>
      </c>
      <c r="F95" s="661" t="s">
        <v>553</v>
      </c>
      <c r="G95" s="663"/>
      <c r="H95" s="952"/>
      <c r="I95" s="663"/>
      <c r="J95" s="952"/>
      <c r="K95" s="226" t="s">
        <v>924</v>
      </c>
      <c r="X95" s="692">
        <v>0</v>
      </c>
    </row>
    <row r="96" spans="1:24" s="1561" customFormat="1" ht="33.75" hidden="1" customHeight="1">
      <c r="A96" s="2293"/>
      <c r="B96" s="447"/>
      <c r="D96" s="601" t="s">
        <v>88</v>
      </c>
      <c r="E96" s="602" t="s">
        <v>925</v>
      </c>
      <c r="F96" s="662" t="s">
        <v>815</v>
      </c>
      <c r="G96" s="664"/>
      <c r="H96" s="952"/>
      <c r="I96" s="664"/>
      <c r="J96" s="952"/>
      <c r="K96" s="226"/>
      <c r="X96" s="692">
        <v>0</v>
      </c>
    </row>
    <row r="97" spans="1:24" s="1561" customFormat="1" ht="22.5" hidden="1" customHeight="1">
      <c r="A97" s="2293"/>
      <c r="B97" s="447" t="s">
        <v>583</v>
      </c>
      <c r="D97" s="601" t="s">
        <v>89</v>
      </c>
      <c r="E97" s="602" t="s">
        <v>926</v>
      </c>
      <c r="F97" s="662" t="s">
        <v>301</v>
      </c>
      <c r="G97" s="321"/>
      <c r="H97" s="952"/>
      <c r="I97" s="321"/>
      <c r="J97" s="952"/>
      <c r="K97" s="226" t="s">
        <v>626</v>
      </c>
      <c r="X97" s="692">
        <v>0</v>
      </c>
    </row>
    <row r="98" spans="1:24" s="1561" customFormat="1" ht="45" hidden="1" customHeight="1">
      <c r="A98" s="2293"/>
      <c r="B98" s="447" t="s">
        <v>583</v>
      </c>
      <c r="D98" s="601" t="s">
        <v>927</v>
      </c>
      <c r="E98" s="603" t="s">
        <v>928</v>
      </c>
      <c r="F98" s="657" t="s">
        <v>301</v>
      </c>
      <c r="G98" s="321"/>
      <c r="H98" s="952"/>
      <c r="I98" s="321"/>
      <c r="J98" s="952"/>
      <c r="K98" s="226" t="s">
        <v>626</v>
      </c>
      <c r="X98" s="692">
        <v>0</v>
      </c>
    </row>
    <row r="99" spans="1:24" s="1561" customFormat="1" ht="95.25" hidden="1" customHeight="1">
      <c r="A99" s="2293"/>
      <c r="B99" s="447" t="s">
        <v>583</v>
      </c>
      <c r="D99" s="601" t="s">
        <v>108</v>
      </c>
      <c r="E99" s="602" t="s">
        <v>929</v>
      </c>
      <c r="F99" s="657" t="s">
        <v>301</v>
      </c>
      <c r="G99" s="321"/>
      <c r="H99" s="952"/>
      <c r="I99" s="321"/>
      <c r="J99" s="952"/>
      <c r="K99" s="226" t="s">
        <v>626</v>
      </c>
      <c r="X99" s="692">
        <v>0</v>
      </c>
    </row>
    <row r="100" spans="1:24" s="1561" customFormat="1" ht="22.5" hidden="1" customHeight="1">
      <c r="A100" s="2293"/>
      <c r="B100" s="447" t="s">
        <v>583</v>
      </c>
      <c r="D100" s="601" t="s">
        <v>145</v>
      </c>
      <c r="E100" s="602" t="s">
        <v>930</v>
      </c>
      <c r="F100" s="657" t="s">
        <v>301</v>
      </c>
      <c r="G100" s="321"/>
      <c r="H100" s="952"/>
      <c r="I100" s="321"/>
      <c r="J100" s="952"/>
      <c r="K100" s="226" t="s">
        <v>626</v>
      </c>
      <c r="X100" s="692">
        <v>0</v>
      </c>
    </row>
    <row r="101" spans="1:24" s="1561" customFormat="1" ht="11.45" customHeight="1">
      <c r="A101" s="962"/>
      <c r="B101" s="454"/>
      <c r="D101" s="963"/>
      <c r="E101" s="964"/>
      <c r="X101" s="445">
        <v>11</v>
      </c>
    </row>
    <row r="102" spans="1:24" ht="22.5" hidden="1" customHeight="1">
      <c r="A102" s="472" t="s">
        <v>78</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I13" sqref="I13:I14"/>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4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0"/>
      <c r="F4" s="2050"/>
      <c r="G4" s="2050"/>
      <c r="H4" s="2050"/>
      <c r="I4" s="2051"/>
      <c r="J4" s="520"/>
      <c r="K4" s="520"/>
      <c r="L4" s="520"/>
      <c r="M4" s="520"/>
      <c r="AM4" s="519">
        <v>34</v>
      </c>
    </row>
    <row r="5" spans="1:39" s="525" customFormat="1" ht="14.65" customHeight="1">
      <c r="A5" s="521"/>
      <c r="B5" s="521"/>
      <c r="C5" s="521"/>
      <c r="D5" s="2052" t="str">
        <f>IF(org=0,"Не определено",org)</f>
        <v>ОП АО "Байкалэнерго" - "Саяногорские тепловые сети"</v>
      </c>
      <c r="E5" s="2053"/>
      <c r="F5" s="2053"/>
      <c r="G5" s="2053"/>
      <c r="H5" s="2053"/>
      <c r="I5" s="2054"/>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41"/>
      <c r="B6" s="2041"/>
      <c r="C6" s="2041"/>
      <c r="D6" s="2041"/>
      <c r="E6" s="2041"/>
      <c r="F6" s="2041"/>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5"/>
      <c r="B9" s="260"/>
      <c r="C9" s="260"/>
      <c r="D9" s="2056" t="s">
        <v>101</v>
      </c>
      <c r="E9" s="2056"/>
      <c r="F9" s="2057" t="s">
        <v>102</v>
      </c>
      <c r="G9" s="2058"/>
      <c r="H9" s="2058"/>
      <c r="I9" s="2058"/>
      <c r="J9" s="2061" t="s">
        <v>103</v>
      </c>
      <c r="K9" s="2061"/>
      <c r="L9" s="2061"/>
      <c r="M9" s="2061"/>
      <c r="AM9" s="519">
        <v>18</v>
      </c>
    </row>
    <row r="10" spans="1:39" ht="24" customHeight="1">
      <c r="A10" s="2055"/>
      <c r="B10" s="528"/>
      <c r="C10" s="461"/>
      <c r="D10" s="459" t="s">
        <v>84</v>
      </c>
      <c r="E10" s="459" t="s">
        <v>85</v>
      </c>
      <c r="F10" s="459" t="s">
        <v>104</v>
      </c>
      <c r="G10" s="2062" t="s">
        <v>84</v>
      </c>
      <c r="H10" s="2063"/>
      <c r="I10" s="459" t="s">
        <v>85</v>
      </c>
      <c r="J10" s="459" t="s">
        <v>104</v>
      </c>
      <c r="K10" s="2062" t="s">
        <v>84</v>
      </c>
      <c r="L10" s="2063"/>
      <c r="M10" s="459" t="s">
        <v>85</v>
      </c>
      <c r="N10" s="1553"/>
      <c r="AM10" s="519">
        <v>23</v>
      </c>
    </row>
    <row r="11" spans="1:39" s="1778" customFormat="1" ht="11.25" hidden="1" customHeight="1">
      <c r="A11" s="529"/>
      <c r="B11" s="529"/>
      <c r="C11" s="529"/>
      <c r="D11" s="530" t="s">
        <v>105</v>
      </c>
      <c r="E11" s="530" t="s">
        <v>106</v>
      </c>
      <c r="F11" s="530" t="s">
        <v>86</v>
      </c>
      <c r="G11" s="2045" t="s">
        <v>87</v>
      </c>
      <c r="H11" s="2046"/>
      <c r="I11" s="530" t="s">
        <v>107</v>
      </c>
      <c r="J11" s="530" t="s">
        <v>88</v>
      </c>
      <c r="K11" s="2047" t="s">
        <v>89</v>
      </c>
      <c r="L11" s="2048"/>
      <c r="M11" s="530" t="s">
        <v>108</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109</v>
      </c>
      <c r="P12" s="1339" t="s">
        <v>110</v>
      </c>
      <c r="Q12" s="1339" t="s">
        <v>111</v>
      </c>
      <c r="R12" s="1339" t="s">
        <v>112</v>
      </c>
      <c r="AM12" s="519">
        <v>1</v>
      </c>
    </row>
    <row r="13" spans="1:39" s="1778" customFormat="1" ht="15.75" customHeight="1">
      <c r="A13" s="230"/>
      <c r="B13" s="230"/>
      <c r="C13" s="462"/>
      <c r="D13" s="2067" t="s">
        <v>105</v>
      </c>
      <c r="E13" s="2068" t="str">
        <f>INDEX(VD_NAME_LIST,MATCH("4190072",VD_ID_LIST,0))</f>
        <v>Подключение (технологическое присоединение) к системе теплоснабжения</v>
      </c>
      <c r="F13" s="2071" t="s">
        <v>66</v>
      </c>
      <c r="G13" s="2072"/>
      <c r="H13" s="2073">
        <v>1</v>
      </c>
      <c r="I13" s="2064" t="str">
        <f>IF(U13="","",INDEX(TERRITORY_MR_LIST,MATCH(U13,TERRITORY_LIST_ID,0)))</f>
        <v>Территория 1</v>
      </c>
      <c r="J13" s="2066" t="s">
        <v>19</v>
      </c>
      <c r="K13" s="538"/>
      <c r="L13" s="463" t="s">
        <v>105</v>
      </c>
      <c r="M13" s="539" t="s">
        <v>22</v>
      </c>
      <c r="N13" s="742"/>
      <c r="O13" s="1342" t="s">
        <v>113</v>
      </c>
      <c r="P13" s="1339" t="str">
        <f>$E$13</f>
        <v>Подключение (технологическое присоединение) к системе теплоснабжения</v>
      </c>
      <c r="Q13" s="1339" t="str">
        <f>IF($F$13="нет","без дифференциации",$I$13)</f>
        <v>Территория 1</v>
      </c>
      <c r="R13" s="1339" t="str">
        <f>IF($J$13="нет","без дифференциации",M13)</f>
        <v>без дифференциации</v>
      </c>
      <c r="S13" s="1342"/>
      <c r="T13" s="1342"/>
      <c r="U13" s="1192" t="s">
        <v>94</v>
      </c>
      <c r="V13" s="1192" t="s">
        <v>114</v>
      </c>
      <c r="W13" s="1192"/>
      <c r="X13" s="1192"/>
      <c r="Y13" s="540" t="s">
        <v>115</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7"/>
      <c r="E14" s="2069"/>
      <c r="F14" s="2066"/>
      <c r="G14" s="2072"/>
      <c r="H14" s="2073"/>
      <c r="I14" s="2065"/>
      <c r="J14" s="2066"/>
      <c r="K14" s="357"/>
      <c r="L14" s="114"/>
      <c r="M14" s="543" t="s">
        <v>116</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7"/>
      <c r="E15" s="2070"/>
      <c r="F15" s="2066"/>
      <c r="G15" s="989"/>
      <c r="H15" s="990"/>
      <c r="I15" s="516" t="s">
        <v>117</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118</v>
      </c>
      <c r="F16" s="114"/>
      <c r="G16" s="114"/>
      <c r="H16" s="114"/>
      <c r="I16" s="114"/>
      <c r="J16" s="114"/>
      <c r="K16" s="114" t="s">
        <v>22</v>
      </c>
      <c r="L16" s="114"/>
      <c r="M16" s="544"/>
      <c r="N16" s="1553"/>
      <c r="AM16" s="519">
        <v>15</v>
      </c>
    </row>
    <row r="17" spans="1:39" ht="11.25" hidden="1" customHeight="1">
      <c r="A17" s="519" t="s">
        <v>78</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election activeCell="I38" sqref="I3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4"/>
      <c r="C3" s="2295" t="s">
        <v>684</v>
      </c>
      <c r="D3" s="625" t="str">
        <f>B3&amp;".1"</f>
        <v>.1</v>
      </c>
      <c r="E3" s="626" t="s">
        <v>931</v>
      </c>
      <c r="F3" s="627" t="s">
        <v>301</v>
      </c>
      <c r="G3" s="622"/>
      <c r="H3" s="337"/>
      <c r="I3" s="622"/>
      <c r="J3" s="337"/>
      <c r="K3" s="226" t="s">
        <v>932</v>
      </c>
      <c r="V3" s="441">
        <v>0</v>
      </c>
    </row>
    <row r="4" spans="1:22" ht="15" hidden="1" customHeight="1">
      <c r="A4" s="441"/>
      <c r="B4" s="2294"/>
      <c r="C4" s="2295"/>
      <c r="D4" s="625" t="str">
        <f>B3&amp;".2"</f>
        <v>.2</v>
      </c>
      <c r="E4" s="626" t="s">
        <v>933</v>
      </c>
      <c r="F4" s="627" t="s">
        <v>301</v>
      </c>
      <c r="G4" s="1664" t="s">
        <v>22</v>
      </c>
      <c r="H4" s="337"/>
      <c r="I4" s="1664" t="s">
        <v>22</v>
      </c>
      <c r="J4" s="337"/>
      <c r="K4" s="226" t="s">
        <v>934</v>
      </c>
      <c r="V4" s="441">
        <v>0</v>
      </c>
    </row>
    <row r="5" spans="1:22" s="1292" customFormat="1" ht="15" hidden="1" customHeight="1">
      <c r="C5" s="608"/>
      <c r="U5" s="356"/>
      <c r="V5" s="353">
        <v>0</v>
      </c>
    </row>
    <row r="6" spans="1:22" ht="22.5" hidden="1" customHeight="1">
      <c r="A6" s="441"/>
      <c r="B6" s="2294"/>
      <c r="C6" s="2295" t="s">
        <v>684</v>
      </c>
      <c r="D6" s="625" t="str">
        <f>B6&amp;".1"</f>
        <v>.1</v>
      </c>
      <c r="E6" s="626" t="s">
        <v>935</v>
      </c>
      <c r="F6" s="627" t="s">
        <v>301</v>
      </c>
      <c r="G6" s="622"/>
      <c r="H6" s="337"/>
      <c r="I6" s="622"/>
      <c r="J6" s="337"/>
      <c r="K6" s="226" t="s">
        <v>936</v>
      </c>
      <c r="V6" s="441">
        <v>0</v>
      </c>
    </row>
    <row r="7" spans="1:22" ht="15" hidden="1" customHeight="1">
      <c r="A7" s="441"/>
      <c r="B7" s="2294"/>
      <c r="C7" s="2295"/>
      <c r="D7" s="625" t="str">
        <f>B6&amp;".2"</f>
        <v>.2</v>
      </c>
      <c r="E7" s="626" t="s">
        <v>933</v>
      </c>
      <c r="F7" s="627" t="s">
        <v>301</v>
      </c>
      <c r="G7" s="1664" t="s">
        <v>22</v>
      </c>
      <c r="H7" s="337"/>
      <c r="I7" s="1664" t="s">
        <v>22</v>
      </c>
      <c r="J7" s="337"/>
      <c r="K7" s="226" t="s">
        <v>934</v>
      </c>
      <c r="V7" s="441">
        <v>0</v>
      </c>
    </row>
    <row r="8" spans="1:22" s="1292" customFormat="1" ht="15" hidden="1" customHeight="1">
      <c r="C8" s="608"/>
      <c r="U8" s="356"/>
      <c r="V8" s="353">
        <v>0</v>
      </c>
    </row>
    <row r="9" spans="1:22" ht="22.5" hidden="1" customHeight="1">
      <c r="A9" s="441"/>
      <c r="B9" s="2294"/>
      <c r="C9" s="2295" t="s">
        <v>684</v>
      </c>
      <c r="D9" s="625" t="str">
        <f>B9&amp;".1"</f>
        <v>.1</v>
      </c>
      <c r="E9" s="626" t="s">
        <v>937</v>
      </c>
      <c r="F9" s="627" t="s">
        <v>301</v>
      </c>
      <c r="G9" s="633" t="s">
        <v>22</v>
      </c>
      <c r="H9" s="337" t="s">
        <v>22</v>
      </c>
      <c r="I9" s="2016" t="s">
        <v>22</v>
      </c>
      <c r="J9" s="2017" t="s">
        <v>22</v>
      </c>
      <c r="K9" s="226"/>
      <c r="V9" s="441">
        <v>0</v>
      </c>
    </row>
    <row r="10" spans="1:22" ht="15" hidden="1" customHeight="1">
      <c r="A10" s="441"/>
      <c r="B10" s="2294"/>
      <c r="C10" s="2295"/>
      <c r="D10" s="625" t="str">
        <f>B9&amp;".2"</f>
        <v>.2</v>
      </c>
      <c r="E10" s="626" t="s">
        <v>938</v>
      </c>
      <c r="F10" s="627" t="s">
        <v>301</v>
      </c>
      <c r="G10" s="1658" t="s">
        <v>22</v>
      </c>
      <c r="H10" s="337" t="s">
        <v>22</v>
      </c>
      <c r="I10" s="2018" t="s">
        <v>22</v>
      </c>
      <c r="J10" s="2017" t="s">
        <v>22</v>
      </c>
      <c r="K10" s="226" t="s">
        <v>939</v>
      </c>
      <c r="V10" s="441">
        <v>0</v>
      </c>
    </row>
    <row r="11" spans="1:22" ht="15" hidden="1" customHeight="1">
      <c r="A11" s="441"/>
      <c r="B11" s="2294"/>
      <c r="C11" s="2295"/>
      <c r="D11" s="625" t="str">
        <f>B9&amp;".3"</f>
        <v>.3</v>
      </c>
      <c r="E11" s="626" t="s">
        <v>940</v>
      </c>
      <c r="F11" s="627" t="s">
        <v>301</v>
      </c>
      <c r="G11" s="1658" t="s">
        <v>22</v>
      </c>
      <c r="H11" s="337" t="s">
        <v>22</v>
      </c>
      <c r="I11" s="2018" t="s">
        <v>22</v>
      </c>
      <c r="J11" s="2017" t="s">
        <v>22</v>
      </c>
      <c r="K11" s="226" t="s">
        <v>941</v>
      </c>
      <c r="V11" s="441">
        <v>0</v>
      </c>
    </row>
    <row r="12" spans="1:22" s="1292" customFormat="1" ht="15" hidden="1" customHeight="1">
      <c r="C12" s="608"/>
      <c r="U12" s="356"/>
      <c r="V12" s="353">
        <v>0</v>
      </c>
    </row>
    <row r="13" spans="1:22" ht="33.75" hidden="1" customHeight="1">
      <c r="A13" s="441"/>
      <c r="B13" s="2294"/>
      <c r="C13" s="2295" t="s">
        <v>684</v>
      </c>
      <c r="D13" s="625" t="str">
        <f>B13&amp;".1"</f>
        <v>.1</v>
      </c>
      <c r="E13" s="626" t="s">
        <v>942</v>
      </c>
      <c r="F13" s="627" t="s">
        <v>301</v>
      </c>
      <c r="G13" s="633" t="s">
        <v>22</v>
      </c>
      <c r="H13" s="337" t="s">
        <v>22</v>
      </c>
      <c r="I13" s="2016" t="s">
        <v>22</v>
      </c>
      <c r="J13" s="2017" t="s">
        <v>22</v>
      </c>
      <c r="K13" s="226" t="s">
        <v>943</v>
      </c>
      <c r="V13" s="441">
        <v>0</v>
      </c>
    </row>
    <row r="14" spans="1:22" ht="15" hidden="1" customHeight="1">
      <c r="B14" s="2294"/>
      <c r="C14" s="2295"/>
      <c r="D14" s="625" t="str">
        <f>B13&amp;".2"</f>
        <v>.2</v>
      </c>
      <c r="E14" s="626" t="s">
        <v>944</v>
      </c>
      <c r="F14" s="627" t="s">
        <v>301</v>
      </c>
      <c r="G14" s="1658" t="s">
        <v>22</v>
      </c>
      <c r="H14" s="337" t="s">
        <v>22</v>
      </c>
      <c r="I14" s="2018" t="s">
        <v>22</v>
      </c>
      <c r="J14" s="2017" t="s">
        <v>22</v>
      </c>
      <c r="K14" s="226" t="s">
        <v>945</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5"/>
      <c r="F22" s="2165"/>
      <c r="G22" s="2165"/>
      <c r="H22" s="2165"/>
      <c r="I22" s="2165"/>
      <c r="J22" s="612"/>
      <c r="K22" s="473"/>
      <c r="V22" s="441">
        <v>22</v>
      </c>
    </row>
    <row r="23" spans="1:22" ht="15.75" customHeight="1">
      <c r="C23" s="113"/>
      <c r="D23" s="2137" t="str">
        <f>IF(org=0,"Не определено",org)</f>
        <v>ОП АО "Байкалэнерго" - "Саяногорские тепловые сети"</v>
      </c>
      <c r="E23" s="2137"/>
      <c r="F23" s="2137"/>
      <c r="G23" s="2137"/>
      <c r="H23" s="2137"/>
      <c r="I23" s="2137"/>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113</v>
      </c>
      <c r="J25" s="688"/>
      <c r="K25" s="353"/>
      <c r="U25" s="611"/>
      <c r="V25" s="692">
        <v>1</v>
      </c>
    </row>
    <row r="26" spans="1:22" ht="15.75" customHeight="1">
      <c r="C26" s="113"/>
      <c r="D26" s="647"/>
      <c r="E26" s="2271" t="s">
        <v>101</v>
      </c>
      <c r="F26" s="2272"/>
      <c r="G26" s="2296" t="str">
        <f>IF(G25="","",INDEX(DIFFERENTIATION_UNMERGE_VD,MATCH(G25,DIFFERENTIATION_ID_DIFF,0)))</f>
        <v/>
      </c>
      <c r="H26" s="2297"/>
      <c r="I26" s="2296" t="str">
        <f>IF(I25="","",INDEX(DIFFERENTIATION_UNMERGE_VD,MATCH(I25,DIFFERENTIATION_ID_DIFF,0)))</f>
        <v>Подключение (технологическое присоединение) к системе теплоснабжения</v>
      </c>
      <c r="J26" s="2297"/>
      <c r="K26" s="2115" t="s">
        <v>296</v>
      </c>
      <c r="V26" s="441">
        <v>15</v>
      </c>
    </row>
    <row r="27" spans="1:22" s="1561" customFormat="1" ht="15.75" customHeight="1">
      <c r="A27" s="693"/>
      <c r="C27" s="113"/>
      <c r="D27" s="647"/>
      <c r="E27" s="2271" t="s">
        <v>559</v>
      </c>
      <c r="F27" s="2272"/>
      <c r="G27" s="2296" t="str">
        <f>IF(G25="","",INDEX(DIFFERENTIATION_UNMERGE_AREA,MATCH(G25,DIFFERENTIATION_ID_DIFF,0)))</f>
        <v/>
      </c>
      <c r="H27" s="2297"/>
      <c r="I27" s="2296" t="str">
        <f>IF(I25="","",INDEX(DIFFERENTIATION_UNMERGE_AREA,MATCH(I25,DIFFERENTIATION_ID_DIFF,0)))</f>
        <v>Территория 1</v>
      </c>
      <c r="J27" s="2297"/>
      <c r="K27" s="2119"/>
      <c r="U27" s="611"/>
      <c r="V27" s="692">
        <v>15</v>
      </c>
    </row>
    <row r="28" spans="1:22" s="1561" customFormat="1" ht="15.75" customHeight="1">
      <c r="A28" s="693"/>
      <c r="C28" s="113"/>
      <c r="D28" s="647"/>
      <c r="E28" s="2271" t="s">
        <v>560</v>
      </c>
      <c r="F28" s="2272"/>
      <c r="G28" s="2296" t="str">
        <f>IF(G25="","",INDEX(DIFFERENTIATION_UNMERGE_SYSTEM,MATCH(G25,DIFFERENTIATION_ID_DIFF,0)))</f>
        <v/>
      </c>
      <c r="H28" s="2297"/>
      <c r="I28" s="2296" t="str">
        <f>IF(I25="","",INDEX(DIFFERENTIATION_UNMERGE_SYSTEM,MATCH(I25,DIFFERENTIATION_ID_DIFF,0)))</f>
        <v>без дифференциации</v>
      </c>
      <c r="J28" s="2297"/>
      <c r="K28" s="2119"/>
      <c r="U28" s="611"/>
      <c r="V28" s="692">
        <v>15</v>
      </c>
    </row>
    <row r="29" spans="1:22" s="1561" customFormat="1" ht="15.75" customHeight="1">
      <c r="A29" s="693"/>
      <c r="C29" s="113"/>
      <c r="D29" s="2273" t="s">
        <v>295</v>
      </c>
      <c r="E29" s="2274"/>
      <c r="F29" s="2274"/>
      <c r="G29" s="816"/>
      <c r="H29" s="816"/>
      <c r="I29" s="816"/>
      <c r="J29" s="817"/>
      <c r="K29" s="2119"/>
      <c r="U29" s="611"/>
      <c r="V29" s="692">
        <v>15</v>
      </c>
    </row>
    <row r="30" spans="1:22" ht="35.65" customHeight="1">
      <c r="C30" s="113"/>
      <c r="D30" s="695" t="s">
        <v>84</v>
      </c>
      <c r="E30" s="694" t="s">
        <v>297</v>
      </c>
      <c r="F30" s="694" t="s">
        <v>561</v>
      </c>
      <c r="G30" s="738" t="s">
        <v>298</v>
      </c>
      <c r="H30" s="737" t="s">
        <v>385</v>
      </c>
      <c r="I30" s="620" t="s">
        <v>298</v>
      </c>
      <c r="J30" s="401" t="s">
        <v>385</v>
      </c>
      <c r="K30" s="2122"/>
      <c r="V30" s="441">
        <v>34</v>
      </c>
    </row>
    <row r="31" spans="1:22" ht="15" hidden="1" customHeight="1">
      <c r="C31" s="113"/>
      <c r="D31" s="529"/>
      <c r="E31" s="529"/>
      <c r="F31" s="529"/>
      <c r="G31" s="595"/>
      <c r="H31" s="595"/>
      <c r="I31" s="595"/>
      <c r="J31" s="595"/>
      <c r="K31" s="226"/>
      <c r="V31" s="441">
        <v>0</v>
      </c>
    </row>
    <row r="32" spans="1:22" ht="24" customHeight="1">
      <c r="A32" s="441"/>
      <c r="B32" s="441" t="s">
        <v>946</v>
      </c>
      <c r="C32" s="462"/>
      <c r="D32" s="628">
        <v>1</v>
      </c>
      <c r="E32" s="629" t="s">
        <v>947</v>
      </c>
      <c r="F32" s="627" t="s">
        <v>301</v>
      </c>
      <c r="G32" s="743" t="s">
        <v>301</v>
      </c>
      <c r="H32" s="743" t="s">
        <v>301</v>
      </c>
      <c r="I32" s="627" t="s">
        <v>301</v>
      </c>
      <c r="J32" s="627" t="s">
        <v>301</v>
      </c>
      <c r="K32" s="226"/>
      <c r="V32" s="441">
        <v>23</v>
      </c>
    </row>
    <row r="33" spans="1:22" ht="11.45" customHeight="1">
      <c r="A33" s="441"/>
      <c r="C33" s="441"/>
      <c r="D33" s="284"/>
      <c r="E33" s="516" t="s">
        <v>581</v>
      </c>
      <c r="F33" s="508"/>
      <c r="G33" s="508"/>
      <c r="H33" s="508"/>
      <c r="I33" s="508"/>
      <c r="J33" s="508"/>
      <c r="K33" s="509"/>
      <c r="U33" s="441"/>
      <c r="V33" s="441">
        <v>11</v>
      </c>
    </row>
    <row r="34" spans="1:22" ht="24" customHeight="1">
      <c r="A34" s="441"/>
      <c r="B34" s="517" t="s">
        <v>631</v>
      </c>
      <c r="C34" s="462"/>
      <c r="D34" s="628">
        <v>2</v>
      </c>
      <c r="E34" s="629" t="s">
        <v>948</v>
      </c>
      <c r="F34" s="750" t="s">
        <v>301</v>
      </c>
      <c r="G34" s="750" t="s">
        <v>301</v>
      </c>
      <c r="H34" s="750" t="s">
        <v>301</v>
      </c>
      <c r="I34" s="627"/>
      <c r="J34" s="627"/>
      <c r="K34" s="226"/>
      <c r="V34" s="441">
        <v>23</v>
      </c>
    </row>
    <row r="35" spans="1:22" ht="11.45" customHeight="1">
      <c r="A35" s="441"/>
      <c r="C35" s="441"/>
      <c r="D35" s="284"/>
      <c r="E35" s="516" t="s">
        <v>949</v>
      </c>
      <c r="F35" s="508"/>
      <c r="G35" s="630"/>
      <c r="H35" s="508"/>
      <c r="I35" s="630"/>
      <c r="J35" s="508"/>
      <c r="K35" s="509"/>
      <c r="U35" s="441"/>
      <c r="V35" s="441">
        <v>11</v>
      </c>
    </row>
    <row r="36" spans="1:22" ht="71.25" customHeight="1">
      <c r="A36" s="441"/>
      <c r="B36" s="441" t="s">
        <v>950</v>
      </c>
      <c r="C36" s="462"/>
      <c r="D36" s="628">
        <v>3</v>
      </c>
      <c r="E36" s="629" t="s">
        <v>951</v>
      </c>
      <c r="F36" s="631" t="s">
        <v>301</v>
      </c>
      <c r="G36" s="744" t="s">
        <v>952</v>
      </c>
      <c r="H36" s="743" t="s">
        <v>301</v>
      </c>
      <c r="I36" s="460" t="s">
        <v>953</v>
      </c>
      <c r="J36" s="627" t="s">
        <v>301</v>
      </c>
      <c r="K36" s="226" t="s">
        <v>954</v>
      </c>
      <c r="V36" s="441">
        <v>68</v>
      </c>
    </row>
    <row r="37" spans="1:22" ht="11.45" customHeight="1">
      <c r="A37" s="441"/>
      <c r="C37" s="441"/>
      <c r="D37" s="284"/>
      <c r="E37" s="516" t="s">
        <v>955</v>
      </c>
      <c r="F37" s="508"/>
      <c r="G37" s="630"/>
      <c r="H37" s="630"/>
      <c r="I37" s="630"/>
      <c r="J37" s="630"/>
      <c r="K37" s="509"/>
      <c r="U37" s="441"/>
      <c r="V37" s="441">
        <v>11</v>
      </c>
    </row>
    <row r="38" spans="1:22" ht="71.25" customHeight="1">
      <c r="A38" s="441"/>
      <c r="B38" s="441" t="s">
        <v>956</v>
      </c>
      <c r="C38" s="462"/>
      <c r="D38" s="628">
        <v>4</v>
      </c>
      <c r="E38" s="629" t="s">
        <v>957</v>
      </c>
      <c r="F38" s="631" t="s">
        <v>301</v>
      </c>
      <c r="G38" s="744" t="s">
        <v>952</v>
      </c>
      <c r="H38" s="745" t="s">
        <v>301</v>
      </c>
      <c r="I38" s="460" t="s">
        <v>953</v>
      </c>
      <c r="J38" s="457" t="s">
        <v>301</v>
      </c>
      <c r="K38" s="615" t="s">
        <v>958</v>
      </c>
      <c r="V38" s="441">
        <v>68</v>
      </c>
    </row>
    <row r="39" spans="1:22" ht="11.45" customHeight="1">
      <c r="A39" s="441"/>
      <c r="C39" s="441"/>
      <c r="D39" s="284"/>
      <c r="E39" s="516" t="s">
        <v>959</v>
      </c>
      <c r="F39" s="508"/>
      <c r="G39" s="508"/>
      <c r="H39" s="632"/>
      <c r="I39" s="508"/>
      <c r="J39" s="632"/>
      <c r="K39" s="509"/>
      <c r="U39" s="441"/>
      <c r="V39" s="441">
        <v>11</v>
      </c>
    </row>
    <row r="40" spans="1:22" ht="22.5" hidden="1" customHeight="1">
      <c r="A40" s="385" t="s">
        <v>78</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960</v>
      </c>
      <c r="H3" s="1082"/>
      <c r="AE3" s="693">
        <v>0</v>
      </c>
    </row>
    <row r="4" spans="1:31" ht="3" customHeight="1">
      <c r="AE4" s="692">
        <v>3</v>
      </c>
    </row>
    <row r="5" spans="1:31" ht="27.4"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M5" s="518"/>
      <c r="AB5" s="835"/>
      <c r="AE5" s="692">
        <v>26</v>
      </c>
    </row>
    <row r="6" spans="1:31" s="1561" customFormat="1" ht="16.899999999999999" customHeight="1">
      <c r="A6" s="1092"/>
      <c r="B6" s="1092"/>
      <c r="C6" s="1092"/>
      <c r="D6" s="1086"/>
      <c r="F6" s="2137" t="str">
        <f>IF(org=0,"Не определено",org)</f>
        <v>ОП АО "Байкалэнерго" - "Саяногорские тепловые сети"</v>
      </c>
      <c r="G6" s="2137"/>
      <c r="H6" s="2137"/>
      <c r="I6" s="2137"/>
      <c r="J6" s="2137"/>
      <c r="K6" s="2137"/>
      <c r="M6" s="518"/>
      <c r="AB6" s="1074"/>
      <c r="AE6" s="1557">
        <v>16</v>
      </c>
    </row>
    <row r="7" spans="1:31" ht="10.5" customHeight="1">
      <c r="AE7" s="692">
        <v>10</v>
      </c>
    </row>
    <row r="8" spans="1:31" ht="10.5" customHeight="1">
      <c r="A8" s="980"/>
      <c r="B8" s="980"/>
      <c r="C8" s="980"/>
      <c r="F8" s="2038" t="s">
        <v>295</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2">
        <v>10</v>
      </c>
    </row>
    <row r="9" spans="1:31" ht="43.15" customHeight="1">
      <c r="A9" s="834"/>
      <c r="B9" s="834"/>
      <c r="C9" s="834"/>
      <c r="F9" s="2056" t="s">
        <v>84</v>
      </c>
      <c r="G9" s="2056" t="s">
        <v>960</v>
      </c>
      <c r="H9" s="2115" t="s">
        <v>961</v>
      </c>
      <c r="I9" s="2056" t="s">
        <v>962</v>
      </c>
      <c r="J9" s="2056" t="s">
        <v>963</v>
      </c>
      <c r="K9" s="2056" t="s">
        <v>964</v>
      </c>
      <c r="L9" s="2056" t="s">
        <v>965</v>
      </c>
      <c r="M9" s="2056" t="s">
        <v>966</v>
      </c>
      <c r="N9" s="2145" t="s">
        <v>967</v>
      </c>
      <c r="O9" s="2145"/>
      <c r="P9" s="2145"/>
      <c r="Q9" s="2198" t="s">
        <v>968</v>
      </c>
      <c r="R9" s="2199"/>
      <c r="S9" s="2199"/>
      <c r="T9" s="2200"/>
      <c r="U9" s="2198" t="s">
        <v>969</v>
      </c>
      <c r="V9" s="2199"/>
      <c r="W9" s="2199"/>
      <c r="X9" s="2200"/>
      <c r="Y9" s="2038" t="s">
        <v>970</v>
      </c>
      <c r="Z9" s="2043"/>
      <c r="AA9" s="2043"/>
      <c r="AB9" s="2037"/>
      <c r="AE9" s="692">
        <v>41</v>
      </c>
    </row>
    <row r="10" spans="1:31" ht="43.15" customHeight="1">
      <c r="A10" s="834"/>
      <c r="B10" s="834"/>
      <c r="C10" s="834"/>
      <c r="F10" s="2115"/>
      <c r="G10" s="2115"/>
      <c r="H10" s="2170"/>
      <c r="I10" s="2115"/>
      <c r="J10" s="2115"/>
      <c r="K10" s="2115"/>
      <c r="L10" s="2115"/>
      <c r="M10" s="2115"/>
      <c r="N10" s="832" t="s">
        <v>971</v>
      </c>
      <c r="O10" s="832" t="s">
        <v>972</v>
      </c>
      <c r="P10" s="833" t="s">
        <v>973</v>
      </c>
      <c r="Q10" s="844" t="s">
        <v>85</v>
      </c>
      <c r="R10" s="844" t="s">
        <v>974</v>
      </c>
      <c r="S10" s="844" t="s">
        <v>975</v>
      </c>
      <c r="T10" s="845" t="s">
        <v>976</v>
      </c>
      <c r="U10" s="844" t="s">
        <v>85</v>
      </c>
      <c r="V10" s="844" t="s">
        <v>977</v>
      </c>
      <c r="W10" s="844" t="s">
        <v>975</v>
      </c>
      <c r="X10" s="845" t="s">
        <v>976</v>
      </c>
      <c r="Y10" s="238" t="s">
        <v>978</v>
      </c>
      <c r="Z10" s="2038" t="s">
        <v>84</v>
      </c>
      <c r="AA10" s="2037"/>
      <c r="AB10" s="978" t="s">
        <v>979</v>
      </c>
      <c r="AE10" s="692">
        <v>41</v>
      </c>
    </row>
    <row r="11" spans="1:31" s="1568" customFormat="1" ht="5.25" hidden="1" customHeight="1">
      <c r="A11" s="981"/>
      <c r="B11" s="981"/>
      <c r="C11" s="981"/>
      <c r="E11" s="979"/>
      <c r="F11" s="2300" t="s">
        <v>371</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7" t="s">
        <v>980</v>
      </c>
      <c r="AE11" s="447">
        <v>0</v>
      </c>
    </row>
    <row r="12" spans="1:31" s="1568" customFormat="1" ht="5.25" hidden="1" customHeight="1">
      <c r="A12" s="825"/>
      <c r="B12" s="825"/>
      <c r="C12" s="825"/>
      <c r="E12" s="454"/>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7">
        <v>0</v>
      </c>
    </row>
    <row r="13" spans="1:31" ht="10.5" customHeight="1">
      <c r="F13" s="831"/>
      <c r="G13" s="586" t="s">
        <v>981</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78</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L5" s="1061"/>
      <c r="M5" s="1061"/>
      <c r="AG5" s="835"/>
      <c r="AH5" s="1074"/>
      <c r="BG5" s="692">
        <v>26</v>
      </c>
    </row>
    <row r="6" spans="1:59" ht="10.5" customHeight="1">
      <c r="F6" s="2137" t="str">
        <f>IF(org=0,"Не определено",org)</f>
        <v>ОП АО "Байкалэнерго" - "Саяногорские тепловые сети"</v>
      </c>
      <c r="G6" s="2137"/>
      <c r="H6" s="2137"/>
      <c r="I6" s="2137"/>
      <c r="J6" s="2137"/>
      <c r="K6" s="2137"/>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5" t="s">
        <v>295</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5" t="s">
        <v>982</v>
      </c>
      <c r="G9" s="2246" t="s">
        <v>983</v>
      </c>
      <c r="H9" s="2287"/>
      <c r="I9" s="2056" t="s">
        <v>984</v>
      </c>
      <c r="J9" s="2056"/>
      <c r="K9" s="2056" t="s">
        <v>985</v>
      </c>
      <c r="L9" s="2056"/>
      <c r="M9" s="2056"/>
      <c r="N9" s="2056"/>
      <c r="O9" s="2056"/>
      <c r="P9" s="2056"/>
      <c r="Q9" s="2056"/>
      <c r="R9" s="2056"/>
      <c r="S9" s="2056"/>
      <c r="T9" s="2056"/>
      <c r="U9" s="2056"/>
      <c r="V9" s="2056"/>
      <c r="W9" s="2056"/>
      <c r="X9" s="2056"/>
      <c r="Y9" s="2056"/>
      <c r="Z9" s="2116" t="s">
        <v>986</v>
      </c>
      <c r="AA9" s="2117"/>
      <c r="AB9" s="2056" t="s">
        <v>987</v>
      </c>
      <c r="AC9" s="2056"/>
      <c r="AD9" s="2056"/>
      <c r="AE9" s="2056"/>
      <c r="AF9" s="2115" t="s">
        <v>988</v>
      </c>
      <c r="AG9" s="2056" t="s">
        <v>989</v>
      </c>
      <c r="AH9" s="2056"/>
      <c r="AI9" s="2115" t="s">
        <v>990</v>
      </c>
      <c r="AJ9" s="2056" t="s">
        <v>991</v>
      </c>
      <c r="AK9" s="2056"/>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45"/>
      <c r="G10" s="2247"/>
      <c r="H10" s="2149"/>
      <c r="I10" s="2056"/>
      <c r="J10" s="2056"/>
      <c r="K10" s="2056" t="s">
        <v>992</v>
      </c>
      <c r="L10" s="2038" t="s">
        <v>993</v>
      </c>
      <c r="M10" s="2037"/>
      <c r="N10" s="2056" t="s">
        <v>994</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45"/>
      <c r="G11" s="2247"/>
      <c r="H11" s="2149"/>
      <c r="I11" s="2056"/>
      <c r="J11" s="2056"/>
      <c r="K11" s="2056"/>
      <c r="L11" s="2115" t="s">
        <v>995</v>
      </c>
      <c r="M11" s="2115" t="s">
        <v>996</v>
      </c>
      <c r="N11" s="2056" t="s">
        <v>997</v>
      </c>
      <c r="O11" s="2056"/>
      <c r="P11" s="2113" t="s">
        <v>978</v>
      </c>
      <c r="Q11" s="2113" t="s">
        <v>998</v>
      </c>
      <c r="R11" s="2113" t="s">
        <v>999</v>
      </c>
      <c r="S11" s="2113" t="s">
        <v>1000</v>
      </c>
      <c r="T11" s="2113"/>
      <c r="U11" s="2113"/>
      <c r="V11" s="2113"/>
      <c r="W11" s="2113"/>
      <c r="X11" s="2113"/>
      <c r="Y11" s="2113"/>
      <c r="Z11" s="2118"/>
      <c r="AA11" s="2119"/>
      <c r="AB11" s="2056" t="s">
        <v>1001</v>
      </c>
      <c r="AC11" s="2056"/>
      <c r="AD11" s="2038" t="s">
        <v>1002</v>
      </c>
      <c r="AE11" s="2037"/>
      <c r="AF11" s="2120"/>
      <c r="AG11" s="2056"/>
      <c r="AH11" s="2056"/>
      <c r="AI11" s="2120"/>
      <c r="AJ11" s="2056"/>
      <c r="AK11" s="2056"/>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5"/>
      <c r="G12" s="2248"/>
      <c r="H12" s="2304"/>
      <c r="I12" s="1079" t="s">
        <v>85</v>
      </c>
      <c r="J12" s="1079" t="s">
        <v>1003</v>
      </c>
      <c r="K12" s="2056"/>
      <c r="L12" s="2170"/>
      <c r="M12" s="2170"/>
      <c r="N12" s="2056"/>
      <c r="O12" s="2056"/>
      <c r="P12" s="2113"/>
      <c r="Q12" s="2113"/>
      <c r="R12" s="2113"/>
      <c r="S12" s="1060" t="s">
        <v>82</v>
      </c>
      <c r="T12" s="1060" t="s">
        <v>83</v>
      </c>
      <c r="U12" s="1060" t="s">
        <v>81</v>
      </c>
      <c r="V12" s="1060" t="s">
        <v>1004</v>
      </c>
      <c r="W12" s="1060" t="s">
        <v>81</v>
      </c>
      <c r="X12" s="1060" t="s">
        <v>1005</v>
      </c>
      <c r="Y12" s="1060" t="s">
        <v>1006</v>
      </c>
      <c r="Z12" s="2121"/>
      <c r="AA12" s="2122"/>
      <c r="AB12" s="1067" t="s">
        <v>1007</v>
      </c>
      <c r="AC12" s="1067" t="s">
        <v>1008</v>
      </c>
      <c r="AD12" s="1067" t="s">
        <v>1007</v>
      </c>
      <c r="AE12" s="1067" t="s">
        <v>1008</v>
      </c>
      <c r="AF12" s="2170"/>
      <c r="AG12" s="1080" t="s">
        <v>1009</v>
      </c>
      <c r="AH12" s="1080" t="s">
        <v>1010</v>
      </c>
      <c r="AI12" s="2170"/>
      <c r="AJ12" s="1080" t="s">
        <v>1009</v>
      </c>
      <c r="AK12" s="1080" t="s">
        <v>1010</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1011</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3"/>
      <c r="G17" s="2303"/>
      <c r="H17" s="2303"/>
      <c r="I17" s="2303"/>
      <c r="J17" s="2303"/>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3"/>
      <c r="G18" s="2303"/>
      <c r="H18" s="2303"/>
      <c r="I18" s="2303"/>
      <c r="J18" s="2303"/>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3"/>
      <c r="G19" s="2303"/>
      <c r="H19" s="2303"/>
      <c r="I19" s="2303"/>
      <c r="J19" s="2303"/>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78</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6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5"/>
      <c r="H5" s="2165"/>
      <c r="I5" s="2165"/>
      <c r="J5" s="2165"/>
      <c r="W5" s="1081">
        <v>26</v>
      </c>
    </row>
    <row r="6" spans="1:23" ht="10.5" customHeight="1">
      <c r="F6" s="2137" t="str">
        <f>IF(org=0,"Не определено",org)</f>
        <v>ОП АО "Байкалэнерго" - "Саяногорские тепловые сети"</v>
      </c>
      <c r="G6" s="2137"/>
      <c r="H6" s="2137"/>
      <c r="I6" s="2137"/>
      <c r="J6" s="2137"/>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8" t="s">
        <v>295</v>
      </c>
      <c r="G9" s="2309"/>
      <c r="H9" s="2309"/>
      <c r="I9" s="2309"/>
      <c r="J9" s="2309"/>
      <c r="K9" s="1166"/>
      <c r="L9" s="1083"/>
      <c r="M9" s="1083"/>
      <c r="N9" s="1083"/>
      <c r="O9" s="1083"/>
      <c r="P9" s="1083"/>
      <c r="Q9" s="1083"/>
      <c r="R9" s="1083"/>
      <c r="S9" s="1083"/>
      <c r="T9" s="1083"/>
      <c r="U9" s="1083"/>
      <c r="V9" s="1083"/>
      <c r="W9" s="1081">
        <v>10</v>
      </c>
    </row>
    <row r="10" spans="1:23" ht="25.15" customHeight="1">
      <c r="E10" s="1083"/>
      <c r="F10" s="2312" t="s">
        <v>84</v>
      </c>
      <c r="G10" s="2316" t="s">
        <v>1012</v>
      </c>
      <c r="H10" s="2298" t="s">
        <v>1013</v>
      </c>
      <c r="I10" s="2298"/>
      <c r="J10" s="2298"/>
      <c r="K10" s="1159"/>
      <c r="L10" s="1083"/>
      <c r="M10" s="1083"/>
      <c r="N10" s="1083"/>
      <c r="O10" s="1083"/>
      <c r="P10" s="1083"/>
      <c r="Q10" s="1083"/>
      <c r="R10" s="1083"/>
      <c r="S10" s="1083"/>
      <c r="T10" s="1083"/>
      <c r="U10" s="1083"/>
      <c r="V10" s="1083"/>
      <c r="W10" s="1081">
        <v>24</v>
      </c>
    </row>
    <row r="11" spans="1:23" ht="25.5" customHeight="1">
      <c r="E11" s="1083"/>
      <c r="F11" s="2313"/>
      <c r="G11" s="2316"/>
      <c r="H11" s="2315" t="e">
        <f>INDEX(IP_MAIN_LIST_NAME_IP,MATCH(H8,IP_MAIN_LIST_IP_ID,0))&amp;" ("&amp;INDEX(IP_MAIN_START_DATE,MATCH(H8,IP_MAIN_LIST_IP_ID,0))&amp;"-"&amp;INDEX(IP_MAIN_END_DATE,MATCH(H8,IP_MAIN_LIST_IP_ID,0))&amp;")"</f>
        <v>#N/A</v>
      </c>
      <c r="I11" s="2315"/>
      <c r="J11" s="2315"/>
      <c r="K11" s="1159"/>
      <c r="L11" s="1083"/>
      <c r="M11" s="1083"/>
      <c r="N11" s="1083"/>
      <c r="O11" s="1083"/>
      <c r="P11" s="1083"/>
      <c r="Q11" s="1083"/>
      <c r="R11" s="1083"/>
      <c r="S11" s="1083"/>
      <c r="T11" s="1083"/>
      <c r="U11" s="1083"/>
      <c r="V11" s="1083"/>
      <c r="W11" s="1081">
        <v>24</v>
      </c>
    </row>
    <row r="12" spans="1:23" ht="10.5" customHeight="1">
      <c r="F12" s="2314"/>
      <c r="G12" s="2316"/>
      <c r="H12" s="1152" t="s">
        <v>1014</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1015</v>
      </c>
      <c r="G14" s="2310" t="s">
        <v>1016</v>
      </c>
      <c r="H14" s="2310"/>
      <c r="I14" s="2310"/>
      <c r="J14" s="2310"/>
      <c r="K14" s="1160"/>
      <c r="W14" s="1081">
        <v>11</v>
      </c>
    </row>
    <row r="15" spans="1:23" ht="11.45" customHeight="1">
      <c r="F15" s="1156">
        <v>1</v>
      </c>
      <c r="G15" s="626" t="s">
        <v>1017</v>
      </c>
      <c r="H15" s="1162">
        <f t="shared" ref="H15:H36" si="0">SUM(I15:J15)</f>
        <v>0</v>
      </c>
      <c r="I15" s="1162">
        <f>SUM(I16:I27)</f>
        <v>0</v>
      </c>
      <c r="J15" s="1151"/>
      <c r="K15" s="1160"/>
      <c r="W15" s="1081">
        <v>11</v>
      </c>
    </row>
    <row r="16" spans="1:23" ht="24" customHeight="1">
      <c r="F16" s="1156" t="s">
        <v>1018</v>
      </c>
      <c r="G16" s="1163" t="s">
        <v>1019</v>
      </c>
      <c r="H16" s="1162">
        <f t="shared" si="0"/>
        <v>0</v>
      </c>
      <c r="I16" s="1161"/>
      <c r="J16" s="1151"/>
      <c r="K16" s="1160"/>
      <c r="W16" s="1081">
        <v>23</v>
      </c>
    </row>
    <row r="17" spans="6:23" ht="24" customHeight="1">
      <c r="F17" s="1156" t="s">
        <v>1020</v>
      </c>
      <c r="G17" s="1163" t="s">
        <v>1021</v>
      </c>
      <c r="H17" s="1162">
        <f t="shared" si="0"/>
        <v>0</v>
      </c>
      <c r="I17" s="1161"/>
      <c r="J17" s="1151"/>
      <c r="K17" s="1160"/>
      <c r="W17" s="1081">
        <v>23</v>
      </c>
    </row>
    <row r="18" spans="6:23" ht="35.65" customHeight="1">
      <c r="F18" s="1156" t="s">
        <v>1022</v>
      </c>
      <c r="G18" s="1163" t="s">
        <v>1023</v>
      </c>
      <c r="H18" s="1162">
        <f t="shared" si="0"/>
        <v>0</v>
      </c>
      <c r="I18" s="1161"/>
      <c r="J18" s="1151"/>
      <c r="K18" s="1160"/>
      <c r="W18" s="1081">
        <v>34</v>
      </c>
    </row>
    <row r="19" spans="6:23" ht="35.65" customHeight="1">
      <c r="F19" s="1156" t="s">
        <v>1024</v>
      </c>
      <c r="G19" s="1163" t="s">
        <v>1025</v>
      </c>
      <c r="H19" s="1162">
        <f t="shared" si="0"/>
        <v>0</v>
      </c>
      <c r="I19" s="1161"/>
      <c r="J19" s="1151"/>
      <c r="K19" s="1160"/>
      <c r="W19" s="1081">
        <v>34</v>
      </c>
    </row>
    <row r="20" spans="6:23" ht="48.2" customHeight="1">
      <c r="F20" s="1156" t="s">
        <v>1026</v>
      </c>
      <c r="G20" s="1163" t="s">
        <v>1027</v>
      </c>
      <c r="H20" s="1162">
        <f t="shared" si="0"/>
        <v>0</v>
      </c>
      <c r="I20" s="1161"/>
      <c r="J20" s="1151"/>
      <c r="K20" s="1160"/>
      <c r="W20" s="1081">
        <v>46</v>
      </c>
    </row>
    <row r="21" spans="6:23" ht="35.65" customHeight="1">
      <c r="F21" s="1156" t="s">
        <v>1028</v>
      </c>
      <c r="G21" s="1163" t="s">
        <v>1029</v>
      </c>
      <c r="H21" s="1162">
        <f t="shared" si="0"/>
        <v>0</v>
      </c>
      <c r="I21" s="1161"/>
      <c r="J21" s="1151"/>
      <c r="K21" s="1160"/>
      <c r="W21" s="1081">
        <v>34</v>
      </c>
    </row>
    <row r="22" spans="6:23" ht="35.65" customHeight="1">
      <c r="F22" s="1156" t="s">
        <v>1030</v>
      </c>
      <c r="G22" s="1163" t="s">
        <v>1031</v>
      </c>
      <c r="H22" s="1162">
        <f t="shared" si="0"/>
        <v>0</v>
      </c>
      <c r="I22" s="1161"/>
      <c r="J22" s="1151"/>
      <c r="K22" s="1160"/>
      <c r="W22" s="1081">
        <v>34</v>
      </c>
    </row>
    <row r="23" spans="6:23" ht="24" customHeight="1">
      <c r="F23" s="1156" t="s">
        <v>1032</v>
      </c>
      <c r="G23" s="1163" t="s">
        <v>1033</v>
      </c>
      <c r="H23" s="1162">
        <f t="shared" si="0"/>
        <v>0</v>
      </c>
      <c r="I23" s="1161"/>
      <c r="J23" s="1151"/>
      <c r="K23" s="1160"/>
      <c r="W23" s="1081">
        <v>23</v>
      </c>
    </row>
    <row r="24" spans="6:23" ht="24" customHeight="1">
      <c r="F24" s="1156" t="s">
        <v>1034</v>
      </c>
      <c r="G24" s="1163" t="s">
        <v>1035</v>
      </c>
      <c r="H24" s="1162">
        <f t="shared" si="0"/>
        <v>0</v>
      </c>
      <c r="I24" s="1161"/>
      <c r="J24" s="1151"/>
      <c r="K24" s="1160"/>
      <c r="W24" s="1081">
        <v>23</v>
      </c>
    </row>
    <row r="25" spans="6:23" ht="35.65" customHeight="1">
      <c r="F25" s="1156" t="s">
        <v>1036</v>
      </c>
      <c r="G25" s="1163" t="s">
        <v>1037</v>
      </c>
      <c r="H25" s="1162">
        <f t="shared" si="0"/>
        <v>0</v>
      </c>
      <c r="I25" s="1161"/>
      <c r="J25" s="1151"/>
      <c r="K25" s="1160"/>
      <c r="W25" s="1081">
        <v>34</v>
      </c>
    </row>
    <row r="26" spans="6:23" ht="35.65" customHeight="1">
      <c r="F26" s="1156" t="s">
        <v>1038</v>
      </c>
      <c r="G26" s="1163" t="s">
        <v>1039</v>
      </c>
      <c r="H26" s="1162">
        <f t="shared" si="0"/>
        <v>0</v>
      </c>
      <c r="I26" s="1161"/>
      <c r="J26" s="1151"/>
      <c r="K26" s="1160"/>
      <c r="W26" s="1081">
        <v>34</v>
      </c>
    </row>
    <row r="27" spans="6:23" ht="11.45" customHeight="1">
      <c r="F27" s="1156" t="s">
        <v>1040</v>
      </c>
      <c r="G27" s="1163" t="s">
        <v>1041</v>
      </c>
      <c r="H27" s="1162">
        <f t="shared" si="0"/>
        <v>0</v>
      </c>
      <c r="I27" s="1161"/>
      <c r="J27" s="1151"/>
      <c r="K27" s="1160"/>
      <c r="W27" s="1081">
        <v>11</v>
      </c>
    </row>
    <row r="28" spans="6:23" ht="11.45" customHeight="1">
      <c r="F28" s="1156">
        <v>2</v>
      </c>
      <c r="G28" s="626" t="s">
        <v>1042</v>
      </c>
      <c r="H28" s="1162">
        <f t="shared" si="0"/>
        <v>0</v>
      </c>
      <c r="I28" s="1162">
        <f>SUM(I29:I31)</f>
        <v>0</v>
      </c>
      <c r="J28" s="1151"/>
      <c r="K28" s="1160"/>
      <c r="W28" s="1081">
        <v>11</v>
      </c>
    </row>
    <row r="29" spans="6:23" ht="11.45" customHeight="1">
      <c r="F29" s="1156" t="s">
        <v>704</v>
      </c>
      <c r="G29" s="1163" t="s">
        <v>1043</v>
      </c>
      <c r="H29" s="1162">
        <f t="shared" si="0"/>
        <v>0</v>
      </c>
      <c r="I29" s="1161"/>
      <c r="J29" s="1151"/>
      <c r="K29" s="1160"/>
      <c r="W29" s="1081">
        <v>11</v>
      </c>
    </row>
    <row r="30" spans="6:23" ht="11.45" customHeight="1">
      <c r="F30" s="1156" t="s">
        <v>302</v>
      </c>
      <c r="G30" s="1163" t="s">
        <v>1044</v>
      </c>
      <c r="H30" s="1162">
        <f t="shared" si="0"/>
        <v>0</v>
      </c>
      <c r="I30" s="1161"/>
      <c r="J30" s="1151"/>
      <c r="K30" s="1160"/>
      <c r="W30" s="1081">
        <v>11</v>
      </c>
    </row>
    <row r="31" spans="6:23" ht="11.45" customHeight="1">
      <c r="F31" s="1156" t="s">
        <v>305</v>
      </c>
      <c r="G31" s="1163" t="s">
        <v>1045</v>
      </c>
      <c r="H31" s="1162">
        <f t="shared" si="0"/>
        <v>0</v>
      </c>
      <c r="I31" s="1161"/>
      <c r="J31" s="1151"/>
      <c r="K31" s="1160"/>
      <c r="W31" s="1081">
        <v>11</v>
      </c>
    </row>
    <row r="32" spans="6:23" ht="11.45" customHeight="1">
      <c r="F32" s="1156">
        <v>3</v>
      </c>
      <c r="G32" s="626" t="s">
        <v>1046</v>
      </c>
      <c r="H32" s="1162">
        <f t="shared" si="0"/>
        <v>0</v>
      </c>
      <c r="I32" s="1162">
        <f>SUM(I33:I34)</f>
        <v>0</v>
      </c>
      <c r="J32" s="1151"/>
      <c r="K32" s="1160"/>
      <c r="W32" s="1081">
        <v>11</v>
      </c>
    </row>
    <row r="33" spans="6:23" ht="48.2" customHeight="1">
      <c r="F33" s="1156" t="s">
        <v>319</v>
      </c>
      <c r="G33" s="1163" t="s">
        <v>1047</v>
      </c>
      <c r="H33" s="1162">
        <f t="shared" si="0"/>
        <v>0</v>
      </c>
      <c r="I33" s="1161"/>
      <c r="J33" s="1151"/>
      <c r="K33" s="1160"/>
      <c r="W33" s="1081">
        <v>46</v>
      </c>
    </row>
    <row r="34" spans="6:23" ht="11.45" customHeight="1">
      <c r="F34" s="1156" t="s">
        <v>327</v>
      </c>
      <c r="G34" s="1163" t="s">
        <v>1048</v>
      </c>
      <c r="H34" s="1162">
        <f t="shared" si="0"/>
        <v>0</v>
      </c>
      <c r="I34" s="1161"/>
      <c r="J34" s="1151"/>
      <c r="K34" s="1160"/>
      <c r="W34" s="1081">
        <v>11</v>
      </c>
    </row>
    <row r="35" spans="6:23" ht="11.45" customHeight="1">
      <c r="F35" s="1156">
        <v>4</v>
      </c>
      <c r="G35" s="626" t="s">
        <v>1049</v>
      </c>
      <c r="H35" s="1162">
        <f t="shared" si="0"/>
        <v>0</v>
      </c>
      <c r="I35" s="1161"/>
      <c r="J35" s="1151"/>
      <c r="K35" s="1160"/>
      <c r="W35" s="1081">
        <v>11</v>
      </c>
    </row>
    <row r="36" spans="6:23" ht="11.45" customHeight="1">
      <c r="F36" s="1156"/>
      <c r="G36" s="629" t="s">
        <v>1050</v>
      </c>
      <c r="H36" s="1162">
        <f t="shared" si="0"/>
        <v>0</v>
      </c>
      <c r="I36" s="1162">
        <f>SUM(I15,I28,I32,I35)</f>
        <v>0</v>
      </c>
      <c r="J36" s="1151"/>
      <c r="K36" s="1160"/>
      <c r="W36" s="1081">
        <v>11</v>
      </c>
    </row>
    <row r="37" spans="6:23" ht="29.25" customHeight="1">
      <c r="F37" s="1157" t="s">
        <v>1051</v>
      </c>
      <c r="G37" s="2311" t="s">
        <v>1052</v>
      </c>
      <c r="H37" s="2311"/>
      <c r="I37" s="2311"/>
      <c r="J37" s="2311"/>
      <c r="K37" s="1160"/>
      <c r="W37" s="1081">
        <v>28</v>
      </c>
    </row>
    <row r="38" spans="6:23" ht="24" customHeight="1">
      <c r="F38" s="1156" t="s">
        <v>105</v>
      </c>
      <c r="G38" s="626" t="s">
        <v>1053</v>
      </c>
      <c r="H38" s="1162">
        <f t="shared" ref="H38:H58" si="1">SUM(I38:J38)</f>
        <v>0</v>
      </c>
      <c r="I38" s="1162">
        <f>SUM(I39,I44,I47)</f>
        <v>0</v>
      </c>
      <c r="J38" s="1151"/>
      <c r="K38" s="1160"/>
      <c r="W38" s="1081">
        <v>23</v>
      </c>
    </row>
    <row r="39" spans="6:23" ht="11.45" customHeight="1">
      <c r="F39" s="1156" t="s">
        <v>1018</v>
      </c>
      <c r="G39" s="1163" t="s">
        <v>1017</v>
      </c>
      <c r="H39" s="1162">
        <f t="shared" si="1"/>
        <v>0</v>
      </c>
      <c r="I39" s="1162">
        <f>SUM(I40:I43)</f>
        <v>0</v>
      </c>
      <c r="J39" s="1151"/>
      <c r="K39" s="1160"/>
      <c r="W39" s="1081">
        <v>11</v>
      </c>
    </row>
    <row r="40" spans="6:23" ht="24" customHeight="1">
      <c r="F40" s="1156" t="s">
        <v>1054</v>
      </c>
      <c r="G40" s="1164" t="s">
        <v>1055</v>
      </c>
      <c r="H40" s="1162">
        <f t="shared" si="1"/>
        <v>0</v>
      </c>
      <c r="I40" s="1161"/>
      <c r="J40" s="1151"/>
      <c r="K40" s="1160"/>
      <c r="W40" s="1081">
        <v>23</v>
      </c>
    </row>
    <row r="41" spans="6:23" ht="11.45" customHeight="1">
      <c r="F41" s="1156" t="s">
        <v>1056</v>
      </c>
      <c r="G41" s="1164" t="s">
        <v>1057</v>
      </c>
      <c r="H41" s="1162">
        <f t="shared" si="1"/>
        <v>0</v>
      </c>
      <c r="I41" s="1161"/>
      <c r="J41" s="1151"/>
      <c r="K41" s="1160"/>
      <c r="W41" s="1081">
        <v>11</v>
      </c>
    </row>
    <row r="42" spans="6:23" ht="11.45" customHeight="1">
      <c r="F42" s="1156" t="s">
        <v>1058</v>
      </c>
      <c r="G42" s="1164" t="s">
        <v>1059</v>
      </c>
      <c r="H42" s="1162">
        <f t="shared" si="1"/>
        <v>0</v>
      </c>
      <c r="I42" s="1161"/>
      <c r="J42" s="1151"/>
      <c r="K42" s="1160"/>
      <c r="W42" s="1081">
        <v>11</v>
      </c>
    </row>
    <row r="43" spans="6:23" ht="35.65" customHeight="1">
      <c r="F43" s="1156" t="s">
        <v>1060</v>
      </c>
      <c r="G43" s="1164" t="s">
        <v>1061</v>
      </c>
      <c r="H43" s="1162">
        <f t="shared" si="1"/>
        <v>0</v>
      </c>
      <c r="I43" s="1161"/>
      <c r="J43" s="1151"/>
      <c r="K43" s="1160"/>
      <c r="W43" s="1081">
        <v>34</v>
      </c>
    </row>
    <row r="44" spans="6:23" ht="11.45" customHeight="1">
      <c r="F44" s="1156" t="s">
        <v>1020</v>
      </c>
      <c r="G44" s="1163" t="s">
        <v>1046</v>
      </c>
      <c r="H44" s="1162">
        <f t="shared" si="1"/>
        <v>0</v>
      </c>
      <c r="I44" s="1162">
        <f>SUM(I45:I46)</f>
        <v>0</v>
      </c>
      <c r="J44" s="1151"/>
      <c r="K44" s="1160"/>
      <c r="W44" s="1081">
        <v>11</v>
      </c>
    </row>
    <row r="45" spans="6:23" ht="48.2" customHeight="1">
      <c r="F45" s="1156" t="s">
        <v>1062</v>
      </c>
      <c r="G45" s="1164" t="s">
        <v>1047</v>
      </c>
      <c r="H45" s="1162">
        <f t="shared" si="1"/>
        <v>0</v>
      </c>
      <c r="I45" s="1161"/>
      <c r="J45" s="1151"/>
      <c r="K45" s="1160"/>
      <c r="W45" s="1081">
        <v>46</v>
      </c>
    </row>
    <row r="46" spans="6:23" ht="11.45" customHeight="1">
      <c r="F46" s="1156" t="s">
        <v>1063</v>
      </c>
      <c r="G46" s="1164" t="s">
        <v>1048</v>
      </c>
      <c r="H46" s="1162">
        <f t="shared" si="1"/>
        <v>0</v>
      </c>
      <c r="I46" s="1161"/>
      <c r="J46" s="1151"/>
      <c r="K46" s="1160"/>
      <c r="W46" s="1081">
        <v>11</v>
      </c>
    </row>
    <row r="47" spans="6:23" ht="11.45" customHeight="1">
      <c r="F47" s="1156" t="s">
        <v>1022</v>
      </c>
      <c r="G47" s="1163" t="s">
        <v>1064</v>
      </c>
      <c r="H47" s="1162">
        <f t="shared" si="1"/>
        <v>0</v>
      </c>
      <c r="I47" s="1161"/>
      <c r="J47" s="1151"/>
      <c r="K47" s="1160"/>
      <c r="W47" s="1081">
        <v>11</v>
      </c>
    </row>
    <row r="48" spans="6:23" ht="24" customHeight="1">
      <c r="F48" s="1156" t="s">
        <v>106</v>
      </c>
      <c r="G48" s="626" t="s">
        <v>1065</v>
      </c>
      <c r="H48" s="1162">
        <f t="shared" si="1"/>
        <v>0</v>
      </c>
      <c r="I48" s="1162">
        <f>SUM(I49,I54,I57)</f>
        <v>0</v>
      </c>
      <c r="J48" s="1151"/>
      <c r="K48" s="1160"/>
      <c r="W48" s="1081">
        <v>23</v>
      </c>
    </row>
    <row r="49" spans="1:23" ht="11.45" customHeight="1">
      <c r="F49" s="1156" t="s">
        <v>704</v>
      </c>
      <c r="G49" s="1163" t="s">
        <v>1017</v>
      </c>
      <c r="H49" s="1162">
        <f t="shared" si="1"/>
        <v>0</v>
      </c>
      <c r="I49" s="1162">
        <f>SUM(I50:I53)</f>
        <v>0</v>
      </c>
      <c r="J49" s="1151"/>
      <c r="K49" s="1160"/>
      <c r="W49" s="1081">
        <v>11</v>
      </c>
    </row>
    <row r="50" spans="1:23" ht="24" customHeight="1">
      <c r="F50" s="1156" t="s">
        <v>707</v>
      </c>
      <c r="G50" s="1164" t="s">
        <v>1055</v>
      </c>
      <c r="H50" s="1162">
        <f t="shared" si="1"/>
        <v>0</v>
      </c>
      <c r="I50" s="1161"/>
      <c r="J50" s="1151"/>
      <c r="K50" s="1160"/>
      <c r="W50" s="1081">
        <v>23</v>
      </c>
    </row>
    <row r="51" spans="1:23" ht="11.45" customHeight="1">
      <c r="F51" s="1156" t="s">
        <v>710</v>
      </c>
      <c r="G51" s="1164" t="s">
        <v>1057</v>
      </c>
      <c r="H51" s="1162">
        <f t="shared" si="1"/>
        <v>0</v>
      </c>
      <c r="I51" s="1161"/>
      <c r="J51" s="1151"/>
      <c r="K51" s="1160"/>
      <c r="W51" s="1081">
        <v>11</v>
      </c>
    </row>
    <row r="52" spans="1:23" ht="11.45" customHeight="1">
      <c r="F52" s="1156" t="s">
        <v>1066</v>
      </c>
      <c r="G52" s="1164" t="s">
        <v>1059</v>
      </c>
      <c r="H52" s="1162">
        <f t="shared" si="1"/>
        <v>0</v>
      </c>
      <c r="I52" s="1161"/>
      <c r="J52" s="1151"/>
      <c r="K52" s="1160"/>
      <c r="W52" s="1081">
        <v>11</v>
      </c>
    </row>
    <row r="53" spans="1:23" ht="35.65" customHeight="1">
      <c r="F53" s="1156" t="s">
        <v>1067</v>
      </c>
      <c r="G53" s="1164" t="s">
        <v>1061</v>
      </c>
      <c r="H53" s="1162">
        <f t="shared" si="1"/>
        <v>0</v>
      </c>
      <c r="I53" s="1161"/>
      <c r="J53" s="1151"/>
      <c r="K53" s="1160"/>
      <c r="W53" s="1081">
        <v>34</v>
      </c>
    </row>
    <row r="54" spans="1:23" ht="11.45" customHeight="1">
      <c r="F54" s="1156" t="s">
        <v>302</v>
      </c>
      <c r="G54" s="1163" t="s">
        <v>1046</v>
      </c>
      <c r="H54" s="1162">
        <f t="shared" si="1"/>
        <v>0</v>
      </c>
      <c r="I54" s="1162">
        <f>SUM(I55:I56)</f>
        <v>0</v>
      </c>
      <c r="J54" s="1151"/>
      <c r="K54" s="1160"/>
      <c r="W54" s="1081">
        <v>11</v>
      </c>
    </row>
    <row r="55" spans="1:23" ht="48.2" customHeight="1">
      <c r="F55" s="1156" t="s">
        <v>714</v>
      </c>
      <c r="G55" s="1164" t="s">
        <v>1047</v>
      </c>
      <c r="H55" s="1162">
        <f t="shared" si="1"/>
        <v>0</v>
      </c>
      <c r="I55" s="1161"/>
      <c r="J55" s="1151"/>
      <c r="K55" s="1160"/>
      <c r="W55" s="1081">
        <v>46</v>
      </c>
    </row>
    <row r="56" spans="1:23" ht="11.45" customHeight="1">
      <c r="F56" s="1156" t="s">
        <v>716</v>
      </c>
      <c r="G56" s="1164" t="s">
        <v>1048</v>
      </c>
      <c r="H56" s="1162">
        <f t="shared" si="1"/>
        <v>0</v>
      </c>
      <c r="I56" s="1161"/>
      <c r="J56" s="1151"/>
      <c r="K56" s="1160"/>
      <c r="W56" s="1081">
        <v>11</v>
      </c>
    </row>
    <row r="57" spans="1:23" ht="11.45" customHeight="1">
      <c r="F57" s="1156" t="s">
        <v>305</v>
      </c>
      <c r="G57" s="1163" t="s">
        <v>1064</v>
      </c>
      <c r="H57" s="1162">
        <f t="shared" si="1"/>
        <v>0</v>
      </c>
      <c r="I57" s="1161"/>
      <c r="J57" s="1151"/>
      <c r="K57" s="1160"/>
      <c r="W57" s="1081">
        <v>11</v>
      </c>
    </row>
    <row r="58" spans="1:23" ht="11.45" customHeight="1">
      <c r="F58" s="1156"/>
      <c r="G58" s="1165" t="s">
        <v>1050</v>
      </c>
      <c r="H58" s="1162">
        <f t="shared" si="1"/>
        <v>0</v>
      </c>
      <c r="I58" s="1162">
        <f>SUM(I38,I48)</f>
        <v>0</v>
      </c>
      <c r="J58" s="1151"/>
      <c r="K58" s="1160"/>
      <c r="W58" s="1081">
        <v>11</v>
      </c>
    </row>
    <row r="59" spans="1:23" ht="10.5" hidden="1" customHeight="1">
      <c r="A59" s="1092" t="s">
        <v>78</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8">
        <v>26</v>
      </c>
    </row>
    <row r="6" spans="2:185" s="2000" customFormat="1" ht="18.75" customHeight="1">
      <c r="B6" s="872"/>
      <c r="E6" s="874"/>
      <c r="F6" s="2159" t="str">
        <f>IF(org=0,"Не определено",org)</f>
        <v>ОП АО "Байкалэнерго" - "Саяногорские тепловые сети"</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6" t="s">
        <v>1068</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1069</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3"/>
      <c r="FX9" s="985"/>
      <c r="GC9" s="862">
        <v>0</v>
      </c>
    </row>
    <row r="10" spans="2:185" s="862" customFormat="1" ht="11.45" customHeight="1">
      <c r="B10" s="863"/>
      <c r="F10" s="2299" t="s">
        <v>295</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5"/>
      <c r="GC10" s="862">
        <v>11</v>
      </c>
    </row>
    <row r="11" spans="2:185" ht="12.75" customHeight="1">
      <c r="E11" s="866"/>
      <c r="F11" s="2141" t="s">
        <v>84</v>
      </c>
      <c r="G11" s="2141" t="s">
        <v>1070</v>
      </c>
      <c r="H11" s="2141" t="s">
        <v>1071</v>
      </c>
      <c r="I11" s="2141" t="s">
        <v>1072</v>
      </c>
      <c r="J11" s="2335"/>
      <c r="K11" s="2335"/>
      <c r="L11" s="2335"/>
      <c r="M11" s="2335"/>
      <c r="N11" s="2335"/>
      <c r="O11" s="2145" t="s">
        <v>1073</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1073</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1073</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6"/>
      <c r="GC11" s="855">
        <v>12</v>
      </c>
    </row>
    <row r="12" spans="2:185" ht="12.75" customHeight="1">
      <c r="D12" s="867"/>
      <c r="E12" s="866"/>
      <c r="F12" s="2141"/>
      <c r="G12" s="2141"/>
      <c r="H12" s="2141"/>
      <c r="I12" s="2141"/>
      <c r="J12" s="2335"/>
      <c r="K12" s="2335"/>
      <c r="L12" s="2335"/>
      <c r="M12" s="2335"/>
      <c r="N12" s="2335"/>
      <c r="O12" s="2145" t="s">
        <v>1074</v>
      </c>
      <c r="P12" s="2145"/>
      <c r="Q12" s="2145"/>
      <c r="R12" s="2145"/>
      <c r="S12" s="2145" t="s">
        <v>1075</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1076</v>
      </c>
      <c r="BU12" s="2286"/>
      <c r="BV12" s="2286"/>
      <c r="BW12" s="2317"/>
      <c r="BX12" s="2285" t="s">
        <v>1077</v>
      </c>
      <c r="BY12" s="2286"/>
      <c r="BZ12" s="2286"/>
      <c r="CA12" s="2317"/>
      <c r="CB12" s="2285" t="s">
        <v>1078</v>
      </c>
      <c r="CC12" s="2317"/>
      <c r="CD12" s="2285" t="s">
        <v>1079</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1080</v>
      </c>
      <c r="CZ12" s="2286"/>
      <c r="DA12" s="2286"/>
      <c r="DB12" s="2286"/>
      <c r="DC12" s="2286"/>
      <c r="DD12" s="2317"/>
      <c r="DE12" s="2285" t="s">
        <v>1081</v>
      </c>
      <c r="DF12" s="2317"/>
      <c r="DG12" s="2285" t="s">
        <v>1079</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6"/>
      <c r="GC12" s="855">
        <v>12</v>
      </c>
    </row>
    <row r="13" spans="2:185" ht="37.9" customHeight="1">
      <c r="D13" s="867"/>
      <c r="E13" s="866"/>
      <c r="F13" s="2141"/>
      <c r="G13" s="2141"/>
      <c r="H13" s="2141"/>
      <c r="I13" s="2141"/>
      <c r="J13" s="2335"/>
      <c r="K13" s="2335"/>
      <c r="L13" s="2335"/>
      <c r="M13" s="2335"/>
      <c r="N13" s="2335"/>
      <c r="O13" s="2145" t="s">
        <v>1082</v>
      </c>
      <c r="P13" s="2145"/>
      <c r="Q13" s="2145"/>
      <c r="R13" s="2145"/>
      <c r="S13" s="2246" t="s">
        <v>1083</v>
      </c>
      <c r="T13" s="2287"/>
      <c r="U13" s="2056" t="s">
        <v>1084</v>
      </c>
      <c r="V13" s="2056"/>
      <c r="W13" s="2056"/>
      <c r="X13" s="2056"/>
      <c r="Y13" s="2056" t="s">
        <v>1085</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1086</v>
      </c>
      <c r="BU13" s="2287"/>
      <c r="BV13" s="2246" t="s">
        <v>1087</v>
      </c>
      <c r="BW13" s="2287"/>
      <c r="BX13" s="2246" t="s">
        <v>1088</v>
      </c>
      <c r="BY13" s="2287"/>
      <c r="BZ13" s="2246" t="s">
        <v>1089</v>
      </c>
      <c r="CA13" s="2287"/>
      <c r="CB13" s="2246" t="s">
        <v>1090</v>
      </c>
      <c r="CC13" s="2287"/>
      <c r="CD13" s="2246" t="s">
        <v>1091</v>
      </c>
      <c r="CE13" s="2287"/>
      <c r="CF13" s="2246" t="s">
        <v>1092</v>
      </c>
      <c r="CG13" s="2287"/>
      <c r="CH13" s="2285" t="s">
        <v>1093</v>
      </c>
      <c r="CI13" s="2286"/>
      <c r="CJ13" s="2286"/>
      <c r="CK13" s="2317"/>
      <c r="CL13" s="2325"/>
      <c r="CM13" s="2318"/>
      <c r="CN13" s="2318"/>
      <c r="CO13" s="2318"/>
      <c r="CP13" s="2318"/>
      <c r="CQ13" s="2318"/>
      <c r="CR13" s="2318"/>
      <c r="CS13" s="2318"/>
      <c r="CT13" s="2318"/>
      <c r="CU13" s="2318"/>
      <c r="CV13" s="2318"/>
      <c r="CW13" s="2318"/>
      <c r="CX13" s="2319"/>
      <c r="CY13" s="2246" t="s">
        <v>1094</v>
      </c>
      <c r="CZ13" s="2287"/>
      <c r="DA13" s="2246" t="s">
        <v>1095</v>
      </c>
      <c r="DB13" s="2287"/>
      <c r="DC13" s="2246" t="s">
        <v>1096</v>
      </c>
      <c r="DD13" s="2287"/>
      <c r="DE13" s="2246" t="s">
        <v>1097</v>
      </c>
      <c r="DF13" s="2287"/>
      <c r="DG13" s="2285" t="s">
        <v>1098</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6"/>
      <c r="GC13" s="855">
        <v>36</v>
      </c>
    </row>
    <row r="14" spans="2:185" ht="37.9" customHeight="1">
      <c r="D14" s="867"/>
      <c r="E14" s="866"/>
      <c r="F14" s="2141"/>
      <c r="G14" s="2141"/>
      <c r="H14" s="2141"/>
      <c r="I14" s="2141"/>
      <c r="J14" s="2335"/>
      <c r="K14" s="2335"/>
      <c r="L14" s="2335"/>
      <c r="M14" s="2335"/>
      <c r="N14" s="2335"/>
      <c r="O14" s="2246" t="s">
        <v>1099</v>
      </c>
      <c r="P14" s="2287"/>
      <c r="Q14" s="2246" t="s">
        <v>1100</v>
      </c>
      <c r="R14" s="2287"/>
      <c r="S14" s="2247"/>
      <c r="T14" s="2149"/>
      <c r="U14" s="2246" t="s">
        <v>831</v>
      </c>
      <c r="V14" s="2287"/>
      <c r="W14" s="2246" t="s">
        <v>834</v>
      </c>
      <c r="X14" s="2287"/>
      <c r="Y14" s="2246" t="s">
        <v>831</v>
      </c>
      <c r="Z14" s="2287"/>
      <c r="AA14" s="2246" t="s">
        <v>841</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1101</v>
      </c>
      <c r="CI14" s="2287"/>
      <c r="CJ14" s="2246" t="s">
        <v>1102</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1103</v>
      </c>
      <c r="DH14" s="2287"/>
      <c r="DI14" s="2246" t="s">
        <v>1104</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6"/>
      <c r="GC14" s="855">
        <v>36</v>
      </c>
    </row>
    <row r="15" spans="2:185" ht="37.9" customHeight="1">
      <c r="D15" s="867"/>
      <c r="E15" s="866"/>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6"/>
      <c r="GC15" s="855">
        <v>36</v>
      </c>
    </row>
    <row r="16" spans="2:185" ht="12.75" customHeight="1">
      <c r="D16" s="867"/>
      <c r="E16" s="866"/>
      <c r="F16" s="2141"/>
      <c r="G16" s="2141"/>
      <c r="H16" s="2141"/>
      <c r="I16" s="2141"/>
      <c r="J16" s="2335"/>
      <c r="K16" s="2335"/>
      <c r="L16" s="2335"/>
      <c r="M16" s="2335"/>
      <c r="N16" s="2335"/>
      <c r="O16" s="2285" t="s">
        <v>821</v>
      </c>
      <c r="P16" s="2317"/>
      <c r="Q16" s="2285" t="s">
        <v>823</v>
      </c>
      <c r="R16" s="2317"/>
      <c r="S16" s="2285" t="s">
        <v>827</v>
      </c>
      <c r="T16" s="2317"/>
      <c r="U16" s="2285" t="s">
        <v>832</v>
      </c>
      <c r="V16" s="2317"/>
      <c r="W16" s="2285" t="s">
        <v>835</v>
      </c>
      <c r="X16" s="2317"/>
      <c r="Y16" s="2285" t="s">
        <v>839</v>
      </c>
      <c r="Z16" s="2317"/>
      <c r="AA16" s="2285" t="s">
        <v>842</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553</v>
      </c>
      <c r="BU16" s="2317"/>
      <c r="BV16" s="2285" t="s">
        <v>553</v>
      </c>
      <c r="BW16" s="2317"/>
      <c r="BX16" s="2285" t="s">
        <v>553</v>
      </c>
      <c r="BY16" s="2317"/>
      <c r="BZ16" s="2285" t="s">
        <v>553</v>
      </c>
      <c r="CA16" s="2317"/>
      <c r="CB16" s="2285" t="s">
        <v>1105</v>
      </c>
      <c r="CC16" s="2317"/>
      <c r="CD16" s="2285" t="s">
        <v>553</v>
      </c>
      <c r="CE16" s="2317"/>
      <c r="CF16" s="2285" t="s">
        <v>1106</v>
      </c>
      <c r="CG16" s="2317"/>
      <c r="CH16" s="2285" t="s">
        <v>1107</v>
      </c>
      <c r="CI16" s="2317"/>
      <c r="CJ16" s="2285" t="s">
        <v>1107</v>
      </c>
      <c r="CK16" s="2317"/>
      <c r="CL16" s="2325"/>
      <c r="CM16" s="2318"/>
      <c r="CN16" s="2318"/>
      <c r="CO16" s="2318"/>
      <c r="CP16" s="2318"/>
      <c r="CQ16" s="2318"/>
      <c r="CR16" s="2318"/>
      <c r="CS16" s="2318"/>
      <c r="CT16" s="2318"/>
      <c r="CU16" s="2318"/>
      <c r="CV16" s="2318"/>
      <c r="CW16" s="2318"/>
      <c r="CX16" s="2319"/>
      <c r="CY16" s="2246" t="s">
        <v>553</v>
      </c>
      <c r="CZ16" s="2287"/>
      <c r="DA16" s="2246" t="s">
        <v>553</v>
      </c>
      <c r="DB16" s="2287"/>
      <c r="DC16" s="2246" t="s">
        <v>553</v>
      </c>
      <c r="DD16" s="2287"/>
      <c r="DE16" s="2285" t="s">
        <v>1105</v>
      </c>
      <c r="DF16" s="2317"/>
      <c r="DG16" s="2285" t="s">
        <v>1108</v>
      </c>
      <c r="DH16" s="2317"/>
      <c r="DI16" s="2285" t="s">
        <v>1108</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6"/>
      <c r="GC16" s="855">
        <v>12</v>
      </c>
    </row>
    <row r="17" spans="1:185" ht="15.75" customHeight="1">
      <c r="E17" s="866"/>
      <c r="F17" s="2141"/>
      <c r="G17" s="2141"/>
      <c r="H17" s="2141"/>
      <c r="I17" s="2141"/>
      <c r="J17" s="2335"/>
      <c r="K17" s="2335"/>
      <c r="L17" s="2335"/>
      <c r="M17" s="2335"/>
      <c r="N17" s="2335"/>
      <c r="O17" s="1117" t="s">
        <v>1109</v>
      </c>
      <c r="P17" s="1117" t="s">
        <v>1110</v>
      </c>
      <c r="Q17" s="1117" t="s">
        <v>1109</v>
      </c>
      <c r="R17" s="1117" t="s">
        <v>1110</v>
      </c>
      <c r="S17" s="1117" t="s">
        <v>1109</v>
      </c>
      <c r="T17" s="1117" t="s">
        <v>1110</v>
      </c>
      <c r="U17" s="1117" t="s">
        <v>1109</v>
      </c>
      <c r="V17" s="1117" t="s">
        <v>1110</v>
      </c>
      <c r="W17" s="1117" t="s">
        <v>1109</v>
      </c>
      <c r="X17" s="1117" t="s">
        <v>1110</v>
      </c>
      <c r="Y17" s="1117" t="s">
        <v>1109</v>
      </c>
      <c r="Z17" s="1117" t="s">
        <v>1110</v>
      </c>
      <c r="AA17" s="1117" t="s">
        <v>1109</v>
      </c>
      <c r="AB17" s="1117" t="s">
        <v>1110</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7" t="s">
        <v>1109</v>
      </c>
      <c r="BU17" s="1117" t="s">
        <v>1110</v>
      </c>
      <c r="BV17" s="1117" t="s">
        <v>1109</v>
      </c>
      <c r="BW17" s="1117" t="s">
        <v>1110</v>
      </c>
      <c r="BX17" s="1117" t="s">
        <v>1109</v>
      </c>
      <c r="BY17" s="1117" t="s">
        <v>1110</v>
      </c>
      <c r="BZ17" s="1117" t="s">
        <v>1109</v>
      </c>
      <c r="CA17" s="1117" t="s">
        <v>1110</v>
      </c>
      <c r="CB17" s="1117" t="s">
        <v>1109</v>
      </c>
      <c r="CC17" s="1117" t="s">
        <v>1110</v>
      </c>
      <c r="CD17" s="1117" t="s">
        <v>1109</v>
      </c>
      <c r="CE17" s="1117" t="s">
        <v>1110</v>
      </c>
      <c r="CF17" s="1117" t="s">
        <v>1109</v>
      </c>
      <c r="CG17" s="1117" t="s">
        <v>1110</v>
      </c>
      <c r="CH17" s="1117" t="s">
        <v>1109</v>
      </c>
      <c r="CI17" s="1117" t="s">
        <v>1110</v>
      </c>
      <c r="CJ17" s="1117" t="s">
        <v>1109</v>
      </c>
      <c r="CK17" s="1117" t="s">
        <v>1110</v>
      </c>
      <c r="CL17" s="2325"/>
      <c r="CM17" s="2318"/>
      <c r="CN17" s="2318"/>
      <c r="CO17" s="2318"/>
      <c r="CP17" s="2318"/>
      <c r="CQ17" s="2318"/>
      <c r="CR17" s="2318"/>
      <c r="CS17" s="2318"/>
      <c r="CT17" s="2318"/>
      <c r="CU17" s="2318"/>
      <c r="CV17" s="2318"/>
      <c r="CW17" s="2318"/>
      <c r="CX17" s="2319"/>
      <c r="CY17" s="1117" t="s">
        <v>1109</v>
      </c>
      <c r="CZ17" s="1117" t="s">
        <v>1110</v>
      </c>
      <c r="DA17" s="1117" t="s">
        <v>1109</v>
      </c>
      <c r="DB17" s="1117" t="s">
        <v>1110</v>
      </c>
      <c r="DC17" s="1117" t="s">
        <v>1109</v>
      </c>
      <c r="DD17" s="1117" t="s">
        <v>1110</v>
      </c>
      <c r="DE17" s="1117" t="s">
        <v>1109</v>
      </c>
      <c r="DF17" s="1117" t="s">
        <v>1110</v>
      </c>
      <c r="DG17" s="1117" t="s">
        <v>1109</v>
      </c>
      <c r="DH17" s="1117" t="s">
        <v>1110</v>
      </c>
      <c r="DI17" s="1117" t="s">
        <v>1109</v>
      </c>
      <c r="DJ17" s="1117" t="s">
        <v>1110</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371</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78</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election activeCell="H21" sqref="H21"/>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684</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5"/>
      <c r="F5" s="2165"/>
      <c r="G5" s="2165"/>
      <c r="H5" s="2165"/>
      <c r="I5" s="473"/>
      <c r="S5" s="441">
        <v>38</v>
      </c>
    </row>
    <row r="6" spans="1:19" ht="15.75" customHeight="1">
      <c r="C6" s="113"/>
      <c r="D6" s="2137" t="str">
        <f>IF(org=0,"Не определено",org)</f>
        <v>ОП АО "Байкалэнерго" - "Саяногорские тепловые сети"</v>
      </c>
      <c r="E6" s="2137"/>
      <c r="F6" s="2137"/>
      <c r="G6" s="2137"/>
      <c r="H6" s="2137"/>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113</v>
      </c>
      <c r="S8" s="441">
        <v>1</v>
      </c>
    </row>
    <row r="9" spans="1:19" ht="15.75" customHeight="1">
      <c r="C9" s="113"/>
      <c r="D9" s="647"/>
      <c r="E9" s="2271" t="s">
        <v>101</v>
      </c>
      <c r="F9" s="2272"/>
      <c r="G9" s="746" t="str">
        <f>IF(G8="","",INDEX(DIFFERENTIATION_UNMERGE_VD,MATCH(G8,DIFFERENTIATION_ID_DIFF,0)))</f>
        <v/>
      </c>
      <c r="H9" s="746" t="str">
        <f>IF(H8="","",INDEX(DIFFERENTIATION_UNMERGE_VD,MATCH(H8,DIFFERENTIATION_ID_DIFF,0)))</f>
        <v>Подключение (технологическое присоединение) к системе теплоснабжения</v>
      </c>
      <c r="I9" s="2056" t="s">
        <v>296</v>
      </c>
      <c r="S9" s="441">
        <v>15</v>
      </c>
    </row>
    <row r="10" spans="1:19" s="1561" customFormat="1" ht="15.75" customHeight="1">
      <c r="A10" s="693"/>
      <c r="C10" s="113"/>
      <c r="D10" s="647"/>
      <c r="E10" s="2271" t="s">
        <v>559</v>
      </c>
      <c r="F10" s="2272"/>
      <c r="G10" s="746" t="str">
        <f>IF(G8="","",INDEX(DIFFERENTIATION_UNMERGE_AREA,MATCH(G8,DIFFERENTIATION_ID_DIFF,0)))</f>
        <v/>
      </c>
      <c r="H10" s="746" t="str">
        <f>IF(H8="","",INDEX(DIFFERENTIATION_UNMERGE_AREA,MATCH(H8,DIFFERENTIATION_ID_DIFF,0)))</f>
        <v>Территория 1</v>
      </c>
      <c r="I10" s="2056"/>
      <c r="R10" s="611"/>
      <c r="S10" s="692">
        <v>15</v>
      </c>
    </row>
    <row r="11" spans="1:19" s="1561" customFormat="1" ht="15.75" customHeight="1">
      <c r="A11" s="693"/>
      <c r="C11" s="113"/>
      <c r="D11" s="647"/>
      <c r="E11" s="2271" t="s">
        <v>560</v>
      </c>
      <c r="F11" s="2272"/>
      <c r="G11" s="746" t="str">
        <f>IF(G8="","",INDEX(DIFFERENTIATION_UNMERGE_SYSTEM,MATCH(G8,DIFFERENTIATION_ID_DIFF,0)))</f>
        <v/>
      </c>
      <c r="H11" s="746" t="str">
        <f>IF(H8="","",INDEX(DIFFERENTIATION_UNMERGE_SYSTEM,MATCH(H8,DIFFERENTIATION_ID_DIFF,0)))</f>
        <v>без дифференциации</v>
      </c>
      <c r="I11" s="2056"/>
      <c r="R11" s="611"/>
      <c r="S11" s="692">
        <v>15</v>
      </c>
    </row>
    <row r="12" spans="1:19" s="1561" customFormat="1" ht="15.75" customHeight="1">
      <c r="A12" s="693"/>
      <c r="C12" s="113"/>
      <c r="D12" s="2273" t="s">
        <v>295</v>
      </c>
      <c r="E12" s="2274"/>
      <c r="F12" s="2274"/>
      <c r="G12" s="816"/>
      <c r="H12" s="816"/>
      <c r="I12" s="2056"/>
      <c r="R12" s="611"/>
      <c r="S12" s="692">
        <v>15</v>
      </c>
    </row>
    <row r="13" spans="1:19" ht="35.65" customHeight="1">
      <c r="C13" s="113"/>
      <c r="D13" s="695" t="s">
        <v>84</v>
      </c>
      <c r="E13" s="694" t="s">
        <v>297</v>
      </c>
      <c r="F13" s="694" t="s">
        <v>561</v>
      </c>
      <c r="G13" s="738" t="s">
        <v>298</v>
      </c>
      <c r="H13" s="690" t="s">
        <v>298</v>
      </c>
      <c r="I13" s="2056"/>
      <c r="S13" s="441">
        <v>34</v>
      </c>
    </row>
    <row r="14" spans="1:19" ht="15" hidden="1" customHeight="1">
      <c r="C14" s="113"/>
      <c r="D14" s="529" t="s">
        <v>105</v>
      </c>
      <c r="E14" s="529" t="s">
        <v>106</v>
      </c>
      <c r="F14" s="529" t="s">
        <v>86</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1111</v>
      </c>
      <c r="G15" s="621"/>
      <c r="H15" s="621">
        <v>12</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1111</v>
      </c>
      <c r="G16" s="621"/>
      <c r="H16" s="621">
        <v>4</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1111</v>
      </c>
      <c r="G17" s="621"/>
      <c r="H17" s="621">
        <v>8</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301</v>
      </c>
      <c r="G18" s="622"/>
      <c r="H18" s="2019" t="s">
        <v>1112</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74.650000000000006</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1113</v>
      </c>
      <c r="E20" s="624"/>
      <c r="F20" s="445"/>
      <c r="G20" s="445"/>
      <c r="H20" s="445"/>
      <c r="I20" s="1689"/>
      <c r="S20" s="441">
        <v>0</v>
      </c>
    </row>
    <row r="21" spans="1:19" ht="29.25" customHeight="1">
      <c r="C21" s="387"/>
      <c r="D21" s="475" t="s">
        <v>308</v>
      </c>
      <c r="E21" s="606" t="s">
        <v>1114</v>
      </c>
      <c r="F21" s="1687" t="str">
        <f>IF(TEMPLATE_SPHERE="HEAT","Гкал/час","тыс. куб. м/сутки")</f>
        <v>Гкал/час</v>
      </c>
      <c r="G21" s="616"/>
      <c r="H21" s="616">
        <v>74.650000000000006</v>
      </c>
      <c r="I21" s="210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1115</v>
      </c>
      <c r="F22" s="508"/>
      <c r="G22" s="508"/>
      <c r="H22" s="508"/>
      <c r="I22" s="2102"/>
      <c r="R22" s="441"/>
      <c r="S22" s="441">
        <v>15</v>
      </c>
    </row>
    <row r="23" spans="1:19" ht="22.5" hidden="1" customHeight="1">
      <c r="A23" s="385" t="s">
        <v>78</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1"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7"/>
      <c r="F5" s="2107"/>
      <c r="G5" s="2108"/>
      <c r="Q5" s="22">
        <v>28</v>
      </c>
    </row>
    <row r="6" spans="1:17" s="1561" customFormat="1" ht="18.75" customHeight="1">
      <c r="A6" s="811"/>
      <c r="B6" s="353"/>
      <c r="C6" s="312"/>
      <c r="D6" s="2159" t="str">
        <f>IF(org=0,"Не определено",org)</f>
        <v>ОП АО "Байкалэнерго" - "Саяногорские тепловые сети"</v>
      </c>
      <c r="E6" s="2160"/>
      <c r="F6" s="2160"/>
      <c r="G6" s="2161"/>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45" t="s">
        <v>295</v>
      </c>
      <c r="E9" s="2145"/>
      <c r="F9" s="2145"/>
      <c r="G9" s="2288" t="s">
        <v>296</v>
      </c>
      <c r="Q9" s="22">
        <v>14</v>
      </c>
    </row>
    <row r="10" spans="1:17" ht="24" customHeight="1">
      <c r="C10" s="35"/>
      <c r="D10" s="44" t="s">
        <v>84</v>
      </c>
      <c r="E10" s="47" t="s">
        <v>297</v>
      </c>
      <c r="F10" s="47" t="s">
        <v>385</v>
      </c>
      <c r="G10" s="2288"/>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301</v>
      </c>
      <c r="G12" s="88"/>
      <c r="Q12" s="22">
        <v>62</v>
      </c>
    </row>
    <row r="13" spans="1:17" ht="24" customHeight="1">
      <c r="A13" s="129"/>
      <c r="C13" s="35"/>
      <c r="D13" s="84" t="s">
        <v>1018</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301</v>
      </c>
      <c r="G13" s="88"/>
      <c r="Q13" s="22">
        <v>23</v>
      </c>
    </row>
    <row r="14" spans="1:17" ht="14.65" customHeight="1">
      <c r="A14" s="129"/>
      <c r="C14" s="35"/>
      <c r="D14" s="84" t="s">
        <v>1054</v>
      </c>
      <c r="E14" s="132"/>
      <c r="F14" s="150"/>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1116</v>
      </c>
      <c r="F15" s="138"/>
      <c r="G15" s="2102"/>
      <c r="Q15" s="22">
        <v>15</v>
      </c>
    </row>
    <row r="16" spans="1:17" ht="14.65" customHeight="1">
      <c r="A16" s="129"/>
      <c r="C16" s="35"/>
      <c r="D16" s="84" t="s">
        <v>1020</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301</v>
      </c>
      <c r="G16" s="274"/>
      <c r="Q16" s="22">
        <v>14</v>
      </c>
    </row>
    <row r="17" spans="1:17" ht="14.65" customHeight="1">
      <c r="A17" s="129"/>
      <c r="C17" s="35"/>
      <c r="D17" s="84" t="s">
        <v>1062</v>
      </c>
      <c r="E17" s="132"/>
      <c r="F17" s="321"/>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1117</v>
      </c>
      <c r="F18" s="275"/>
      <c r="G18" s="2102"/>
      <c r="I18" s="286"/>
      <c r="J18" s="286"/>
      <c r="Q18" s="279">
        <v>21</v>
      </c>
    </row>
    <row r="19" spans="1:17" s="1561" customFormat="1" ht="256.5" hidden="1" customHeight="1">
      <c r="A19" s="280"/>
      <c r="B19" s="353"/>
      <c r="C19" s="312"/>
      <c r="D19" s="813" t="s">
        <v>1022</v>
      </c>
      <c r="E19" s="812" t="s">
        <v>1118</v>
      </c>
      <c r="F19" s="321"/>
      <c r="G19" s="274" t="s">
        <v>1119</v>
      </c>
      <c r="I19" s="436"/>
      <c r="J19" s="436"/>
      <c r="Q19" s="692">
        <v>0</v>
      </c>
    </row>
    <row r="20" spans="1:17" s="1561" customFormat="1" ht="14.65" customHeight="1">
      <c r="A20" s="280"/>
      <c r="B20" s="83"/>
      <c r="C20" s="244"/>
      <c r="D20" s="814">
        <v>2</v>
      </c>
      <c r="E20" s="267" t="s">
        <v>1120</v>
      </c>
      <c r="F20" s="135" t="s">
        <v>301</v>
      </c>
      <c r="G20" s="274"/>
      <c r="I20" s="286"/>
      <c r="J20" s="286"/>
      <c r="Q20" s="279">
        <v>14</v>
      </c>
    </row>
    <row r="21" spans="1:17" s="1561" customFormat="1" ht="18.75" hidden="1" customHeight="1">
      <c r="A21" s="280"/>
      <c r="B21" s="83"/>
      <c r="C21" s="244"/>
      <c r="D21" s="270" t="s">
        <v>631</v>
      </c>
      <c r="E21" s="269"/>
      <c r="F21" s="268"/>
      <c r="G21" s="278"/>
      <c r="H21" s="271"/>
      <c r="I21" s="286"/>
      <c r="J21" s="286"/>
      <c r="Q21" s="279">
        <v>0</v>
      </c>
    </row>
    <row r="22" spans="1:17" ht="15.75" customHeight="1">
      <c r="A22" s="129"/>
      <c r="C22" s="35"/>
      <c r="D22" s="48"/>
      <c r="E22" s="140" t="s">
        <v>317</v>
      </c>
      <c r="F22" s="275"/>
      <c r="G22" s="276"/>
      <c r="Q22" s="22">
        <v>15</v>
      </c>
    </row>
    <row r="23" spans="1:17" s="1561" customFormat="1" ht="22.5" hidden="1" customHeight="1">
      <c r="A23" s="280"/>
      <c r="B23" s="1086"/>
      <c r="C23" s="312"/>
      <c r="D23" s="1599" t="s">
        <v>106</v>
      </c>
      <c r="E23" s="134" t="s">
        <v>1121</v>
      </c>
      <c r="F23" s="1596" t="s">
        <v>301</v>
      </c>
      <c r="G23" s="282"/>
      <c r="I23" s="1550"/>
      <c r="J23" s="1550"/>
      <c r="Q23" s="1557">
        <v>0</v>
      </c>
    </row>
    <row r="24" spans="1:17" s="1561" customFormat="1" ht="14.25" hidden="1" customHeight="1">
      <c r="A24" s="280"/>
      <c r="B24" s="1086"/>
      <c r="C24" s="312"/>
      <c r="D24" s="1599" t="s">
        <v>704</v>
      </c>
      <c r="E24" s="1598" t="s">
        <v>1122</v>
      </c>
      <c r="F24" s="1596" t="s">
        <v>301</v>
      </c>
      <c r="G24" s="274"/>
      <c r="I24" s="1550"/>
      <c r="J24" s="1550"/>
      <c r="Q24" s="1557">
        <v>0</v>
      </c>
    </row>
    <row r="25" spans="1:17" s="1561" customFormat="1" ht="14.25" hidden="1" customHeight="1">
      <c r="A25" s="280"/>
      <c r="B25" s="1086"/>
      <c r="C25" s="312"/>
      <c r="D25" s="1599" t="s">
        <v>707</v>
      </c>
      <c r="E25" s="132"/>
      <c r="F25" s="321"/>
      <c r="G25" s="2100" t="s">
        <v>1123</v>
      </c>
      <c r="I25" s="1550"/>
      <c r="J25" s="1550"/>
      <c r="Q25" s="1557">
        <v>0</v>
      </c>
    </row>
    <row r="26" spans="1:17" s="1561" customFormat="1" ht="22.5" hidden="1" customHeight="1">
      <c r="A26" s="280"/>
      <c r="B26" s="1086"/>
      <c r="C26" s="312"/>
      <c r="D26" s="284"/>
      <c r="E26" s="285" t="s">
        <v>1124</v>
      </c>
      <c r="F26" s="275"/>
      <c r="G26" s="2102"/>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78</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684</v>
      </c>
      <c r="D2" s="1599"/>
      <c r="E2" s="136"/>
      <c r="F2" s="1596"/>
      <c r="G2" s="1596" t="s">
        <v>301</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684</v>
      </c>
      <c r="D4" s="1599"/>
      <c r="E4" s="142" t="s">
        <v>1125</v>
      </c>
      <c r="F4" s="1596"/>
      <c r="G4" s="194"/>
      <c r="H4" s="1596" t="s">
        <v>301</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684</v>
      </c>
      <c r="D6" s="1599"/>
      <c r="E6" s="143" t="s">
        <v>1126</v>
      </c>
      <c r="F6" s="1596"/>
      <c r="G6" s="194"/>
      <c r="H6" s="1596" t="s">
        <v>301</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684</v>
      </c>
      <c r="D8" s="1599"/>
      <c r="E8" s="143" t="s">
        <v>1127</v>
      </c>
      <c r="F8" s="1596"/>
      <c r="G8" s="194"/>
      <c r="H8" s="1596" t="s">
        <v>301</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684</v>
      </c>
      <c r="D10" s="1599"/>
      <c r="E10" s="143" t="s">
        <v>1128</v>
      </c>
      <c r="F10" s="1596"/>
      <c r="G10" s="1600"/>
      <c r="H10" s="1596" t="s">
        <v>301</v>
      </c>
      <c r="K10" s="1550"/>
      <c r="L10" s="1550" t="s">
        <v>1129</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7"/>
      <c r="F14" s="2107"/>
      <c r="G14" s="2107"/>
      <c r="H14" s="2108"/>
      <c r="J14" s="1557"/>
      <c r="M14" s="22">
        <v>28</v>
      </c>
    </row>
    <row r="15" spans="1:13" s="1561" customFormat="1" ht="14.65" customHeight="1">
      <c r="A15" s="1288"/>
      <c r="B15" s="1086"/>
      <c r="C15" s="312"/>
      <c r="D15" s="2159" t="str">
        <f>IF(org=0,"Не определено",org)</f>
        <v>ОП АО "Байкалэнерго" - "Саяногорские тепловые сети"</v>
      </c>
      <c r="E15" s="2160"/>
      <c r="F15" s="2160"/>
      <c r="G15" s="2160"/>
      <c r="H15" s="2161"/>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45" t="s">
        <v>295</v>
      </c>
      <c r="E18" s="2145"/>
      <c r="F18" s="2145"/>
      <c r="G18" s="2145"/>
      <c r="H18" s="2145"/>
      <c r="I18" s="2288" t="s">
        <v>296</v>
      </c>
      <c r="M18" s="22">
        <v>21</v>
      </c>
    </row>
    <row r="19" spans="1:13" ht="21.95" customHeight="1">
      <c r="C19" s="35"/>
      <c r="D19" s="44" t="s">
        <v>84</v>
      </c>
      <c r="E19" s="47" t="s">
        <v>297</v>
      </c>
      <c r="F19" s="47"/>
      <c r="G19" s="47" t="s">
        <v>298</v>
      </c>
      <c r="H19" s="47" t="s">
        <v>385</v>
      </c>
      <c r="I19" s="2288"/>
      <c r="M19" s="22">
        <v>21</v>
      </c>
    </row>
    <row r="20" spans="1:13" ht="12" hidden="1" customHeight="1">
      <c r="C20" s="35"/>
      <c r="D20" s="26"/>
      <c r="E20" s="26"/>
      <c r="F20" s="26"/>
      <c r="G20" s="26"/>
      <c r="H20" s="26"/>
      <c r="I20" s="26"/>
      <c r="M20" s="22">
        <v>0</v>
      </c>
    </row>
    <row r="21" spans="1:13" ht="14.65" customHeight="1">
      <c r="A21" s="1609"/>
      <c r="C21" s="35"/>
      <c r="D21" s="84">
        <v>1</v>
      </c>
      <c r="E21" s="2339" t="s">
        <v>1130</v>
      </c>
      <c r="F21" s="2339"/>
      <c r="G21" s="2339"/>
      <c r="H21" s="2339"/>
      <c r="I21" s="145"/>
      <c r="M21" s="22">
        <v>14</v>
      </c>
    </row>
    <row r="22" spans="1:13" ht="21" customHeight="1">
      <c r="A22" s="1609"/>
      <c r="C22" s="35"/>
      <c r="D22" s="84" t="s">
        <v>1018</v>
      </c>
      <c r="E22" s="131" t="s">
        <v>1131</v>
      </c>
      <c r="F22" s="135"/>
      <c r="G22" s="1663"/>
      <c r="H22" s="135" t="s">
        <v>301</v>
      </c>
      <c r="I22" s="88" t="s">
        <v>1132</v>
      </c>
      <c r="M22" s="22">
        <v>20</v>
      </c>
    </row>
    <row r="23" spans="1:13" ht="60" customHeight="1">
      <c r="A23" s="1609"/>
      <c r="C23" s="35"/>
      <c r="D23" s="84" t="s">
        <v>1020</v>
      </c>
      <c r="E23" s="131" t="s">
        <v>1133</v>
      </c>
      <c r="F23" s="135"/>
      <c r="G23" s="194"/>
      <c r="H23" s="150"/>
      <c r="I23" s="195" t="s">
        <v>1134</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301</v>
      </c>
      <c r="H24" s="150"/>
      <c r="I24" s="196" t="s">
        <v>626</v>
      </c>
      <c r="M24" s="22">
        <v>14</v>
      </c>
    </row>
    <row r="25" spans="1:13" ht="48.2" customHeight="1">
      <c r="A25" s="1609"/>
      <c r="C25" s="35"/>
      <c r="D25" s="84">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9"/>
      <c r="G25" s="2339"/>
      <c r="H25" s="2339"/>
      <c r="I25" s="193"/>
      <c r="M25" s="22">
        <v>46</v>
      </c>
    </row>
    <row r="26" spans="1:13" ht="14.65" customHeight="1">
      <c r="A26" s="1609"/>
      <c r="C26" s="35"/>
      <c r="D26" s="84" t="s">
        <v>319</v>
      </c>
      <c r="E26" s="136"/>
      <c r="F26" s="135"/>
      <c r="G26" s="135" t="s">
        <v>301</v>
      </c>
      <c r="H26" s="150"/>
      <c r="I26" s="2100" t="s">
        <v>1135</v>
      </c>
      <c r="M26" s="22">
        <v>14</v>
      </c>
    </row>
    <row r="27" spans="1:13" ht="15.75" customHeight="1">
      <c r="A27" s="1609" t="s">
        <v>105</v>
      </c>
      <c r="C27" s="35"/>
      <c r="D27" s="48"/>
      <c r="E27" s="140" t="s">
        <v>317</v>
      </c>
      <c r="F27" s="141"/>
      <c r="G27" s="141"/>
      <c r="H27" s="138"/>
      <c r="I27" s="2102"/>
      <c r="M27" s="22">
        <v>15</v>
      </c>
    </row>
    <row r="28" spans="1:13" ht="39.75" customHeight="1">
      <c r="A28" s="1609"/>
      <c r="B28" s="83">
        <v>3</v>
      </c>
      <c r="C28" s="35"/>
      <c r="D28" s="84">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9"/>
      <c r="G28" s="2339"/>
      <c r="H28" s="2339"/>
      <c r="I28" s="193"/>
      <c r="M28" s="22">
        <v>38</v>
      </c>
    </row>
    <row r="29" spans="1:13" ht="21" customHeight="1">
      <c r="A29" s="1609"/>
      <c r="C29" s="35"/>
      <c r="D29" s="84" t="s">
        <v>749</v>
      </c>
      <c r="E29" s="142" t="s">
        <v>1125</v>
      </c>
      <c r="F29" s="135"/>
      <c r="G29" s="194"/>
      <c r="H29" s="135" t="s">
        <v>301</v>
      </c>
      <c r="I29" s="2100" t="s">
        <v>1136</v>
      </c>
      <c r="M29" s="22">
        <v>20</v>
      </c>
    </row>
    <row r="30" spans="1:13" ht="15.75" customHeight="1">
      <c r="A30" s="1609" t="s">
        <v>106</v>
      </c>
      <c r="C30" s="35"/>
      <c r="D30" s="48"/>
      <c r="E30" s="140" t="s">
        <v>317</v>
      </c>
      <c r="F30" s="141"/>
      <c r="G30" s="141"/>
      <c r="H30" s="138"/>
      <c r="I30" s="2102"/>
      <c r="M30" s="22">
        <v>15</v>
      </c>
    </row>
    <row r="31" spans="1:13" ht="31.5" customHeight="1">
      <c r="A31" s="1609"/>
      <c r="B31" s="83">
        <v>3</v>
      </c>
      <c r="C31" s="35"/>
      <c r="D31" s="84">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9"/>
      <c r="G31" s="2339"/>
      <c r="H31" s="2339"/>
      <c r="I31" s="193"/>
      <c r="M31" s="22">
        <v>30</v>
      </c>
    </row>
    <row r="32" spans="1:13" ht="27.4" customHeight="1">
      <c r="A32" s="1609"/>
      <c r="C32" s="35"/>
      <c r="D32" s="84" t="s">
        <v>308</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2"/>
      <c r="G32" s="2302"/>
      <c r="H32" s="2302"/>
      <c r="I32" s="193"/>
      <c r="M32" s="22">
        <v>26</v>
      </c>
    </row>
    <row r="33" spans="1:13" ht="14.65" customHeight="1">
      <c r="A33" s="1609"/>
      <c r="C33" s="35"/>
      <c r="D33" s="84" t="s">
        <v>1137</v>
      </c>
      <c r="E33" s="143" t="s">
        <v>1126</v>
      </c>
      <c r="F33" s="135"/>
      <c r="G33" s="194"/>
      <c r="H33" s="135" t="s">
        <v>301</v>
      </c>
      <c r="I33" s="2100" t="s">
        <v>1138</v>
      </c>
      <c r="M33" s="22">
        <v>14</v>
      </c>
    </row>
    <row r="34" spans="1:13" ht="15.75" customHeight="1">
      <c r="A34" s="1609" t="s">
        <v>86</v>
      </c>
      <c r="C34" s="35"/>
      <c r="D34" s="48"/>
      <c r="E34" s="141" t="s">
        <v>317</v>
      </c>
      <c r="F34" s="137"/>
      <c r="G34" s="137"/>
      <c r="H34" s="138"/>
      <c r="I34" s="2102"/>
      <c r="M34" s="22">
        <v>15</v>
      </c>
    </row>
    <row r="35" spans="1:13" ht="25.15" customHeight="1">
      <c r="A35" s="1609"/>
      <c r="C35" s="35"/>
      <c r="D35" s="84" t="s">
        <v>877</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2"/>
      <c r="G35" s="2302"/>
      <c r="H35" s="2302"/>
      <c r="I35" s="193"/>
      <c r="M35" s="22">
        <v>24</v>
      </c>
    </row>
    <row r="36" spans="1:13" ht="14.65" customHeight="1">
      <c r="A36" s="1609"/>
      <c r="C36" s="35"/>
      <c r="D36" s="84" t="s">
        <v>1139</v>
      </c>
      <c r="E36" s="143" t="s">
        <v>1127</v>
      </c>
      <c r="F36" s="135"/>
      <c r="G36" s="194"/>
      <c r="H36" s="135" t="s">
        <v>301</v>
      </c>
      <c r="I36" s="2078" t="s">
        <v>1140</v>
      </c>
      <c r="M36" s="22">
        <v>14</v>
      </c>
    </row>
    <row r="37" spans="1:13" ht="15.75" customHeight="1">
      <c r="A37" s="1609" t="s">
        <v>87</v>
      </c>
      <c r="C37" s="35"/>
      <c r="D37" s="48"/>
      <c r="E37" s="141" t="s">
        <v>317</v>
      </c>
      <c r="F37" s="137"/>
      <c r="G37" s="137"/>
      <c r="H37" s="138"/>
      <c r="I37" s="2078"/>
      <c r="M37" s="22">
        <v>15</v>
      </c>
    </row>
    <row r="38" spans="1:13" ht="27.4" customHeight="1">
      <c r="A38" s="1609"/>
      <c r="C38" s="35"/>
      <c r="D38" s="84" t="s">
        <v>878</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2"/>
      <c r="G38" s="2302"/>
      <c r="H38" s="2302"/>
      <c r="I38" s="193"/>
      <c r="M38" s="22">
        <v>26</v>
      </c>
    </row>
    <row r="39" spans="1:13" ht="14.65" customHeight="1">
      <c r="A39" s="1609"/>
      <c r="C39" s="35"/>
      <c r="D39" s="84" t="s">
        <v>879</v>
      </c>
      <c r="E39" s="143" t="s">
        <v>1128</v>
      </c>
      <c r="F39" s="135"/>
      <c r="G39" s="144"/>
      <c r="H39" s="135" t="s">
        <v>301</v>
      </c>
      <c r="I39" s="2100" t="s">
        <v>1141</v>
      </c>
      <c r="L39" s="92" t="s">
        <v>1129</v>
      </c>
      <c r="M39" s="22">
        <v>14</v>
      </c>
    </row>
    <row r="40" spans="1:13" ht="15.75" customHeight="1">
      <c r="A40" s="1609" t="s">
        <v>107</v>
      </c>
      <c r="C40" s="35"/>
      <c r="D40" s="48"/>
      <c r="E40" s="141" t="s">
        <v>317</v>
      </c>
      <c r="F40" s="137"/>
      <c r="G40" s="137"/>
      <c r="H40" s="138"/>
      <c r="I40" s="2102"/>
      <c r="M40" s="22">
        <v>15</v>
      </c>
    </row>
    <row r="41" spans="1:13" s="1748" customFormat="1" ht="3" customHeight="1">
      <c r="A41" s="1609"/>
      <c r="K41" s="133"/>
      <c r="L41" s="133"/>
      <c r="M41" s="78">
        <v>3</v>
      </c>
    </row>
    <row r="42" spans="1:13" ht="26.25" customHeight="1">
      <c r="D42" s="1607" t="s">
        <v>799</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3"/>
      <c r="G42" s="2183"/>
      <c r="H42" s="2183"/>
      <c r="I42" s="2183"/>
      <c r="M42" s="22">
        <v>25</v>
      </c>
    </row>
    <row r="43" spans="1:13" ht="22.5" hidden="1" customHeight="1">
      <c r="A43" s="1288" t="s">
        <v>78</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152</v>
      </c>
      <c r="B2" s="1706" t="s">
        <v>153</v>
      </c>
      <c r="C2" s="305"/>
      <c r="D2" s="281"/>
      <c r="E2" s="960"/>
      <c r="F2" s="960"/>
      <c r="G2" s="2315" t="str">
        <f>INDEX(PT_DIFFERENTIATION_NTAR,MATCH(B2,PT_DIFFERENTIATION_NTAR_ID,0))</f>
        <v/>
      </c>
      <c r="H2" s="1789"/>
      <c r="I2" s="1665"/>
      <c r="J2" s="1699"/>
      <c r="K2" s="1790"/>
      <c r="L2" s="1789" t="s">
        <v>301</v>
      </c>
      <c r="M2" s="1800"/>
      <c r="N2" s="271"/>
      <c r="O2" s="1550"/>
      <c r="P2" s="1550"/>
      <c r="AH2" s="1557">
        <v>0</v>
      </c>
    </row>
    <row r="3" spans="1:34" s="1561" customFormat="1" ht="18.75" hidden="1" customHeight="1">
      <c r="A3" s="1706"/>
      <c r="B3" s="1706"/>
      <c r="C3" s="305" t="s">
        <v>1142</v>
      </c>
      <c r="D3" s="281"/>
      <c r="E3" s="960"/>
      <c r="F3" s="960"/>
      <c r="G3" s="2315"/>
      <c r="H3" s="1426"/>
      <c r="I3" s="587" t="s">
        <v>1143</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152</v>
      </c>
      <c r="B5" s="1706" t="s">
        <v>153</v>
      </c>
      <c r="C5" s="305"/>
      <c r="D5" s="281"/>
      <c r="E5" s="960"/>
      <c r="F5" s="960"/>
      <c r="G5" s="2315" t="str">
        <f>INDEX(PT_DIFFERENTIATION_NTAR,MATCH(B5,PT_DIFFERENTIATION_NTAR_ID,0))</f>
        <v/>
      </c>
      <c r="H5" s="1789"/>
      <c r="I5" s="1665"/>
      <c r="J5" s="1699"/>
      <c r="K5" s="1704"/>
      <c r="L5" s="1789" t="s">
        <v>301</v>
      </c>
      <c r="M5" s="1800"/>
      <c r="N5" s="271"/>
      <c r="O5" s="1550"/>
      <c r="P5" s="1550"/>
      <c r="AH5" s="1557">
        <v>0</v>
      </c>
    </row>
    <row r="6" spans="1:34" s="1561" customFormat="1" ht="18.75" hidden="1" customHeight="1">
      <c r="A6" s="1706"/>
      <c r="B6" s="1706"/>
      <c r="C6" s="305" t="s">
        <v>1144</v>
      </c>
      <c r="D6" s="281"/>
      <c r="E6" s="960"/>
      <c r="F6" s="960"/>
      <c r="G6" s="2315"/>
      <c r="H6" s="1426"/>
      <c r="I6" s="587" t="s">
        <v>1143</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301</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301</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1"/>
      <c r="G14" s="2341"/>
      <c r="H14" s="2341"/>
      <c r="I14" s="2341"/>
      <c r="J14" s="2341"/>
      <c r="K14" s="2341"/>
      <c r="L14" s="2341"/>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45" t="s">
        <v>295</v>
      </c>
      <c r="F19" s="2145"/>
      <c r="G19" s="2145"/>
      <c r="H19" s="2145"/>
      <c r="I19" s="2145"/>
      <c r="J19" s="2145"/>
      <c r="K19" s="2145"/>
      <c r="L19" s="2145"/>
      <c r="M19" s="2288" t="s">
        <v>296</v>
      </c>
      <c r="AH19" s="310">
        <v>21</v>
      </c>
    </row>
    <row r="20" spans="1:34" ht="21.95" customHeight="1">
      <c r="D20" s="312"/>
      <c r="E20" s="2201" t="s">
        <v>84</v>
      </c>
      <c r="F20" s="2151" t="s">
        <v>119</v>
      </c>
      <c r="G20" s="2151" t="s">
        <v>120</v>
      </c>
      <c r="H20" s="2285" t="s">
        <v>1145</v>
      </c>
      <c r="I20" s="2286"/>
      <c r="J20" s="2317"/>
      <c r="K20" s="2151" t="s">
        <v>298</v>
      </c>
      <c r="L20" s="2151" t="s">
        <v>385</v>
      </c>
      <c r="M20" s="2288"/>
      <c r="AH20" s="310">
        <v>21</v>
      </c>
    </row>
    <row r="21" spans="1:34" ht="21.95" customHeight="1">
      <c r="D21" s="312"/>
      <c r="E21" s="2203"/>
      <c r="F21" s="2152"/>
      <c r="G21" s="2152"/>
      <c r="H21" s="2150" t="s">
        <v>1146</v>
      </c>
      <c r="I21" s="2164"/>
      <c r="J21" s="47" t="s">
        <v>1147</v>
      </c>
      <c r="K21" s="2152"/>
      <c r="L21" s="2152"/>
      <c r="M21" s="2288"/>
      <c r="AH21" s="310">
        <v>21</v>
      </c>
    </row>
    <row r="22" spans="1:34" ht="12.75" customHeight="1">
      <c r="D22" s="312"/>
      <c r="E22" s="218"/>
      <c r="F22" s="218"/>
      <c r="G22" s="218"/>
      <c r="H22" s="2343"/>
      <c r="I22" s="2343"/>
      <c r="J22" s="218"/>
      <c r="K22" s="218"/>
      <c r="L22" s="218"/>
      <c r="M22" s="218"/>
      <c r="AH22" s="310">
        <v>12</v>
      </c>
    </row>
    <row r="23" spans="1:34" ht="19.899999999999999" customHeight="1">
      <c r="A23" s="1706"/>
      <c r="B23" s="1706"/>
      <c r="D23" s="312"/>
      <c r="E23" s="1791" t="s">
        <v>105</v>
      </c>
      <c r="F23" s="2344" t="str">
        <f>"Предлагаемый метод регулирования"&amp;IF(TEMPLATE_SPHERE="HEAT"," в сфере "&amp;TEMPLATE_SPHERE_RUS,"")</f>
        <v>Предлагаемый метод регулирования в сфере теплоснабжения</v>
      </c>
      <c r="G23" s="2344"/>
      <c r="H23" s="2339"/>
      <c r="I23" s="2339"/>
      <c r="J23" s="2339"/>
      <c r="K23" s="2344" t="s">
        <v>301</v>
      </c>
      <c r="L23" s="2339"/>
      <c r="M23" s="1695"/>
      <c r="N23" s="271"/>
      <c r="AH23" s="310">
        <v>19</v>
      </c>
    </row>
    <row r="24" spans="1:34" ht="60.75" hidden="1" customHeight="1">
      <c r="A24" s="1706" t="s">
        <v>152</v>
      </c>
      <c r="B24" s="1706" t="s">
        <v>153</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7"/>
      <c r="I24" s="1665"/>
      <c r="J24" s="1699"/>
      <c r="K24" s="1790"/>
      <c r="L24" s="1694" t="s">
        <v>301</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1142</v>
      </c>
      <c r="D25" s="2342"/>
      <c r="E25" s="2140"/>
      <c r="F25" s="2345"/>
      <c r="G25" s="2315"/>
      <c r="H25" s="1426"/>
      <c r="I25" s="587" t="s">
        <v>1143</v>
      </c>
      <c r="J25" s="507"/>
      <c r="K25" s="1426"/>
      <c r="L25" s="151"/>
      <c r="M25" s="2101"/>
      <c r="N25" s="271"/>
      <c r="O25" s="1550"/>
      <c r="P25" s="1550"/>
      <c r="AH25" s="1557">
        <v>0</v>
      </c>
    </row>
    <row r="26" spans="1:34" ht="0.75" hidden="1" customHeight="1">
      <c r="A26" s="1706"/>
      <c r="B26" s="1706"/>
      <c r="C26" s="305" t="s">
        <v>1148</v>
      </c>
      <c r="D26" s="2342"/>
      <c r="E26" s="2140"/>
      <c r="F26" s="2278"/>
      <c r="G26" s="336"/>
      <c r="H26" s="1426"/>
      <c r="I26" s="331"/>
      <c r="J26" s="285"/>
      <c r="K26" s="1426"/>
      <c r="L26" s="138"/>
      <c r="M26" s="2101"/>
      <c r="N26" s="271"/>
      <c r="AH26" s="310">
        <v>0</v>
      </c>
    </row>
    <row r="27" spans="1:34" s="1561" customFormat="1" ht="45" hidden="1" customHeight="1">
      <c r="A27" s="1706" t="s">
        <v>157</v>
      </c>
      <c r="B27" s="1706" t="s">
        <v>158</v>
      </c>
      <c r="C27" s="305"/>
      <c r="D27" s="2340"/>
      <c r="E27" s="2346"/>
      <c r="F27" s="2347" t="str">
        <f>INDEX(PT_DIFFERENTIATION_VTAR,MATCH(A27,PT_DIFFERENTIATION_VTAR_ID,0))</f>
        <v/>
      </c>
      <c r="G27" s="2315" t="str">
        <f>INDEX(PT_DIFFERENTIATION_NTAR,MATCH(B27,PT_DIFFERENTIATION_NTAR_ID,0))</f>
        <v/>
      </c>
      <c r="H27" s="1787"/>
      <c r="I27" s="1665"/>
      <c r="J27" s="1699"/>
      <c r="K27" s="1790"/>
      <c r="L27" s="1787" t="s">
        <v>301</v>
      </c>
      <c r="M27" s="2101"/>
      <c r="N27" s="271"/>
      <c r="O27" s="1550"/>
      <c r="P27" s="1550"/>
      <c r="AH27" s="1557">
        <v>0</v>
      </c>
    </row>
    <row r="28" spans="1:34" s="1561" customFormat="1" ht="18.75" hidden="1" customHeight="1">
      <c r="A28" s="1706"/>
      <c r="B28" s="1706"/>
      <c r="C28" s="305" t="s">
        <v>1142</v>
      </c>
      <c r="D28" s="2340"/>
      <c r="E28" s="2346"/>
      <c r="F28" s="2347"/>
      <c r="G28" s="2315"/>
      <c r="H28" s="1426"/>
      <c r="I28" s="587" t="s">
        <v>1143</v>
      </c>
      <c r="J28" s="507"/>
      <c r="K28" s="1426"/>
      <c r="L28" s="151"/>
      <c r="M28" s="2101"/>
      <c r="N28" s="271"/>
      <c r="O28" s="1550"/>
      <c r="P28" s="1550"/>
      <c r="AH28" s="1557">
        <v>0</v>
      </c>
    </row>
    <row r="29" spans="1:34" s="1561" customFormat="1" ht="0.75" hidden="1" customHeight="1">
      <c r="A29" s="1706"/>
      <c r="B29" s="1706"/>
      <c r="C29" s="305" t="s">
        <v>1148</v>
      </c>
      <c r="D29" s="2340"/>
      <c r="E29" s="2140"/>
      <c r="F29" s="2278"/>
      <c r="G29" s="336"/>
      <c r="H29" s="1426"/>
      <c r="I29" s="587"/>
      <c r="J29" s="507"/>
      <c r="K29" s="1426"/>
      <c r="L29" s="151"/>
      <c r="M29" s="2101"/>
      <c r="N29" s="271"/>
      <c r="O29" s="1550"/>
      <c r="P29" s="1550"/>
      <c r="AH29" s="1557">
        <v>0</v>
      </c>
    </row>
    <row r="30" spans="1:34" s="1561" customFormat="1" ht="45" hidden="1" customHeight="1">
      <c r="A30" s="1706" t="s">
        <v>164</v>
      </c>
      <c r="B30" s="1706" t="s">
        <v>165</v>
      </c>
      <c r="C30" s="305"/>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7"/>
      <c r="I30" s="1665"/>
      <c r="J30" s="1699"/>
      <c r="K30" s="1790"/>
      <c r="L30" s="1787" t="s">
        <v>301</v>
      </c>
      <c r="M30" s="2101"/>
      <c r="N30" s="271"/>
      <c r="O30" s="1550"/>
      <c r="P30" s="1550"/>
      <c r="AH30" s="1557">
        <v>0</v>
      </c>
    </row>
    <row r="31" spans="1:34" s="1561" customFormat="1" ht="18.75" hidden="1" customHeight="1">
      <c r="A31" s="1706"/>
      <c r="B31" s="1706"/>
      <c r="C31" s="305" t="s">
        <v>1142</v>
      </c>
      <c r="D31" s="2340"/>
      <c r="E31" s="2140"/>
      <c r="F31" s="2278"/>
      <c r="G31" s="2315"/>
      <c r="H31" s="1426"/>
      <c r="I31" s="587" t="s">
        <v>1143</v>
      </c>
      <c r="J31" s="507"/>
      <c r="K31" s="1426"/>
      <c r="L31" s="151"/>
      <c r="M31" s="2101"/>
      <c r="N31" s="271"/>
      <c r="O31" s="1550"/>
      <c r="P31" s="1550"/>
      <c r="AH31" s="1557">
        <v>0</v>
      </c>
    </row>
    <row r="32" spans="1:34" s="1561" customFormat="1" ht="0.75" hidden="1" customHeight="1">
      <c r="A32" s="1706"/>
      <c r="B32" s="1706"/>
      <c r="C32" s="305" t="s">
        <v>1148</v>
      </c>
      <c r="D32" s="2340"/>
      <c r="E32" s="2140"/>
      <c r="F32" s="2278"/>
      <c r="G32" s="336"/>
      <c r="H32" s="1426"/>
      <c r="I32" s="587"/>
      <c r="J32" s="507"/>
      <c r="K32" s="1426"/>
      <c r="L32" s="151"/>
      <c r="M32" s="2101"/>
      <c r="N32" s="271"/>
      <c r="O32" s="1550"/>
      <c r="P32" s="1550"/>
      <c r="AH32" s="1557">
        <v>0</v>
      </c>
    </row>
    <row r="33" spans="1:34" s="1561" customFormat="1" ht="45" hidden="1" customHeight="1">
      <c r="A33" s="1706" t="s">
        <v>170</v>
      </c>
      <c r="B33" s="1706" t="s">
        <v>171</v>
      </c>
      <c r="C33" s="305"/>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7"/>
      <c r="I33" s="1665"/>
      <c r="J33" s="1699"/>
      <c r="K33" s="1790"/>
      <c r="L33" s="1787" t="s">
        <v>301</v>
      </c>
      <c r="M33" s="2101"/>
      <c r="N33" s="271"/>
      <c r="O33" s="1550"/>
      <c r="P33" s="1550"/>
      <c r="AH33" s="1557">
        <v>0</v>
      </c>
    </row>
    <row r="34" spans="1:34" s="1561" customFormat="1" ht="18.75" hidden="1" customHeight="1">
      <c r="A34" s="1706"/>
      <c r="B34" s="1706"/>
      <c r="C34" s="305" t="s">
        <v>1142</v>
      </c>
      <c r="D34" s="2340"/>
      <c r="E34" s="2140"/>
      <c r="F34" s="2278"/>
      <c r="G34" s="2315"/>
      <c r="H34" s="1426"/>
      <c r="I34" s="587" t="s">
        <v>1143</v>
      </c>
      <c r="J34" s="507"/>
      <c r="K34" s="1426"/>
      <c r="L34" s="151"/>
      <c r="M34" s="2101"/>
      <c r="N34" s="271"/>
      <c r="O34" s="1550"/>
      <c r="P34" s="1550"/>
      <c r="AH34" s="1557">
        <v>0</v>
      </c>
    </row>
    <row r="35" spans="1:34" s="1561" customFormat="1" ht="0.75" hidden="1" customHeight="1">
      <c r="A35" s="1706"/>
      <c r="B35" s="1706"/>
      <c r="C35" s="305" t="s">
        <v>1148</v>
      </c>
      <c r="D35" s="2340"/>
      <c r="E35" s="2140"/>
      <c r="F35" s="2278"/>
      <c r="G35" s="336"/>
      <c r="H35" s="1426"/>
      <c r="I35" s="587"/>
      <c r="J35" s="507"/>
      <c r="K35" s="1426"/>
      <c r="L35" s="151"/>
      <c r="M35" s="2101"/>
      <c r="N35" s="271"/>
      <c r="O35" s="1550"/>
      <c r="P35" s="1550"/>
      <c r="AH35" s="1557">
        <v>0</v>
      </c>
    </row>
    <row r="36" spans="1:34" s="1561" customFormat="1" ht="18.75" hidden="1" customHeight="1">
      <c r="A36" s="1706" t="s">
        <v>176</v>
      </c>
      <c r="B36" s="1706" t="s">
        <v>177</v>
      </c>
      <c r="C36" s="305"/>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7"/>
      <c r="I36" s="1665"/>
      <c r="J36" s="1699"/>
      <c r="K36" s="1790"/>
      <c r="L36" s="1787" t="s">
        <v>301</v>
      </c>
      <c r="M36" s="2101"/>
      <c r="N36" s="271"/>
      <c r="O36" s="1550"/>
      <c r="P36" s="1550"/>
      <c r="AH36" s="1557">
        <v>0</v>
      </c>
    </row>
    <row r="37" spans="1:34" s="1561" customFormat="1" ht="18.75" hidden="1" customHeight="1">
      <c r="A37" s="1706"/>
      <c r="B37" s="1706"/>
      <c r="C37" s="305" t="s">
        <v>1142</v>
      </c>
      <c r="D37" s="2340"/>
      <c r="E37" s="2140"/>
      <c r="F37" s="2278"/>
      <c r="G37" s="2315"/>
      <c r="H37" s="1426"/>
      <c r="I37" s="587" t="s">
        <v>1143</v>
      </c>
      <c r="J37" s="507"/>
      <c r="K37" s="1426"/>
      <c r="L37" s="151"/>
      <c r="M37" s="2101"/>
      <c r="N37" s="271"/>
      <c r="O37" s="1550"/>
      <c r="P37" s="1550"/>
      <c r="AH37" s="1557">
        <v>0</v>
      </c>
    </row>
    <row r="38" spans="1:34" s="1561" customFormat="1" ht="0.75" hidden="1" customHeight="1">
      <c r="A38" s="1706"/>
      <c r="B38" s="1706"/>
      <c r="C38" s="305" t="s">
        <v>1148</v>
      </c>
      <c r="D38" s="2340"/>
      <c r="E38" s="2140"/>
      <c r="F38" s="2278"/>
      <c r="G38" s="336"/>
      <c r="H38" s="1426"/>
      <c r="I38" s="587"/>
      <c r="J38" s="507"/>
      <c r="K38" s="1426"/>
      <c r="L38" s="151"/>
      <c r="M38" s="2101"/>
      <c r="N38" s="271"/>
      <c r="O38" s="1550"/>
      <c r="P38" s="1550"/>
      <c r="AH38" s="1557">
        <v>0</v>
      </c>
    </row>
    <row r="39" spans="1:34" s="1561" customFormat="1" ht="18.75" hidden="1" customHeight="1">
      <c r="A39" s="1706" t="s">
        <v>182</v>
      </c>
      <c r="B39" s="1706" t="s">
        <v>183</v>
      </c>
      <c r="C39" s="305"/>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7"/>
      <c r="I39" s="1665"/>
      <c r="J39" s="1699"/>
      <c r="K39" s="1790"/>
      <c r="L39" s="1787" t="s">
        <v>301</v>
      </c>
      <c r="M39" s="2101"/>
      <c r="N39" s="271"/>
      <c r="O39" s="1550"/>
      <c r="P39" s="1550"/>
      <c r="AH39" s="1557">
        <v>0</v>
      </c>
    </row>
    <row r="40" spans="1:34" s="1561" customFormat="1" ht="18.75" hidden="1" customHeight="1">
      <c r="A40" s="1706"/>
      <c r="B40" s="1706"/>
      <c r="C40" s="305" t="s">
        <v>1142</v>
      </c>
      <c r="D40" s="2340"/>
      <c r="E40" s="2140"/>
      <c r="F40" s="2278"/>
      <c r="G40" s="2315"/>
      <c r="H40" s="1426"/>
      <c r="I40" s="587" t="s">
        <v>1143</v>
      </c>
      <c r="J40" s="507"/>
      <c r="K40" s="1426"/>
      <c r="L40" s="151"/>
      <c r="M40" s="2101"/>
      <c r="N40" s="271"/>
      <c r="O40" s="1550"/>
      <c r="P40" s="1550"/>
      <c r="AH40" s="1557">
        <v>0</v>
      </c>
    </row>
    <row r="41" spans="1:34" s="1561" customFormat="1" ht="0.75" hidden="1" customHeight="1">
      <c r="A41" s="1706"/>
      <c r="B41" s="1706"/>
      <c r="C41" s="305" t="s">
        <v>1148</v>
      </c>
      <c r="D41" s="2340"/>
      <c r="E41" s="2140"/>
      <c r="F41" s="2278"/>
      <c r="G41" s="336"/>
      <c r="H41" s="1426"/>
      <c r="I41" s="587"/>
      <c r="J41" s="507"/>
      <c r="K41" s="1426"/>
      <c r="L41" s="151"/>
      <c r="M41" s="2101"/>
      <c r="N41" s="271"/>
      <c r="O41" s="1550"/>
      <c r="P41" s="1550"/>
      <c r="AH41" s="1557">
        <v>0</v>
      </c>
    </row>
    <row r="42" spans="1:34" s="1561" customFormat="1" ht="18.75" hidden="1" customHeight="1">
      <c r="A42" s="1706" t="s">
        <v>188</v>
      </c>
      <c r="B42" s="1706" t="s">
        <v>189</v>
      </c>
      <c r="C42" s="305"/>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7"/>
      <c r="I42" s="1665"/>
      <c r="J42" s="1699"/>
      <c r="K42" s="1790"/>
      <c r="L42" s="1787" t="s">
        <v>301</v>
      </c>
      <c r="M42" s="2101"/>
      <c r="N42" s="271"/>
      <c r="O42" s="1550"/>
      <c r="P42" s="1550"/>
      <c r="AH42" s="1557">
        <v>0</v>
      </c>
    </row>
    <row r="43" spans="1:34" s="1561" customFormat="1" ht="18.75" hidden="1" customHeight="1">
      <c r="A43" s="1706"/>
      <c r="B43" s="1706"/>
      <c r="C43" s="305" t="s">
        <v>1142</v>
      </c>
      <c r="D43" s="2340"/>
      <c r="E43" s="2140"/>
      <c r="F43" s="2278"/>
      <c r="G43" s="2315"/>
      <c r="H43" s="1426"/>
      <c r="I43" s="587" t="s">
        <v>1143</v>
      </c>
      <c r="J43" s="507"/>
      <c r="K43" s="1426"/>
      <c r="L43" s="151"/>
      <c r="M43" s="2101"/>
      <c r="N43" s="271"/>
      <c r="O43" s="1550"/>
      <c r="P43" s="1550"/>
      <c r="AH43" s="1557">
        <v>0</v>
      </c>
    </row>
    <row r="44" spans="1:34" s="1561" customFormat="1" ht="0.75" hidden="1" customHeight="1">
      <c r="A44" s="1706"/>
      <c r="B44" s="1706"/>
      <c r="C44" s="305" t="s">
        <v>1148</v>
      </c>
      <c r="D44" s="2340"/>
      <c r="E44" s="2140"/>
      <c r="F44" s="2278"/>
      <c r="G44" s="336"/>
      <c r="H44" s="1426"/>
      <c r="I44" s="587"/>
      <c r="J44" s="507"/>
      <c r="K44" s="1426"/>
      <c r="L44" s="151"/>
      <c r="M44" s="2101"/>
      <c r="N44" s="271"/>
      <c r="O44" s="1550"/>
      <c r="P44" s="1550"/>
      <c r="AH44" s="1557">
        <v>0</v>
      </c>
    </row>
    <row r="45" spans="1:34" s="1561" customFormat="1" ht="18.75" hidden="1" customHeight="1">
      <c r="A45" s="1706" t="s">
        <v>194</v>
      </c>
      <c r="B45" s="1706" t="s">
        <v>195</v>
      </c>
      <c r="C45" s="305"/>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7"/>
      <c r="I45" s="1665"/>
      <c r="J45" s="1699"/>
      <c r="K45" s="1790"/>
      <c r="L45" s="1787" t="s">
        <v>301</v>
      </c>
      <c r="M45" s="2101"/>
      <c r="N45" s="271"/>
      <c r="O45" s="1550"/>
      <c r="P45" s="1550"/>
      <c r="AH45" s="1557">
        <v>0</v>
      </c>
    </row>
    <row r="46" spans="1:34" s="1561" customFormat="1" ht="18.75" hidden="1" customHeight="1">
      <c r="A46" s="1706"/>
      <c r="B46" s="1706"/>
      <c r="C46" s="305" t="s">
        <v>1142</v>
      </c>
      <c r="D46" s="2340"/>
      <c r="E46" s="2140"/>
      <c r="F46" s="2278"/>
      <c r="G46" s="2315"/>
      <c r="H46" s="1426"/>
      <c r="I46" s="587" t="s">
        <v>1143</v>
      </c>
      <c r="J46" s="507"/>
      <c r="K46" s="1426"/>
      <c r="L46" s="151"/>
      <c r="M46" s="2101"/>
      <c r="N46" s="271"/>
      <c r="O46" s="1550"/>
      <c r="P46" s="1550"/>
      <c r="AH46" s="1557">
        <v>0</v>
      </c>
    </row>
    <row r="47" spans="1:34" s="1561" customFormat="1" ht="0.75" hidden="1" customHeight="1">
      <c r="A47" s="1706"/>
      <c r="B47" s="1706"/>
      <c r="C47" s="305" t="s">
        <v>1148</v>
      </c>
      <c r="D47" s="2340"/>
      <c r="E47" s="2140"/>
      <c r="F47" s="2278"/>
      <c r="G47" s="336"/>
      <c r="H47" s="1426"/>
      <c r="I47" s="587"/>
      <c r="J47" s="507"/>
      <c r="K47" s="1426"/>
      <c r="L47" s="151"/>
      <c r="M47" s="2101"/>
      <c r="N47" s="271"/>
      <c r="O47" s="1550"/>
      <c r="P47" s="1550"/>
      <c r="AH47" s="1557">
        <v>0</v>
      </c>
    </row>
    <row r="48" spans="1:34" s="1561" customFormat="1" ht="18.75" hidden="1" customHeight="1">
      <c r="A48" s="1706" t="s">
        <v>200</v>
      </c>
      <c r="B48" s="1706" t="s">
        <v>201</v>
      </c>
      <c r="C48" s="305"/>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11"/>
      <c r="I48" s="1665"/>
      <c r="J48" s="1699"/>
      <c r="K48" s="1790"/>
      <c r="L48" s="1911" t="s">
        <v>301</v>
      </c>
      <c r="M48" s="2101"/>
      <c r="N48" s="271"/>
      <c r="O48" s="1550"/>
      <c r="P48" s="1550"/>
      <c r="AH48" s="1557">
        <v>0</v>
      </c>
    </row>
    <row r="49" spans="1:34" s="1561" customFormat="1" ht="18.75" hidden="1" customHeight="1">
      <c r="A49" s="1706"/>
      <c r="B49" s="1706"/>
      <c r="C49" s="305" t="s">
        <v>1142</v>
      </c>
      <c r="D49" s="2340"/>
      <c r="E49" s="2140"/>
      <c r="F49" s="2278"/>
      <c r="G49" s="2315"/>
      <c r="H49" s="1426"/>
      <c r="I49" s="587" t="s">
        <v>1143</v>
      </c>
      <c r="J49" s="507"/>
      <c r="K49" s="1426"/>
      <c r="L49" s="151"/>
      <c r="M49" s="2101"/>
      <c r="N49" s="271"/>
      <c r="O49" s="1550"/>
      <c r="P49" s="1550"/>
      <c r="AH49" s="1557">
        <v>0</v>
      </c>
    </row>
    <row r="50" spans="1:34" s="1561" customFormat="1" ht="0.75" hidden="1" customHeight="1">
      <c r="A50" s="1706"/>
      <c r="B50" s="1706"/>
      <c r="C50" s="305" t="s">
        <v>1148</v>
      </c>
      <c r="D50" s="2340"/>
      <c r="E50" s="2140"/>
      <c r="F50" s="2278"/>
      <c r="G50" s="336"/>
      <c r="H50" s="1426"/>
      <c r="I50" s="587"/>
      <c r="J50" s="507"/>
      <c r="K50" s="1426"/>
      <c r="L50" s="151"/>
      <c r="M50" s="2101"/>
      <c r="N50" s="271"/>
      <c r="O50" s="1550"/>
      <c r="P50" s="1550"/>
      <c r="AH50" s="1557">
        <v>0</v>
      </c>
    </row>
    <row r="51" spans="1:34" s="1561" customFormat="1" ht="18.75" hidden="1" customHeight="1">
      <c r="A51" s="1706" t="s">
        <v>220</v>
      </c>
      <c r="B51" s="1706" t="s">
        <v>221</v>
      </c>
      <c r="C51" s="305"/>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7"/>
      <c r="I51" s="1665"/>
      <c r="J51" s="1699"/>
      <c r="K51" s="1790"/>
      <c r="L51" s="1787" t="s">
        <v>301</v>
      </c>
      <c r="M51" s="2101"/>
      <c r="N51" s="271"/>
      <c r="O51" s="1550"/>
      <c r="P51" s="1550"/>
      <c r="AH51" s="1557">
        <v>0</v>
      </c>
    </row>
    <row r="52" spans="1:34" s="1561" customFormat="1" ht="18.75" hidden="1" customHeight="1">
      <c r="A52" s="1706"/>
      <c r="B52" s="1706"/>
      <c r="C52" s="305" t="s">
        <v>1142</v>
      </c>
      <c r="D52" s="2340"/>
      <c r="E52" s="2140"/>
      <c r="F52" s="2278"/>
      <c r="G52" s="2315"/>
      <c r="H52" s="1426"/>
      <c r="I52" s="587" t="s">
        <v>1143</v>
      </c>
      <c r="J52" s="507"/>
      <c r="K52" s="1426"/>
      <c r="L52" s="151"/>
      <c r="M52" s="2101"/>
      <c r="N52" s="271"/>
      <c r="O52" s="1550"/>
      <c r="P52" s="1550"/>
      <c r="AH52" s="1557">
        <v>0</v>
      </c>
    </row>
    <row r="53" spans="1:34" s="1561" customFormat="1" ht="0.75" hidden="1" customHeight="1">
      <c r="A53" s="1706"/>
      <c r="B53" s="1706"/>
      <c r="C53" s="305" t="s">
        <v>1148</v>
      </c>
      <c r="D53" s="2340"/>
      <c r="E53" s="2140"/>
      <c r="F53" s="2278"/>
      <c r="G53" s="336"/>
      <c r="H53" s="1426"/>
      <c r="I53" s="587"/>
      <c r="J53" s="507"/>
      <c r="K53" s="1426"/>
      <c r="L53" s="151"/>
      <c r="M53" s="2101"/>
      <c r="N53" s="271"/>
      <c r="O53" s="1550"/>
      <c r="P53" s="1550"/>
      <c r="AH53" s="1557">
        <v>0</v>
      </c>
    </row>
    <row r="54" spans="1:34" s="1561" customFormat="1" ht="18.75" hidden="1" customHeight="1">
      <c r="A54" s="1706" t="s">
        <v>225</v>
      </c>
      <c r="B54" s="1706" t="s">
        <v>226</v>
      </c>
      <c r="C54" s="305"/>
      <c r="D54" s="2340"/>
      <c r="E54" s="2140"/>
      <c r="F54" s="2278" t="str">
        <f>INDEX(PT_DIFFERENTIATION_VTAR,MATCH(A54,PT_DIFFERENTIATION_VTAR_ID,0))</f>
        <v>Тариф на техническую воду</v>
      </c>
      <c r="G54" s="2315" t="str">
        <f>INDEX(PT_DIFFERENTIATION_NTAR,MATCH(B54,PT_DIFFERENTIATION_NTAR_ID,0))</f>
        <v/>
      </c>
      <c r="H54" s="1787"/>
      <c r="I54" s="1665"/>
      <c r="J54" s="1699"/>
      <c r="K54" s="1790"/>
      <c r="L54" s="1787" t="s">
        <v>301</v>
      </c>
      <c r="M54" s="2101"/>
      <c r="N54" s="271"/>
      <c r="O54" s="1550"/>
      <c r="P54" s="1550"/>
      <c r="AH54" s="1557">
        <v>0</v>
      </c>
    </row>
    <row r="55" spans="1:34" s="1561" customFormat="1" ht="18.75" hidden="1" customHeight="1">
      <c r="A55" s="1706"/>
      <c r="B55" s="1706"/>
      <c r="C55" s="305" t="s">
        <v>1142</v>
      </c>
      <c r="D55" s="2340"/>
      <c r="E55" s="2140"/>
      <c r="F55" s="2278"/>
      <c r="G55" s="2315"/>
      <c r="H55" s="1426"/>
      <c r="I55" s="587" t="s">
        <v>1143</v>
      </c>
      <c r="J55" s="507"/>
      <c r="K55" s="1426"/>
      <c r="L55" s="151"/>
      <c r="M55" s="2101"/>
      <c r="N55" s="271"/>
      <c r="O55" s="1550"/>
      <c r="P55" s="1550"/>
      <c r="AH55" s="1557">
        <v>0</v>
      </c>
    </row>
    <row r="56" spans="1:34" s="1561" customFormat="1" ht="0.75" hidden="1" customHeight="1">
      <c r="A56" s="1706"/>
      <c r="B56" s="1706"/>
      <c r="C56" s="305" t="s">
        <v>1148</v>
      </c>
      <c r="D56" s="2340"/>
      <c r="E56" s="2140"/>
      <c r="F56" s="2278"/>
      <c r="G56" s="336"/>
      <c r="H56" s="1426"/>
      <c r="I56" s="587"/>
      <c r="J56" s="507"/>
      <c r="K56" s="1426"/>
      <c r="L56" s="151"/>
      <c r="M56" s="2101"/>
      <c r="N56" s="271"/>
      <c r="O56" s="1550"/>
      <c r="P56" s="1550"/>
      <c r="AH56" s="1557">
        <v>0</v>
      </c>
    </row>
    <row r="57" spans="1:34" s="1561" customFormat="1" ht="18.75" hidden="1" customHeight="1">
      <c r="A57" s="1706" t="s">
        <v>230</v>
      </c>
      <c r="B57" s="1706" t="s">
        <v>231</v>
      </c>
      <c r="C57" s="305"/>
      <c r="D57" s="2340"/>
      <c r="E57" s="2140"/>
      <c r="F57" s="2278" t="str">
        <f>INDEX(PT_DIFFERENTIATION_VTAR,MATCH(A57,PT_DIFFERENTIATION_VTAR_ID,0))</f>
        <v>Тариф на транспортировку воды</v>
      </c>
      <c r="G57" s="2315" t="str">
        <f>INDEX(PT_DIFFERENTIATION_NTAR,MATCH(B57,PT_DIFFERENTIATION_NTAR_ID,0))</f>
        <v/>
      </c>
      <c r="H57" s="1787"/>
      <c r="I57" s="1665"/>
      <c r="J57" s="1699"/>
      <c r="K57" s="1790"/>
      <c r="L57" s="1787" t="s">
        <v>301</v>
      </c>
      <c r="M57" s="2101"/>
      <c r="N57" s="271"/>
      <c r="O57" s="1550"/>
      <c r="P57" s="1550"/>
      <c r="AH57" s="1557">
        <v>0</v>
      </c>
    </row>
    <row r="58" spans="1:34" s="1561" customFormat="1" ht="18.75" hidden="1" customHeight="1">
      <c r="A58" s="1706"/>
      <c r="B58" s="1706"/>
      <c r="C58" s="305" t="s">
        <v>1142</v>
      </c>
      <c r="D58" s="2340"/>
      <c r="E58" s="2140"/>
      <c r="F58" s="2278"/>
      <c r="G58" s="2315"/>
      <c r="H58" s="1426"/>
      <c r="I58" s="587" t="s">
        <v>1143</v>
      </c>
      <c r="J58" s="507"/>
      <c r="K58" s="1426"/>
      <c r="L58" s="151"/>
      <c r="M58" s="2101"/>
      <c r="N58" s="271"/>
      <c r="O58" s="1550"/>
      <c r="P58" s="1550"/>
      <c r="AH58" s="1557">
        <v>0</v>
      </c>
    </row>
    <row r="59" spans="1:34" s="1561" customFormat="1" ht="0.75" hidden="1" customHeight="1">
      <c r="A59" s="1706"/>
      <c r="B59" s="1706"/>
      <c r="C59" s="305" t="s">
        <v>1148</v>
      </c>
      <c r="D59" s="2340"/>
      <c r="E59" s="2140"/>
      <c r="F59" s="2278"/>
      <c r="G59" s="336"/>
      <c r="H59" s="1426"/>
      <c r="I59" s="587"/>
      <c r="J59" s="507"/>
      <c r="K59" s="1426"/>
      <c r="L59" s="151"/>
      <c r="M59" s="2101"/>
      <c r="N59" s="271"/>
      <c r="O59" s="1550"/>
      <c r="P59" s="1550"/>
      <c r="AH59" s="1557">
        <v>0</v>
      </c>
    </row>
    <row r="60" spans="1:34" s="1561" customFormat="1" ht="18.75" hidden="1" customHeight="1">
      <c r="A60" s="1706" t="s">
        <v>235</v>
      </c>
      <c r="B60" s="1706" t="s">
        <v>236</v>
      </c>
      <c r="C60" s="305"/>
      <c r="D60" s="2340"/>
      <c r="E60" s="2140"/>
      <c r="F60" s="2278" t="str">
        <f>INDEX(PT_DIFFERENTIATION_VTAR,MATCH(A60,PT_DIFFERENTIATION_VTAR_ID,0))</f>
        <v>Тариф на подвоз воды</v>
      </c>
      <c r="G60" s="2315" t="str">
        <f>INDEX(PT_DIFFERENTIATION_NTAR,MATCH(B60,PT_DIFFERENTIATION_NTAR_ID,0))</f>
        <v/>
      </c>
      <c r="H60" s="1787"/>
      <c r="I60" s="1665"/>
      <c r="J60" s="1699"/>
      <c r="K60" s="1790"/>
      <c r="L60" s="1787" t="s">
        <v>301</v>
      </c>
      <c r="M60" s="2101"/>
      <c r="N60" s="271"/>
      <c r="O60" s="1550"/>
      <c r="P60" s="1550"/>
      <c r="AH60" s="1557">
        <v>0</v>
      </c>
    </row>
    <row r="61" spans="1:34" s="1561" customFormat="1" ht="18.75" hidden="1" customHeight="1">
      <c r="A61" s="1706"/>
      <c r="B61" s="1706"/>
      <c r="C61" s="305" t="s">
        <v>1142</v>
      </c>
      <c r="D61" s="2340"/>
      <c r="E61" s="2140"/>
      <c r="F61" s="2278"/>
      <c r="G61" s="2315"/>
      <c r="H61" s="1426"/>
      <c r="I61" s="587" t="s">
        <v>1143</v>
      </c>
      <c r="J61" s="507"/>
      <c r="K61" s="1426"/>
      <c r="L61" s="151"/>
      <c r="M61" s="2101"/>
      <c r="N61" s="271"/>
      <c r="O61" s="1550"/>
      <c r="P61" s="1550"/>
      <c r="AH61" s="1557">
        <v>0</v>
      </c>
    </row>
    <row r="62" spans="1:34" s="1561" customFormat="1" ht="0.75" hidden="1" customHeight="1">
      <c r="A62" s="1706"/>
      <c r="B62" s="1706"/>
      <c r="C62" s="305" t="s">
        <v>1148</v>
      </c>
      <c r="D62" s="2340"/>
      <c r="E62" s="2140"/>
      <c r="F62" s="2278"/>
      <c r="G62" s="336"/>
      <c r="H62" s="1426"/>
      <c r="I62" s="587"/>
      <c r="J62" s="507"/>
      <c r="K62" s="1426"/>
      <c r="L62" s="151"/>
      <c r="M62" s="2101"/>
      <c r="N62" s="271"/>
      <c r="O62" s="1550"/>
      <c r="P62" s="1550"/>
      <c r="AH62" s="1557">
        <v>0</v>
      </c>
    </row>
    <row r="63" spans="1:34" s="1561" customFormat="1" ht="18.75" hidden="1" customHeight="1">
      <c r="A63" s="1706" t="s">
        <v>240</v>
      </c>
      <c r="B63" s="1706" t="s">
        <v>241</v>
      </c>
      <c r="C63" s="305"/>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7"/>
      <c r="I63" s="1665"/>
      <c r="J63" s="1699"/>
      <c r="K63" s="1790"/>
      <c r="L63" s="1787" t="s">
        <v>301</v>
      </c>
      <c r="M63" s="2101"/>
      <c r="N63" s="271"/>
      <c r="O63" s="1550"/>
      <c r="P63" s="1550"/>
      <c r="AH63" s="1557">
        <v>0</v>
      </c>
    </row>
    <row r="64" spans="1:34" s="1561" customFormat="1" ht="18.75" hidden="1" customHeight="1">
      <c r="A64" s="1706"/>
      <c r="B64" s="1706"/>
      <c r="C64" s="305" t="s">
        <v>1142</v>
      </c>
      <c r="D64" s="2340"/>
      <c r="E64" s="2140"/>
      <c r="F64" s="2278"/>
      <c r="G64" s="2315"/>
      <c r="H64" s="1426"/>
      <c r="I64" s="587" t="s">
        <v>1143</v>
      </c>
      <c r="J64" s="507"/>
      <c r="K64" s="1426"/>
      <c r="L64" s="151"/>
      <c r="M64" s="2101"/>
      <c r="N64" s="271"/>
      <c r="O64" s="1550"/>
      <c r="P64" s="1550"/>
      <c r="AH64" s="1557">
        <v>0</v>
      </c>
    </row>
    <row r="65" spans="1:34" s="1561" customFormat="1" ht="0.75" hidden="1" customHeight="1">
      <c r="A65" s="1706"/>
      <c r="B65" s="1706"/>
      <c r="C65" s="305" t="s">
        <v>1148</v>
      </c>
      <c r="D65" s="2340"/>
      <c r="E65" s="2140"/>
      <c r="F65" s="2278"/>
      <c r="G65" s="336"/>
      <c r="H65" s="1426"/>
      <c r="I65" s="587"/>
      <c r="J65" s="507"/>
      <c r="K65" s="1426"/>
      <c r="L65" s="151"/>
      <c r="M65" s="2101"/>
      <c r="N65" s="271"/>
      <c r="O65" s="1550"/>
      <c r="P65" s="1550"/>
      <c r="AH65" s="1557">
        <v>0</v>
      </c>
    </row>
    <row r="66" spans="1:34" s="1561" customFormat="1" ht="18.75" hidden="1" customHeight="1">
      <c r="A66" s="1706" t="s">
        <v>245</v>
      </c>
      <c r="B66" s="1706" t="s">
        <v>246</v>
      </c>
      <c r="C66" s="305"/>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7"/>
      <c r="I66" s="1665"/>
      <c r="J66" s="1699"/>
      <c r="K66" s="1790"/>
      <c r="L66" s="1787" t="s">
        <v>301</v>
      </c>
      <c r="M66" s="2101"/>
      <c r="N66" s="271"/>
      <c r="O66" s="1550"/>
      <c r="P66" s="1550"/>
      <c r="AH66" s="1557">
        <v>0</v>
      </c>
    </row>
    <row r="67" spans="1:34" s="1561" customFormat="1" ht="18.75" hidden="1" customHeight="1">
      <c r="A67" s="1706"/>
      <c r="B67" s="1706"/>
      <c r="C67" s="305" t="s">
        <v>1142</v>
      </c>
      <c r="D67" s="2340"/>
      <c r="E67" s="2140"/>
      <c r="F67" s="2278"/>
      <c r="G67" s="2315"/>
      <c r="H67" s="1426"/>
      <c r="I67" s="587" t="s">
        <v>1143</v>
      </c>
      <c r="J67" s="507"/>
      <c r="K67" s="1426"/>
      <c r="L67" s="151"/>
      <c r="M67" s="2101"/>
      <c r="N67" s="271"/>
      <c r="O67" s="1550"/>
      <c r="P67" s="1550"/>
      <c r="AH67" s="1557">
        <v>0</v>
      </c>
    </row>
    <row r="68" spans="1:34" s="1561" customFormat="1" ht="0.75" hidden="1" customHeight="1">
      <c r="A68" s="1706"/>
      <c r="B68" s="1706"/>
      <c r="C68" s="305" t="s">
        <v>1148</v>
      </c>
      <c r="D68" s="2340"/>
      <c r="E68" s="2140"/>
      <c r="F68" s="2278"/>
      <c r="G68" s="336"/>
      <c r="H68" s="1426"/>
      <c r="I68" s="587"/>
      <c r="J68" s="507"/>
      <c r="K68" s="1426"/>
      <c r="L68" s="151"/>
      <c r="M68" s="2101"/>
      <c r="N68" s="271"/>
      <c r="O68" s="1550"/>
      <c r="P68" s="1550"/>
      <c r="AH68" s="1557">
        <v>0</v>
      </c>
    </row>
    <row r="69" spans="1:34" s="1561" customFormat="1" ht="18.75" hidden="1" customHeight="1">
      <c r="A69" s="1706" t="s">
        <v>250</v>
      </c>
      <c r="B69" s="1706" t="s">
        <v>251</v>
      </c>
      <c r="C69" s="305"/>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7"/>
      <c r="I69" s="1665"/>
      <c r="J69" s="1699"/>
      <c r="K69" s="1790"/>
      <c r="L69" s="1787" t="s">
        <v>301</v>
      </c>
      <c r="M69" s="2101"/>
      <c r="N69" s="271"/>
      <c r="O69" s="1550"/>
      <c r="P69" s="1550"/>
      <c r="AH69" s="1557">
        <v>0</v>
      </c>
    </row>
    <row r="70" spans="1:34" s="1561" customFormat="1" ht="18.75" hidden="1" customHeight="1">
      <c r="A70" s="1706"/>
      <c r="B70" s="1706"/>
      <c r="C70" s="305" t="s">
        <v>1142</v>
      </c>
      <c r="D70" s="2340"/>
      <c r="E70" s="2140"/>
      <c r="F70" s="2278"/>
      <c r="G70" s="2315"/>
      <c r="H70" s="1426"/>
      <c r="I70" s="587" t="s">
        <v>1143</v>
      </c>
      <c r="J70" s="507"/>
      <c r="K70" s="1426"/>
      <c r="L70" s="151"/>
      <c r="M70" s="2101"/>
      <c r="N70" s="271"/>
      <c r="O70" s="1550"/>
      <c r="P70" s="1550"/>
      <c r="AH70" s="1557">
        <v>0</v>
      </c>
    </row>
    <row r="71" spans="1:34" s="1561" customFormat="1" ht="0.75" hidden="1" customHeight="1">
      <c r="A71" s="1706"/>
      <c r="B71" s="1706"/>
      <c r="C71" s="305" t="s">
        <v>1148</v>
      </c>
      <c r="D71" s="2340"/>
      <c r="E71" s="2140"/>
      <c r="F71" s="2278"/>
      <c r="G71" s="336"/>
      <c r="H71" s="1426"/>
      <c r="I71" s="587"/>
      <c r="J71" s="507"/>
      <c r="K71" s="1426"/>
      <c r="L71" s="151"/>
      <c r="M71" s="2101"/>
      <c r="N71" s="271"/>
      <c r="O71" s="1550"/>
      <c r="P71" s="1550"/>
      <c r="AH71" s="1557">
        <v>0</v>
      </c>
    </row>
    <row r="72" spans="1:34" s="1561" customFormat="1" ht="18.75" hidden="1" customHeight="1">
      <c r="A72" s="1706" t="s">
        <v>255</v>
      </c>
      <c r="B72" s="1706" t="s">
        <v>256</v>
      </c>
      <c r="C72" s="305"/>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7"/>
      <c r="I72" s="1665"/>
      <c r="J72" s="1699"/>
      <c r="K72" s="1790"/>
      <c r="L72" s="1787" t="s">
        <v>301</v>
      </c>
      <c r="M72" s="2101"/>
      <c r="N72" s="271"/>
      <c r="O72" s="1550"/>
      <c r="P72" s="1550"/>
      <c r="AH72" s="1557">
        <v>0</v>
      </c>
    </row>
    <row r="73" spans="1:34" s="1561" customFormat="1" ht="18.75" hidden="1" customHeight="1">
      <c r="A73" s="1706"/>
      <c r="B73" s="1706"/>
      <c r="C73" s="305" t="s">
        <v>1142</v>
      </c>
      <c r="D73" s="2340"/>
      <c r="E73" s="2140"/>
      <c r="F73" s="2278"/>
      <c r="G73" s="2315"/>
      <c r="H73" s="1426"/>
      <c r="I73" s="587" t="s">
        <v>1143</v>
      </c>
      <c r="J73" s="507"/>
      <c r="K73" s="1426"/>
      <c r="L73" s="151"/>
      <c r="M73" s="2101"/>
      <c r="N73" s="271"/>
      <c r="O73" s="1550"/>
      <c r="P73" s="1550"/>
      <c r="AH73" s="1557">
        <v>0</v>
      </c>
    </row>
    <row r="74" spans="1:34" s="1561" customFormat="1" ht="0.75" hidden="1" customHeight="1">
      <c r="A74" s="1706"/>
      <c r="B74" s="1706"/>
      <c r="C74" s="305" t="s">
        <v>1148</v>
      </c>
      <c r="D74" s="2340"/>
      <c r="E74" s="2140"/>
      <c r="F74" s="2278"/>
      <c r="G74" s="336"/>
      <c r="H74" s="1426"/>
      <c r="I74" s="587"/>
      <c r="J74" s="507"/>
      <c r="K74" s="1426"/>
      <c r="L74" s="151"/>
      <c r="M74" s="2101"/>
      <c r="N74" s="271"/>
      <c r="O74" s="1550"/>
      <c r="P74" s="1550"/>
      <c r="AH74" s="1557">
        <v>0</v>
      </c>
    </row>
    <row r="75" spans="1:34" s="1561" customFormat="1" ht="18.75" hidden="1" customHeight="1">
      <c r="A75" s="1706" t="s">
        <v>260</v>
      </c>
      <c r="B75" s="1706" t="s">
        <v>261</v>
      </c>
      <c r="C75" s="305"/>
      <c r="D75" s="2340"/>
      <c r="E75" s="2140"/>
      <c r="F75" s="2278" t="str">
        <f>INDEX(PT_DIFFERENTIATION_VTAR,MATCH(A75,PT_DIFFERENTIATION_VTAR_ID,0))</f>
        <v>Тариф на водоотведение</v>
      </c>
      <c r="G75" s="2315" t="str">
        <f>INDEX(PT_DIFFERENTIATION_NTAR,MATCH(B75,PT_DIFFERENTIATION_NTAR_ID,0))</f>
        <v/>
      </c>
      <c r="H75" s="1787"/>
      <c r="I75" s="1665"/>
      <c r="J75" s="1699"/>
      <c r="K75" s="1790"/>
      <c r="L75" s="1787" t="s">
        <v>301</v>
      </c>
      <c r="M75" s="2101"/>
      <c r="N75" s="271"/>
      <c r="O75" s="1550"/>
      <c r="P75" s="1550"/>
      <c r="AH75" s="1557">
        <v>0</v>
      </c>
    </row>
    <row r="76" spans="1:34" s="1561" customFormat="1" ht="18.75" hidden="1" customHeight="1">
      <c r="A76" s="1706"/>
      <c r="B76" s="1706"/>
      <c r="C76" s="305" t="s">
        <v>1142</v>
      </c>
      <c r="D76" s="2340"/>
      <c r="E76" s="2140"/>
      <c r="F76" s="2278"/>
      <c r="G76" s="2315"/>
      <c r="H76" s="1426"/>
      <c r="I76" s="587" t="s">
        <v>1143</v>
      </c>
      <c r="J76" s="507"/>
      <c r="K76" s="1426"/>
      <c r="L76" s="151"/>
      <c r="M76" s="2101"/>
      <c r="N76" s="271"/>
      <c r="O76" s="1550"/>
      <c r="P76" s="1550"/>
      <c r="AH76" s="1557">
        <v>0</v>
      </c>
    </row>
    <row r="77" spans="1:34" s="1561" customFormat="1" ht="0.75" hidden="1" customHeight="1">
      <c r="A77" s="1706"/>
      <c r="B77" s="1706"/>
      <c r="C77" s="305" t="s">
        <v>1148</v>
      </c>
      <c r="D77" s="2340"/>
      <c r="E77" s="2140"/>
      <c r="F77" s="2278"/>
      <c r="G77" s="336"/>
      <c r="H77" s="1426"/>
      <c r="I77" s="587"/>
      <c r="J77" s="507"/>
      <c r="K77" s="1426"/>
      <c r="L77" s="151"/>
      <c r="M77" s="2101"/>
      <c r="N77" s="271"/>
      <c r="O77" s="1550"/>
      <c r="P77" s="1550"/>
      <c r="AH77" s="1557">
        <v>0</v>
      </c>
    </row>
    <row r="78" spans="1:34" s="1561" customFormat="1" ht="18.75" hidden="1" customHeight="1">
      <c r="A78" s="1706" t="s">
        <v>265</v>
      </c>
      <c r="B78" s="1706" t="s">
        <v>266</v>
      </c>
      <c r="C78" s="305"/>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7"/>
      <c r="I78" s="1665"/>
      <c r="J78" s="1699"/>
      <c r="K78" s="1790"/>
      <c r="L78" s="1787" t="s">
        <v>301</v>
      </c>
      <c r="M78" s="2101"/>
      <c r="N78" s="271"/>
      <c r="O78" s="1550"/>
      <c r="P78" s="1550"/>
      <c r="AH78" s="1557">
        <v>0</v>
      </c>
    </row>
    <row r="79" spans="1:34" s="1561" customFormat="1" ht="18.75" hidden="1" customHeight="1">
      <c r="A79" s="1706"/>
      <c r="B79" s="1706"/>
      <c r="C79" s="305" t="s">
        <v>1142</v>
      </c>
      <c r="D79" s="2340"/>
      <c r="E79" s="2140"/>
      <c r="F79" s="2278"/>
      <c r="G79" s="2315"/>
      <c r="H79" s="1426"/>
      <c r="I79" s="587" t="s">
        <v>1143</v>
      </c>
      <c r="J79" s="507"/>
      <c r="K79" s="1426"/>
      <c r="L79" s="151"/>
      <c r="M79" s="2101"/>
      <c r="N79" s="271"/>
      <c r="O79" s="1550"/>
      <c r="P79" s="1550"/>
      <c r="AH79" s="1557">
        <v>0</v>
      </c>
    </row>
    <row r="80" spans="1:34" s="1561" customFormat="1" ht="0.75" hidden="1" customHeight="1">
      <c r="A80" s="1706"/>
      <c r="B80" s="1706"/>
      <c r="C80" s="305" t="s">
        <v>1148</v>
      </c>
      <c r="D80" s="2340"/>
      <c r="E80" s="2140"/>
      <c r="F80" s="2278"/>
      <c r="G80" s="336"/>
      <c r="H80" s="1426"/>
      <c r="I80" s="587"/>
      <c r="J80" s="507"/>
      <c r="K80" s="1426"/>
      <c r="L80" s="151"/>
      <c r="M80" s="2101"/>
      <c r="N80" s="271"/>
      <c r="O80" s="1550"/>
      <c r="P80" s="1550"/>
      <c r="AH80" s="1557">
        <v>0</v>
      </c>
    </row>
    <row r="81" spans="1:34" s="1561" customFormat="1" ht="18.75" hidden="1" customHeight="1">
      <c r="A81" s="1706" t="s">
        <v>270</v>
      </c>
      <c r="B81" s="1706" t="s">
        <v>271</v>
      </c>
      <c r="C81" s="305"/>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7"/>
      <c r="I81" s="1665"/>
      <c r="J81" s="1699"/>
      <c r="K81" s="1790"/>
      <c r="L81" s="1787" t="s">
        <v>301</v>
      </c>
      <c r="M81" s="2101"/>
      <c r="N81" s="271"/>
      <c r="O81" s="1550"/>
      <c r="P81" s="1550"/>
      <c r="AH81" s="1557">
        <v>0</v>
      </c>
    </row>
    <row r="82" spans="1:34" s="1561" customFormat="1" ht="18.75" hidden="1" customHeight="1">
      <c r="A82" s="1706"/>
      <c r="B82" s="1706"/>
      <c r="C82" s="305" t="s">
        <v>1142</v>
      </c>
      <c r="D82" s="2340"/>
      <c r="E82" s="2140"/>
      <c r="F82" s="2278"/>
      <c r="G82" s="2315"/>
      <c r="H82" s="1426"/>
      <c r="I82" s="587" t="s">
        <v>1143</v>
      </c>
      <c r="J82" s="507"/>
      <c r="K82" s="1426"/>
      <c r="L82" s="151"/>
      <c r="M82" s="2101"/>
      <c r="N82" s="271"/>
      <c r="O82" s="1550"/>
      <c r="P82" s="1550"/>
      <c r="AH82" s="1557">
        <v>0</v>
      </c>
    </row>
    <row r="83" spans="1:34" s="1561" customFormat="1" ht="1.1499999999999999" customHeight="1">
      <c r="A83" s="1706"/>
      <c r="B83" s="1706"/>
      <c r="C83" s="305" t="s">
        <v>1148</v>
      </c>
      <c r="D83" s="2340"/>
      <c r="E83" s="2140"/>
      <c r="F83" s="2278"/>
      <c r="G83" s="336"/>
      <c r="H83" s="1426"/>
      <c r="I83" s="587"/>
      <c r="J83" s="507"/>
      <c r="K83" s="1426"/>
      <c r="L83" s="151"/>
      <c r="M83" s="2101"/>
      <c r="N83" s="271"/>
      <c r="O83" s="1550"/>
      <c r="P83" s="1550"/>
      <c r="AH83" s="1557">
        <v>1</v>
      </c>
    </row>
    <row r="84" spans="1:34" ht="19.899999999999999" customHeight="1">
      <c r="A84" s="1706"/>
      <c r="B84" s="1706"/>
      <c r="D84" s="312"/>
      <c r="E84" s="84" t="s">
        <v>106</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39"/>
      <c r="H84" s="2339"/>
      <c r="I84" s="2339"/>
      <c r="J84" s="2339"/>
      <c r="K84" s="2339"/>
      <c r="L84" s="2339"/>
      <c r="M84" s="234"/>
      <c r="N84" s="271"/>
      <c r="AH84" s="310">
        <v>19</v>
      </c>
    </row>
    <row r="85" spans="1:34" ht="35.65" customHeight="1">
      <c r="A85" s="1706"/>
      <c r="B85" s="1706"/>
      <c r="D85" s="312"/>
      <c r="E85" s="335"/>
      <c r="F85" s="135" t="s">
        <v>301</v>
      </c>
      <c r="G85" s="135" t="s">
        <v>301</v>
      </c>
      <c r="H85" s="2150" t="s">
        <v>301</v>
      </c>
      <c r="I85" s="2164"/>
      <c r="J85" s="135" t="s">
        <v>301</v>
      </c>
      <c r="K85" s="135" t="s">
        <v>301</v>
      </c>
      <c r="L85" s="337"/>
      <c r="M85" s="282" t="s">
        <v>1149</v>
      </c>
      <c r="N85" s="271"/>
      <c r="AH85" s="310">
        <v>34</v>
      </c>
    </row>
    <row r="86" spans="1:34" ht="19.899999999999999" customHeight="1">
      <c r="A86" s="1706"/>
      <c r="B86" s="1706"/>
      <c r="D86" s="312"/>
      <c r="E86" s="84" t="s">
        <v>86</v>
      </c>
      <c r="F86" s="2339" t="s">
        <v>1150</v>
      </c>
      <c r="G86" s="2339"/>
      <c r="H86" s="2339"/>
      <c r="I86" s="2339"/>
      <c r="J86" s="2339"/>
      <c r="K86" s="2339"/>
      <c r="L86" s="2339"/>
      <c r="M86" s="234"/>
      <c r="N86" s="271"/>
      <c r="AH86" s="310">
        <v>19</v>
      </c>
    </row>
    <row r="87" spans="1:34" s="1561" customFormat="1" ht="60.75" hidden="1" customHeight="1">
      <c r="A87" s="1706" t="s">
        <v>152</v>
      </c>
      <c r="B87" s="1706" t="s">
        <v>153</v>
      </c>
      <c r="C87" s="305"/>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7"/>
      <c r="I87" s="1665"/>
      <c r="J87" s="1699"/>
      <c r="K87" s="1704"/>
      <c r="L87" s="1787" t="s">
        <v>301</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1144</v>
      </c>
      <c r="D88" s="2340"/>
      <c r="E88" s="2140"/>
      <c r="F88" s="2278"/>
      <c r="G88" s="2315"/>
      <c r="H88" s="1426"/>
      <c r="I88" s="587" t="s">
        <v>1143</v>
      </c>
      <c r="J88" s="507"/>
      <c r="K88" s="1426"/>
      <c r="L88" s="151"/>
      <c r="M88" s="2101"/>
      <c r="N88" s="271"/>
      <c r="O88" s="1550"/>
      <c r="P88" s="1550"/>
      <c r="AH88" s="1557">
        <v>0</v>
      </c>
    </row>
    <row r="89" spans="1:34" s="1561" customFormat="1" ht="0.75" hidden="1" customHeight="1">
      <c r="A89" s="1706"/>
      <c r="B89" s="1706"/>
      <c r="C89" s="305" t="s">
        <v>1151</v>
      </c>
      <c r="D89" s="2340"/>
      <c r="E89" s="2140"/>
      <c r="F89" s="2278"/>
      <c r="G89" s="336"/>
      <c r="H89" s="1426"/>
      <c r="I89" s="587"/>
      <c r="J89" s="507"/>
      <c r="K89" s="1426"/>
      <c r="L89" s="151"/>
      <c r="M89" s="2101"/>
      <c r="N89" s="271"/>
      <c r="O89" s="1550"/>
      <c r="P89" s="1550"/>
      <c r="AH89" s="1557">
        <v>0</v>
      </c>
    </row>
    <row r="90" spans="1:34" s="1561" customFormat="1" ht="45" hidden="1" customHeight="1">
      <c r="A90" s="1706" t="s">
        <v>157</v>
      </c>
      <c r="B90" s="1706" t="s">
        <v>158</v>
      </c>
      <c r="C90" s="305"/>
      <c r="D90" s="2340"/>
      <c r="E90" s="2140"/>
      <c r="F90" s="2278" t="str">
        <f>INDEX(PT_DIFFERENTIATION_VTAR,MATCH(A90,PT_DIFFERENTIATION_VTAR_ID,0))</f>
        <v/>
      </c>
      <c r="G90" s="2315" t="str">
        <f>INDEX(PT_DIFFERENTIATION_NTAR,MATCH(B90,PT_DIFFERENTIATION_NTAR_ID,0))</f>
        <v/>
      </c>
      <c r="H90" s="1787"/>
      <c r="I90" s="1665"/>
      <c r="J90" s="1699"/>
      <c r="K90" s="1704"/>
      <c r="L90" s="1787" t="s">
        <v>301</v>
      </c>
      <c r="M90" s="2102"/>
      <c r="N90" s="271"/>
      <c r="O90" s="1550"/>
      <c r="P90" s="1550"/>
      <c r="AH90" s="1557">
        <v>0</v>
      </c>
    </row>
    <row r="91" spans="1:34" s="1561" customFormat="1" ht="18.75" hidden="1" customHeight="1">
      <c r="A91" s="1706"/>
      <c r="B91" s="1706"/>
      <c r="C91" s="305" t="s">
        <v>1144</v>
      </c>
      <c r="D91" s="2340"/>
      <c r="E91" s="2140"/>
      <c r="F91" s="2278"/>
      <c r="G91" s="2315"/>
      <c r="H91" s="1426"/>
      <c r="I91" s="587" t="s">
        <v>1143</v>
      </c>
      <c r="J91" s="507"/>
      <c r="K91" s="1426"/>
      <c r="L91" s="151"/>
      <c r="M91" s="1786"/>
      <c r="N91" s="271"/>
      <c r="O91" s="1550"/>
      <c r="P91" s="1550"/>
      <c r="AH91" s="1557">
        <v>0</v>
      </c>
    </row>
    <row r="92" spans="1:34" s="1561" customFormat="1" ht="0.75" hidden="1" customHeight="1">
      <c r="A92" s="1706"/>
      <c r="B92" s="1706"/>
      <c r="C92" s="305" t="s">
        <v>1151</v>
      </c>
      <c r="D92" s="2340"/>
      <c r="E92" s="2140"/>
      <c r="F92" s="2278"/>
      <c r="G92" s="336"/>
      <c r="H92" s="1426"/>
      <c r="I92" s="587"/>
      <c r="J92" s="507"/>
      <c r="K92" s="1426"/>
      <c r="L92" s="151"/>
      <c r="M92" s="278"/>
      <c r="N92" s="271"/>
      <c r="O92" s="1550"/>
      <c r="P92" s="1550"/>
      <c r="AH92" s="1557">
        <v>0</v>
      </c>
    </row>
    <row r="93" spans="1:34" s="1561" customFormat="1" ht="45" hidden="1" customHeight="1">
      <c r="A93" s="1706" t="s">
        <v>164</v>
      </c>
      <c r="B93" s="1706" t="s">
        <v>165</v>
      </c>
      <c r="C93" s="305"/>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7"/>
      <c r="I93" s="1665"/>
      <c r="J93" s="1699"/>
      <c r="K93" s="1704"/>
      <c r="L93" s="1787" t="s">
        <v>301</v>
      </c>
      <c r="M93" s="278"/>
      <c r="N93" s="271"/>
      <c r="O93" s="1550"/>
      <c r="P93" s="1550"/>
      <c r="AH93" s="1557">
        <v>0</v>
      </c>
    </row>
    <row r="94" spans="1:34" s="1561" customFormat="1" ht="18.75" hidden="1" customHeight="1">
      <c r="A94" s="1706"/>
      <c r="B94" s="1706"/>
      <c r="C94" s="305" t="s">
        <v>1144</v>
      </c>
      <c r="D94" s="2340"/>
      <c r="E94" s="2140"/>
      <c r="F94" s="2278"/>
      <c r="G94" s="2315"/>
      <c r="H94" s="1426"/>
      <c r="I94" s="587" t="s">
        <v>1143</v>
      </c>
      <c r="J94" s="507"/>
      <c r="K94" s="1426"/>
      <c r="L94" s="151"/>
      <c r="M94" s="278"/>
      <c r="N94" s="271"/>
      <c r="O94" s="1550"/>
      <c r="P94" s="1550"/>
      <c r="AH94" s="1557">
        <v>0</v>
      </c>
    </row>
    <row r="95" spans="1:34" s="1561" customFormat="1" ht="0.75" hidden="1" customHeight="1">
      <c r="A95" s="1706"/>
      <c r="B95" s="1706"/>
      <c r="C95" s="305" t="s">
        <v>1151</v>
      </c>
      <c r="D95" s="2340"/>
      <c r="E95" s="2140"/>
      <c r="F95" s="2278"/>
      <c r="G95" s="336"/>
      <c r="H95" s="1426"/>
      <c r="I95" s="587"/>
      <c r="J95" s="507"/>
      <c r="K95" s="1426"/>
      <c r="L95" s="151"/>
      <c r="M95" s="278"/>
      <c r="N95" s="271"/>
      <c r="O95" s="1550"/>
      <c r="P95" s="1550"/>
      <c r="AH95" s="1557">
        <v>0</v>
      </c>
    </row>
    <row r="96" spans="1:34" s="1561" customFormat="1" ht="45" hidden="1" customHeight="1">
      <c r="A96" s="1706" t="s">
        <v>170</v>
      </c>
      <c r="B96" s="1706" t="s">
        <v>171</v>
      </c>
      <c r="C96" s="305"/>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7"/>
      <c r="I96" s="1665"/>
      <c r="J96" s="1699"/>
      <c r="K96" s="1704"/>
      <c r="L96" s="1787" t="s">
        <v>301</v>
      </c>
      <c r="M96" s="278"/>
      <c r="N96" s="271"/>
      <c r="O96" s="1550"/>
      <c r="P96" s="1550"/>
      <c r="AH96" s="1557">
        <v>0</v>
      </c>
    </row>
    <row r="97" spans="1:34" s="1561" customFormat="1" ht="18.75" hidden="1" customHeight="1">
      <c r="A97" s="1706"/>
      <c r="B97" s="1706"/>
      <c r="C97" s="305" t="s">
        <v>1144</v>
      </c>
      <c r="D97" s="2340"/>
      <c r="E97" s="2140"/>
      <c r="F97" s="2278"/>
      <c r="G97" s="2315"/>
      <c r="H97" s="1426"/>
      <c r="I97" s="587" t="s">
        <v>1143</v>
      </c>
      <c r="J97" s="507"/>
      <c r="K97" s="1426"/>
      <c r="L97" s="151"/>
      <c r="M97" s="278"/>
      <c r="N97" s="271"/>
      <c r="O97" s="1550"/>
      <c r="P97" s="1550"/>
      <c r="AH97" s="1557">
        <v>0</v>
      </c>
    </row>
    <row r="98" spans="1:34" s="1561" customFormat="1" ht="0.75" hidden="1" customHeight="1">
      <c r="A98" s="1706"/>
      <c r="B98" s="1706"/>
      <c r="C98" s="305" t="s">
        <v>1151</v>
      </c>
      <c r="D98" s="2340"/>
      <c r="E98" s="2140"/>
      <c r="F98" s="2278"/>
      <c r="G98" s="336"/>
      <c r="H98" s="1426"/>
      <c r="I98" s="587"/>
      <c r="J98" s="507"/>
      <c r="K98" s="1426"/>
      <c r="L98" s="151"/>
      <c r="M98" s="278"/>
      <c r="N98" s="271"/>
      <c r="O98" s="1550"/>
      <c r="P98" s="1550"/>
      <c r="AH98" s="1557">
        <v>0</v>
      </c>
    </row>
    <row r="99" spans="1:34" s="1561" customFormat="1" ht="18.75" hidden="1" customHeight="1">
      <c r="A99" s="1706" t="s">
        <v>176</v>
      </c>
      <c r="B99" s="1706" t="s">
        <v>177</v>
      </c>
      <c r="C99" s="305"/>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7"/>
      <c r="I99" s="1665"/>
      <c r="J99" s="1699"/>
      <c r="K99" s="1704"/>
      <c r="L99" s="1787" t="s">
        <v>301</v>
      </c>
      <c r="M99" s="278"/>
      <c r="N99" s="271"/>
      <c r="O99" s="1550"/>
      <c r="P99" s="1550"/>
      <c r="AH99" s="1557">
        <v>0</v>
      </c>
    </row>
    <row r="100" spans="1:34" s="1561" customFormat="1" ht="18.75" hidden="1" customHeight="1">
      <c r="A100" s="1706"/>
      <c r="B100" s="1706"/>
      <c r="C100" s="305" t="s">
        <v>1144</v>
      </c>
      <c r="D100" s="2340"/>
      <c r="E100" s="2140"/>
      <c r="F100" s="2278"/>
      <c r="G100" s="2315"/>
      <c r="H100" s="1426"/>
      <c r="I100" s="587" t="s">
        <v>1143</v>
      </c>
      <c r="J100" s="507"/>
      <c r="K100" s="1426"/>
      <c r="L100" s="151"/>
      <c r="M100" s="278"/>
      <c r="N100" s="271"/>
      <c r="O100" s="1550"/>
      <c r="P100" s="1550"/>
      <c r="AH100" s="1557">
        <v>0</v>
      </c>
    </row>
    <row r="101" spans="1:34" s="1561" customFormat="1" ht="0.75" hidden="1" customHeight="1">
      <c r="A101" s="1706"/>
      <c r="B101" s="1706"/>
      <c r="C101" s="305" t="s">
        <v>1151</v>
      </c>
      <c r="D101" s="2340"/>
      <c r="E101" s="2140"/>
      <c r="F101" s="2278"/>
      <c r="G101" s="336"/>
      <c r="H101" s="1426"/>
      <c r="I101" s="587"/>
      <c r="J101" s="507"/>
      <c r="K101" s="1426"/>
      <c r="L101" s="151"/>
      <c r="M101" s="278"/>
      <c r="N101" s="271"/>
      <c r="O101" s="1550"/>
      <c r="P101" s="1550"/>
      <c r="AH101" s="1557">
        <v>0</v>
      </c>
    </row>
    <row r="102" spans="1:34" s="1561" customFormat="1" ht="18.75" hidden="1" customHeight="1">
      <c r="A102" s="1706" t="s">
        <v>182</v>
      </c>
      <c r="B102" s="1706" t="s">
        <v>183</v>
      </c>
      <c r="C102" s="305"/>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7"/>
      <c r="I102" s="1665"/>
      <c r="J102" s="1699"/>
      <c r="K102" s="1704"/>
      <c r="L102" s="1787" t="s">
        <v>301</v>
      </c>
      <c r="M102" s="278"/>
      <c r="N102" s="271"/>
      <c r="O102" s="1550"/>
      <c r="P102" s="1550"/>
      <c r="AH102" s="1557">
        <v>0</v>
      </c>
    </row>
    <row r="103" spans="1:34" s="1561" customFormat="1" ht="18.75" hidden="1" customHeight="1">
      <c r="A103" s="1706"/>
      <c r="B103" s="1706"/>
      <c r="C103" s="305" t="s">
        <v>1144</v>
      </c>
      <c r="D103" s="2340"/>
      <c r="E103" s="2140"/>
      <c r="F103" s="2278"/>
      <c r="G103" s="2315"/>
      <c r="H103" s="1426"/>
      <c r="I103" s="587" t="s">
        <v>1143</v>
      </c>
      <c r="J103" s="507"/>
      <c r="K103" s="1426"/>
      <c r="L103" s="151"/>
      <c r="M103" s="278"/>
      <c r="N103" s="271"/>
      <c r="O103" s="1550"/>
      <c r="P103" s="1550"/>
      <c r="AH103" s="1557">
        <v>0</v>
      </c>
    </row>
    <row r="104" spans="1:34" s="1561" customFormat="1" ht="0.75" hidden="1" customHeight="1">
      <c r="A104" s="1706"/>
      <c r="B104" s="1706"/>
      <c r="C104" s="305" t="s">
        <v>1151</v>
      </c>
      <c r="D104" s="2340"/>
      <c r="E104" s="2140"/>
      <c r="F104" s="2278"/>
      <c r="G104" s="336"/>
      <c r="H104" s="1426"/>
      <c r="I104" s="587"/>
      <c r="J104" s="507"/>
      <c r="K104" s="1426"/>
      <c r="L104" s="151"/>
      <c r="M104" s="278"/>
      <c r="N104" s="271"/>
      <c r="O104" s="1550"/>
      <c r="P104" s="1550"/>
      <c r="AH104" s="1557">
        <v>0</v>
      </c>
    </row>
    <row r="105" spans="1:34" s="1561" customFormat="1" ht="18.75" hidden="1" customHeight="1">
      <c r="A105" s="1706" t="s">
        <v>188</v>
      </c>
      <c r="B105" s="1706" t="s">
        <v>189</v>
      </c>
      <c r="C105" s="305"/>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7"/>
      <c r="I105" s="1665"/>
      <c r="J105" s="1699"/>
      <c r="K105" s="1704"/>
      <c r="L105" s="1787" t="s">
        <v>301</v>
      </c>
      <c r="M105" s="278"/>
      <c r="N105" s="271"/>
      <c r="O105" s="1550"/>
      <c r="P105" s="1550"/>
      <c r="AH105" s="1557">
        <v>0</v>
      </c>
    </row>
    <row r="106" spans="1:34" s="1561" customFormat="1" ht="18.75" hidden="1" customHeight="1">
      <c r="A106" s="1706"/>
      <c r="B106" s="1706"/>
      <c r="C106" s="305" t="s">
        <v>1144</v>
      </c>
      <c r="D106" s="2340"/>
      <c r="E106" s="2140"/>
      <c r="F106" s="2278"/>
      <c r="G106" s="2315"/>
      <c r="H106" s="1426"/>
      <c r="I106" s="587" t="s">
        <v>1143</v>
      </c>
      <c r="J106" s="507"/>
      <c r="K106" s="1426"/>
      <c r="L106" s="151"/>
      <c r="M106" s="278"/>
      <c r="N106" s="271"/>
      <c r="O106" s="1550"/>
      <c r="P106" s="1550"/>
      <c r="AH106" s="1557">
        <v>0</v>
      </c>
    </row>
    <row r="107" spans="1:34" s="1561" customFormat="1" ht="0.75" hidden="1" customHeight="1">
      <c r="A107" s="1706"/>
      <c r="B107" s="1706"/>
      <c r="C107" s="305" t="s">
        <v>1151</v>
      </c>
      <c r="D107" s="2340"/>
      <c r="E107" s="2140"/>
      <c r="F107" s="2278"/>
      <c r="G107" s="336"/>
      <c r="H107" s="1426"/>
      <c r="I107" s="587"/>
      <c r="J107" s="507"/>
      <c r="K107" s="1426"/>
      <c r="L107" s="151"/>
      <c r="M107" s="278"/>
      <c r="N107" s="271"/>
      <c r="O107" s="1550"/>
      <c r="P107" s="1550"/>
      <c r="AH107" s="1557">
        <v>0</v>
      </c>
    </row>
    <row r="108" spans="1:34" s="1561" customFormat="1" ht="18.75" hidden="1" customHeight="1">
      <c r="A108" s="1706" t="s">
        <v>194</v>
      </c>
      <c r="B108" s="1706" t="s">
        <v>195</v>
      </c>
      <c r="C108" s="305"/>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7"/>
      <c r="I108" s="1665"/>
      <c r="J108" s="1699"/>
      <c r="K108" s="1704"/>
      <c r="L108" s="1787" t="s">
        <v>301</v>
      </c>
      <c r="M108" s="278"/>
      <c r="N108" s="271"/>
      <c r="O108" s="1550"/>
      <c r="P108" s="1550"/>
      <c r="AH108" s="1557">
        <v>0</v>
      </c>
    </row>
    <row r="109" spans="1:34" s="1561" customFormat="1" ht="18.75" hidden="1" customHeight="1">
      <c r="A109" s="1706"/>
      <c r="B109" s="1706"/>
      <c r="C109" s="305" t="s">
        <v>1144</v>
      </c>
      <c r="D109" s="2340"/>
      <c r="E109" s="2140"/>
      <c r="F109" s="2278"/>
      <c r="G109" s="2315"/>
      <c r="H109" s="1426"/>
      <c r="I109" s="587" t="s">
        <v>1143</v>
      </c>
      <c r="J109" s="507"/>
      <c r="K109" s="1426"/>
      <c r="L109" s="151"/>
      <c r="M109" s="278"/>
      <c r="N109" s="271"/>
      <c r="O109" s="1550"/>
      <c r="P109" s="1550"/>
      <c r="AH109" s="1557">
        <v>0</v>
      </c>
    </row>
    <row r="110" spans="1:34" s="1561" customFormat="1" ht="0.75" hidden="1" customHeight="1">
      <c r="A110" s="1706"/>
      <c r="B110" s="1706"/>
      <c r="C110" s="305" t="s">
        <v>1151</v>
      </c>
      <c r="D110" s="2340"/>
      <c r="E110" s="2140"/>
      <c r="F110" s="2278"/>
      <c r="G110" s="336"/>
      <c r="H110" s="1426"/>
      <c r="I110" s="587"/>
      <c r="J110" s="507"/>
      <c r="K110" s="1426"/>
      <c r="L110" s="151"/>
      <c r="M110" s="278"/>
      <c r="N110" s="271"/>
      <c r="O110" s="1550"/>
      <c r="P110" s="1550"/>
      <c r="AH110" s="1557">
        <v>0</v>
      </c>
    </row>
    <row r="111" spans="1:34" s="1561" customFormat="1" ht="18.75" hidden="1" customHeight="1">
      <c r="A111" s="1706" t="s">
        <v>200</v>
      </c>
      <c r="B111" s="1706" t="s">
        <v>201</v>
      </c>
      <c r="C111" s="305"/>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11"/>
      <c r="I111" s="1665"/>
      <c r="J111" s="1699"/>
      <c r="K111" s="1704"/>
      <c r="L111" s="1911" t="s">
        <v>301</v>
      </c>
      <c r="M111" s="278"/>
      <c r="N111" s="271"/>
      <c r="O111" s="1550"/>
      <c r="P111" s="1550"/>
      <c r="AH111" s="1557">
        <v>0</v>
      </c>
    </row>
    <row r="112" spans="1:34" s="1561" customFormat="1" ht="18.75" hidden="1" customHeight="1">
      <c r="A112" s="1706"/>
      <c r="B112" s="1706"/>
      <c r="C112" s="305" t="s">
        <v>1144</v>
      </c>
      <c r="D112" s="2340"/>
      <c r="E112" s="2140"/>
      <c r="F112" s="2278"/>
      <c r="G112" s="2315"/>
      <c r="H112" s="1426"/>
      <c r="I112" s="587" t="s">
        <v>1143</v>
      </c>
      <c r="J112" s="507"/>
      <c r="K112" s="1426"/>
      <c r="L112" s="151"/>
      <c r="M112" s="278"/>
      <c r="N112" s="271"/>
      <c r="O112" s="1550"/>
      <c r="P112" s="1550"/>
      <c r="AH112" s="1557">
        <v>0</v>
      </c>
    </row>
    <row r="113" spans="1:34" s="1561" customFormat="1" ht="0.75" hidden="1" customHeight="1">
      <c r="A113" s="1706"/>
      <c r="B113" s="1706"/>
      <c r="C113" s="305" t="s">
        <v>1151</v>
      </c>
      <c r="D113" s="2340"/>
      <c r="E113" s="2140"/>
      <c r="F113" s="2278"/>
      <c r="G113" s="336"/>
      <c r="H113" s="1426"/>
      <c r="I113" s="587"/>
      <c r="J113" s="507"/>
      <c r="K113" s="1426"/>
      <c r="L113" s="151"/>
      <c r="M113" s="278"/>
      <c r="N113" s="271"/>
      <c r="O113" s="1550"/>
      <c r="P113" s="1550"/>
      <c r="AH113" s="1557">
        <v>0</v>
      </c>
    </row>
    <row r="114" spans="1:34" s="1561" customFormat="1" ht="18.75" hidden="1" customHeight="1">
      <c r="A114" s="1706" t="s">
        <v>220</v>
      </c>
      <c r="B114" s="1706" t="s">
        <v>221</v>
      </c>
      <c r="C114" s="305"/>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7"/>
      <c r="I114" s="1665"/>
      <c r="J114" s="1699"/>
      <c r="K114" s="1704"/>
      <c r="L114" s="1787" t="s">
        <v>301</v>
      </c>
      <c r="M114" s="278"/>
      <c r="N114" s="271"/>
      <c r="O114" s="1550"/>
      <c r="P114" s="1550"/>
      <c r="AH114" s="1557">
        <v>0</v>
      </c>
    </row>
    <row r="115" spans="1:34" s="1561" customFormat="1" ht="18.75" hidden="1" customHeight="1">
      <c r="A115" s="1706"/>
      <c r="B115" s="1706"/>
      <c r="C115" s="305" t="s">
        <v>1144</v>
      </c>
      <c r="D115" s="2340"/>
      <c r="E115" s="2140"/>
      <c r="F115" s="2278"/>
      <c r="G115" s="2315"/>
      <c r="H115" s="1426"/>
      <c r="I115" s="587" t="s">
        <v>1143</v>
      </c>
      <c r="J115" s="507"/>
      <c r="K115" s="1426"/>
      <c r="L115" s="151"/>
      <c r="M115" s="278"/>
      <c r="N115" s="271"/>
      <c r="O115" s="1550"/>
      <c r="P115" s="1550"/>
      <c r="AH115" s="1557">
        <v>0</v>
      </c>
    </row>
    <row r="116" spans="1:34" s="1561" customFormat="1" ht="0.75" hidden="1" customHeight="1">
      <c r="A116" s="1706"/>
      <c r="B116" s="1706"/>
      <c r="C116" s="305" t="s">
        <v>1151</v>
      </c>
      <c r="D116" s="2340"/>
      <c r="E116" s="2140"/>
      <c r="F116" s="2278"/>
      <c r="G116" s="336"/>
      <c r="H116" s="1426"/>
      <c r="I116" s="587"/>
      <c r="J116" s="507"/>
      <c r="K116" s="1426"/>
      <c r="L116" s="151"/>
      <c r="M116" s="278"/>
      <c r="N116" s="271"/>
      <c r="O116" s="1550"/>
      <c r="P116" s="1550"/>
      <c r="AH116" s="1557">
        <v>0</v>
      </c>
    </row>
    <row r="117" spans="1:34" s="1561" customFormat="1" ht="18.75" hidden="1" customHeight="1">
      <c r="A117" s="1706" t="s">
        <v>225</v>
      </c>
      <c r="B117" s="1706" t="s">
        <v>226</v>
      </c>
      <c r="C117" s="305"/>
      <c r="D117" s="2340"/>
      <c r="E117" s="2140"/>
      <c r="F117" s="2278" t="str">
        <f>INDEX(PT_DIFFERENTIATION_VTAR,MATCH(A117,PT_DIFFERENTIATION_VTAR_ID,0))</f>
        <v>Тариф на техническую воду</v>
      </c>
      <c r="G117" s="2315" t="str">
        <f>INDEX(PT_DIFFERENTIATION_NTAR,MATCH(B117,PT_DIFFERENTIATION_NTAR_ID,0))</f>
        <v/>
      </c>
      <c r="H117" s="1787"/>
      <c r="I117" s="1665"/>
      <c r="J117" s="1699"/>
      <c r="K117" s="1704"/>
      <c r="L117" s="1787" t="s">
        <v>301</v>
      </c>
      <c r="M117" s="278"/>
      <c r="N117" s="271"/>
      <c r="O117" s="1550"/>
      <c r="P117" s="1550"/>
      <c r="AH117" s="1557">
        <v>0</v>
      </c>
    </row>
    <row r="118" spans="1:34" s="1561" customFormat="1" ht="18.75" hidden="1" customHeight="1">
      <c r="A118" s="1706"/>
      <c r="B118" s="1706"/>
      <c r="C118" s="305" t="s">
        <v>1144</v>
      </c>
      <c r="D118" s="2340"/>
      <c r="E118" s="2140"/>
      <c r="F118" s="2278"/>
      <c r="G118" s="2315"/>
      <c r="H118" s="1426"/>
      <c r="I118" s="587" t="s">
        <v>1143</v>
      </c>
      <c r="J118" s="507"/>
      <c r="K118" s="1426"/>
      <c r="L118" s="151"/>
      <c r="M118" s="278"/>
      <c r="N118" s="271"/>
      <c r="O118" s="1550"/>
      <c r="P118" s="1550"/>
      <c r="AH118" s="1557">
        <v>0</v>
      </c>
    </row>
    <row r="119" spans="1:34" s="1561" customFormat="1" ht="0.75" hidden="1" customHeight="1">
      <c r="A119" s="1706"/>
      <c r="B119" s="1706"/>
      <c r="C119" s="305" t="s">
        <v>1151</v>
      </c>
      <c r="D119" s="2340"/>
      <c r="E119" s="2140"/>
      <c r="F119" s="2278"/>
      <c r="G119" s="336"/>
      <c r="H119" s="1426"/>
      <c r="I119" s="587"/>
      <c r="J119" s="507"/>
      <c r="K119" s="1426"/>
      <c r="L119" s="151"/>
      <c r="M119" s="278"/>
      <c r="N119" s="271"/>
      <c r="O119" s="1550"/>
      <c r="P119" s="1550"/>
      <c r="AH119" s="1557">
        <v>0</v>
      </c>
    </row>
    <row r="120" spans="1:34" s="1561" customFormat="1" ht="18.75" hidden="1" customHeight="1">
      <c r="A120" s="1706" t="s">
        <v>230</v>
      </c>
      <c r="B120" s="1706" t="s">
        <v>231</v>
      </c>
      <c r="C120" s="305"/>
      <c r="D120" s="2340"/>
      <c r="E120" s="2140"/>
      <c r="F120" s="2278" t="str">
        <f>INDEX(PT_DIFFERENTIATION_VTAR,MATCH(A120,PT_DIFFERENTIATION_VTAR_ID,0))</f>
        <v>Тариф на транспортировку воды</v>
      </c>
      <c r="G120" s="2315" t="str">
        <f>INDEX(PT_DIFFERENTIATION_NTAR,MATCH(B120,PT_DIFFERENTIATION_NTAR_ID,0))</f>
        <v/>
      </c>
      <c r="H120" s="1787"/>
      <c r="I120" s="1665"/>
      <c r="J120" s="1699"/>
      <c r="K120" s="1704"/>
      <c r="L120" s="1787" t="s">
        <v>301</v>
      </c>
      <c r="M120" s="278"/>
      <c r="N120" s="271"/>
      <c r="O120" s="1550"/>
      <c r="P120" s="1550"/>
      <c r="AH120" s="1557">
        <v>0</v>
      </c>
    </row>
    <row r="121" spans="1:34" s="1561" customFormat="1" ht="18.75" hidden="1" customHeight="1">
      <c r="A121" s="1706"/>
      <c r="B121" s="1706"/>
      <c r="C121" s="305" t="s">
        <v>1144</v>
      </c>
      <c r="D121" s="2340"/>
      <c r="E121" s="2140"/>
      <c r="F121" s="2278"/>
      <c r="G121" s="2315"/>
      <c r="H121" s="1426"/>
      <c r="I121" s="587" t="s">
        <v>1143</v>
      </c>
      <c r="J121" s="507"/>
      <c r="K121" s="1426"/>
      <c r="L121" s="151"/>
      <c r="M121" s="278"/>
      <c r="N121" s="271"/>
      <c r="O121" s="1550"/>
      <c r="P121" s="1550"/>
      <c r="AH121" s="1557">
        <v>0</v>
      </c>
    </row>
    <row r="122" spans="1:34" s="1561" customFormat="1" ht="0.75" hidden="1" customHeight="1">
      <c r="A122" s="1706"/>
      <c r="B122" s="1706"/>
      <c r="C122" s="305" t="s">
        <v>1151</v>
      </c>
      <c r="D122" s="2340"/>
      <c r="E122" s="2140"/>
      <c r="F122" s="2278"/>
      <c r="G122" s="336"/>
      <c r="H122" s="1426"/>
      <c r="I122" s="587"/>
      <c r="J122" s="507"/>
      <c r="K122" s="1426"/>
      <c r="L122" s="151"/>
      <c r="M122" s="278"/>
      <c r="N122" s="271"/>
      <c r="O122" s="1550"/>
      <c r="P122" s="1550"/>
      <c r="AH122" s="1557">
        <v>0</v>
      </c>
    </row>
    <row r="123" spans="1:34" s="1561" customFormat="1" ht="18.75" hidden="1" customHeight="1">
      <c r="A123" s="1706" t="s">
        <v>235</v>
      </c>
      <c r="B123" s="1706" t="s">
        <v>236</v>
      </c>
      <c r="C123" s="305"/>
      <c r="D123" s="2340"/>
      <c r="E123" s="2140"/>
      <c r="F123" s="2278" t="str">
        <f>INDEX(PT_DIFFERENTIATION_VTAR,MATCH(A123,PT_DIFFERENTIATION_VTAR_ID,0))</f>
        <v>Тариф на подвоз воды</v>
      </c>
      <c r="G123" s="2315" t="str">
        <f>INDEX(PT_DIFFERENTIATION_NTAR,MATCH(B123,PT_DIFFERENTIATION_NTAR_ID,0))</f>
        <v/>
      </c>
      <c r="H123" s="1787"/>
      <c r="I123" s="1665"/>
      <c r="J123" s="1699"/>
      <c r="K123" s="1704"/>
      <c r="L123" s="1787" t="s">
        <v>301</v>
      </c>
      <c r="M123" s="278"/>
      <c r="N123" s="271"/>
      <c r="O123" s="1550"/>
      <c r="P123" s="1550"/>
      <c r="AH123" s="1557">
        <v>0</v>
      </c>
    </row>
    <row r="124" spans="1:34" s="1561" customFormat="1" ht="18.75" hidden="1" customHeight="1">
      <c r="A124" s="1706"/>
      <c r="B124" s="1706"/>
      <c r="C124" s="305" t="s">
        <v>1144</v>
      </c>
      <c r="D124" s="2340"/>
      <c r="E124" s="2140"/>
      <c r="F124" s="2278"/>
      <c r="G124" s="2315"/>
      <c r="H124" s="1426"/>
      <c r="I124" s="587" t="s">
        <v>1143</v>
      </c>
      <c r="J124" s="507"/>
      <c r="K124" s="1426"/>
      <c r="L124" s="151"/>
      <c r="M124" s="278"/>
      <c r="N124" s="271"/>
      <c r="O124" s="1550"/>
      <c r="P124" s="1550"/>
      <c r="AH124" s="1557">
        <v>0</v>
      </c>
    </row>
    <row r="125" spans="1:34" s="1561" customFormat="1" ht="0.75" hidden="1" customHeight="1">
      <c r="A125" s="1706"/>
      <c r="B125" s="1706"/>
      <c r="C125" s="305" t="s">
        <v>1151</v>
      </c>
      <c r="D125" s="2340"/>
      <c r="E125" s="2140"/>
      <c r="F125" s="2278"/>
      <c r="G125" s="336"/>
      <c r="H125" s="1426"/>
      <c r="I125" s="587"/>
      <c r="J125" s="507"/>
      <c r="K125" s="1426"/>
      <c r="L125" s="151"/>
      <c r="M125" s="278"/>
      <c r="N125" s="271"/>
      <c r="O125" s="1550"/>
      <c r="P125" s="1550"/>
      <c r="AH125" s="1557">
        <v>0</v>
      </c>
    </row>
    <row r="126" spans="1:34" s="1561" customFormat="1" ht="18.75" hidden="1" customHeight="1">
      <c r="A126" s="1706" t="s">
        <v>240</v>
      </c>
      <c r="B126" s="1706" t="s">
        <v>241</v>
      </c>
      <c r="C126" s="305"/>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7"/>
      <c r="I126" s="1665"/>
      <c r="J126" s="1699"/>
      <c r="K126" s="1704"/>
      <c r="L126" s="1787" t="s">
        <v>301</v>
      </c>
      <c r="M126" s="278"/>
      <c r="N126" s="271"/>
      <c r="O126" s="1550"/>
      <c r="P126" s="1550"/>
      <c r="AH126" s="1557">
        <v>0</v>
      </c>
    </row>
    <row r="127" spans="1:34" s="1561" customFormat="1" ht="18.75" hidden="1" customHeight="1">
      <c r="A127" s="1706"/>
      <c r="B127" s="1706"/>
      <c r="C127" s="305" t="s">
        <v>1144</v>
      </c>
      <c r="D127" s="2340"/>
      <c r="E127" s="2140"/>
      <c r="F127" s="2278"/>
      <c r="G127" s="2315"/>
      <c r="H127" s="1426"/>
      <c r="I127" s="587" t="s">
        <v>1143</v>
      </c>
      <c r="J127" s="507"/>
      <c r="K127" s="1426"/>
      <c r="L127" s="151"/>
      <c r="M127" s="278"/>
      <c r="N127" s="271"/>
      <c r="O127" s="1550"/>
      <c r="P127" s="1550"/>
      <c r="AH127" s="1557">
        <v>0</v>
      </c>
    </row>
    <row r="128" spans="1:34" s="1561" customFormat="1" ht="0.75" hidden="1" customHeight="1">
      <c r="A128" s="1706"/>
      <c r="B128" s="1706"/>
      <c r="C128" s="305" t="s">
        <v>1151</v>
      </c>
      <c r="D128" s="2340"/>
      <c r="E128" s="2140"/>
      <c r="F128" s="2278"/>
      <c r="G128" s="336"/>
      <c r="H128" s="1426"/>
      <c r="I128" s="587"/>
      <c r="J128" s="507"/>
      <c r="K128" s="1426"/>
      <c r="L128" s="151"/>
      <c r="M128" s="278"/>
      <c r="N128" s="271"/>
      <c r="O128" s="1550"/>
      <c r="P128" s="1550"/>
      <c r="AH128" s="1557">
        <v>0</v>
      </c>
    </row>
    <row r="129" spans="1:34" s="1561" customFormat="1" ht="18.75" hidden="1" customHeight="1">
      <c r="A129" s="1706" t="s">
        <v>245</v>
      </c>
      <c r="B129" s="1706" t="s">
        <v>246</v>
      </c>
      <c r="C129" s="305"/>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7"/>
      <c r="I129" s="1665"/>
      <c r="J129" s="1699"/>
      <c r="K129" s="1704"/>
      <c r="L129" s="1787" t="s">
        <v>301</v>
      </c>
      <c r="M129" s="278"/>
      <c r="N129" s="271"/>
      <c r="O129" s="1550"/>
      <c r="P129" s="1550"/>
      <c r="AH129" s="1557">
        <v>0</v>
      </c>
    </row>
    <row r="130" spans="1:34" s="1561" customFormat="1" ht="18.75" hidden="1" customHeight="1">
      <c r="A130" s="1706"/>
      <c r="B130" s="1706"/>
      <c r="C130" s="305" t="s">
        <v>1144</v>
      </c>
      <c r="D130" s="2340"/>
      <c r="E130" s="2140"/>
      <c r="F130" s="2278"/>
      <c r="G130" s="2315"/>
      <c r="H130" s="1426"/>
      <c r="I130" s="587" t="s">
        <v>1143</v>
      </c>
      <c r="J130" s="507"/>
      <c r="K130" s="1426"/>
      <c r="L130" s="151"/>
      <c r="M130" s="278"/>
      <c r="N130" s="271"/>
      <c r="O130" s="1550"/>
      <c r="P130" s="1550"/>
      <c r="AH130" s="1557">
        <v>0</v>
      </c>
    </row>
    <row r="131" spans="1:34" s="1561" customFormat="1" ht="0.75" hidden="1" customHeight="1">
      <c r="A131" s="1706"/>
      <c r="B131" s="1706"/>
      <c r="C131" s="305" t="s">
        <v>1151</v>
      </c>
      <c r="D131" s="2340"/>
      <c r="E131" s="2140"/>
      <c r="F131" s="2278"/>
      <c r="G131" s="336"/>
      <c r="H131" s="1426"/>
      <c r="I131" s="587"/>
      <c r="J131" s="507"/>
      <c r="K131" s="1426"/>
      <c r="L131" s="151"/>
      <c r="M131" s="278"/>
      <c r="N131" s="271"/>
      <c r="O131" s="1550"/>
      <c r="P131" s="1550"/>
      <c r="AH131" s="1557">
        <v>0</v>
      </c>
    </row>
    <row r="132" spans="1:34" s="1561" customFormat="1" ht="18.75" hidden="1" customHeight="1">
      <c r="A132" s="1706" t="s">
        <v>250</v>
      </c>
      <c r="B132" s="1706" t="s">
        <v>251</v>
      </c>
      <c r="C132" s="305"/>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7"/>
      <c r="I132" s="1665"/>
      <c r="J132" s="1699"/>
      <c r="K132" s="1704"/>
      <c r="L132" s="1787" t="s">
        <v>301</v>
      </c>
      <c r="M132" s="278"/>
      <c r="N132" s="271"/>
      <c r="O132" s="1550"/>
      <c r="P132" s="1550"/>
      <c r="AH132" s="1557">
        <v>0</v>
      </c>
    </row>
    <row r="133" spans="1:34" s="1561" customFormat="1" ht="18.75" hidden="1" customHeight="1">
      <c r="A133" s="1706"/>
      <c r="B133" s="1706"/>
      <c r="C133" s="305" t="s">
        <v>1144</v>
      </c>
      <c r="D133" s="2340"/>
      <c r="E133" s="2140"/>
      <c r="F133" s="2278"/>
      <c r="G133" s="2315"/>
      <c r="H133" s="1426"/>
      <c r="I133" s="587" t="s">
        <v>1143</v>
      </c>
      <c r="J133" s="507"/>
      <c r="K133" s="1426"/>
      <c r="L133" s="151"/>
      <c r="M133" s="278"/>
      <c r="N133" s="271"/>
      <c r="O133" s="1550"/>
      <c r="P133" s="1550"/>
      <c r="AH133" s="1557">
        <v>0</v>
      </c>
    </row>
    <row r="134" spans="1:34" s="1561" customFormat="1" ht="0.75" hidden="1" customHeight="1">
      <c r="A134" s="1706"/>
      <c r="B134" s="1706"/>
      <c r="C134" s="305" t="s">
        <v>1151</v>
      </c>
      <c r="D134" s="2340"/>
      <c r="E134" s="2140"/>
      <c r="F134" s="2278"/>
      <c r="G134" s="336"/>
      <c r="H134" s="1426"/>
      <c r="I134" s="587"/>
      <c r="J134" s="507"/>
      <c r="K134" s="1426"/>
      <c r="L134" s="151"/>
      <c r="M134" s="278"/>
      <c r="N134" s="271"/>
      <c r="O134" s="1550"/>
      <c r="P134" s="1550"/>
      <c r="AH134" s="1557">
        <v>0</v>
      </c>
    </row>
    <row r="135" spans="1:34" s="1561" customFormat="1" ht="18.75" hidden="1" customHeight="1">
      <c r="A135" s="1706" t="s">
        <v>255</v>
      </c>
      <c r="B135" s="1706" t="s">
        <v>256</v>
      </c>
      <c r="C135" s="305"/>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7"/>
      <c r="I135" s="1665"/>
      <c r="J135" s="1699"/>
      <c r="K135" s="1704"/>
      <c r="L135" s="1787" t="s">
        <v>301</v>
      </c>
      <c r="M135" s="278"/>
      <c r="N135" s="271"/>
      <c r="O135" s="1550"/>
      <c r="P135" s="1550"/>
      <c r="AH135" s="1557">
        <v>0</v>
      </c>
    </row>
    <row r="136" spans="1:34" s="1561" customFormat="1" ht="18.75" hidden="1" customHeight="1">
      <c r="A136" s="1706"/>
      <c r="B136" s="1706"/>
      <c r="C136" s="305" t="s">
        <v>1144</v>
      </c>
      <c r="D136" s="2340"/>
      <c r="E136" s="2140"/>
      <c r="F136" s="2278"/>
      <c r="G136" s="2315"/>
      <c r="H136" s="1426"/>
      <c r="I136" s="587" t="s">
        <v>1143</v>
      </c>
      <c r="J136" s="507"/>
      <c r="K136" s="1426"/>
      <c r="L136" s="151"/>
      <c r="M136" s="278"/>
      <c r="N136" s="271"/>
      <c r="O136" s="1550"/>
      <c r="P136" s="1550"/>
      <c r="AH136" s="1557">
        <v>0</v>
      </c>
    </row>
    <row r="137" spans="1:34" s="1561" customFormat="1" ht="0.75" hidden="1" customHeight="1">
      <c r="A137" s="1706"/>
      <c r="B137" s="1706"/>
      <c r="C137" s="305" t="s">
        <v>1151</v>
      </c>
      <c r="D137" s="2340"/>
      <c r="E137" s="2140"/>
      <c r="F137" s="2278"/>
      <c r="G137" s="336"/>
      <c r="H137" s="1426"/>
      <c r="I137" s="587"/>
      <c r="J137" s="507"/>
      <c r="K137" s="1426"/>
      <c r="L137" s="151"/>
      <c r="M137" s="278"/>
      <c r="N137" s="271"/>
      <c r="O137" s="1550"/>
      <c r="P137" s="1550"/>
      <c r="AH137" s="1557">
        <v>0</v>
      </c>
    </row>
    <row r="138" spans="1:34" s="1561" customFormat="1" ht="18.75" hidden="1" customHeight="1">
      <c r="A138" s="1706" t="s">
        <v>260</v>
      </c>
      <c r="B138" s="1706" t="s">
        <v>261</v>
      </c>
      <c r="C138" s="305"/>
      <c r="D138" s="2340"/>
      <c r="E138" s="2140"/>
      <c r="F138" s="2278" t="str">
        <f>INDEX(PT_DIFFERENTIATION_VTAR,MATCH(A138,PT_DIFFERENTIATION_VTAR_ID,0))</f>
        <v>Тариф на водоотведение</v>
      </c>
      <c r="G138" s="2315" t="str">
        <f>INDEX(PT_DIFFERENTIATION_NTAR,MATCH(B138,PT_DIFFERENTIATION_NTAR_ID,0))</f>
        <v/>
      </c>
      <c r="H138" s="1787"/>
      <c r="I138" s="1665"/>
      <c r="J138" s="1699"/>
      <c r="K138" s="1704"/>
      <c r="L138" s="1787" t="s">
        <v>301</v>
      </c>
      <c r="M138" s="278"/>
      <c r="N138" s="271"/>
      <c r="O138" s="1550"/>
      <c r="P138" s="1550"/>
      <c r="AH138" s="1557">
        <v>0</v>
      </c>
    </row>
    <row r="139" spans="1:34" s="1561" customFormat="1" ht="18.75" hidden="1" customHeight="1">
      <c r="A139" s="1706"/>
      <c r="B139" s="1706"/>
      <c r="C139" s="305" t="s">
        <v>1144</v>
      </c>
      <c r="D139" s="2340"/>
      <c r="E139" s="2140"/>
      <c r="F139" s="2278"/>
      <c r="G139" s="2315"/>
      <c r="H139" s="1426"/>
      <c r="I139" s="587" t="s">
        <v>1143</v>
      </c>
      <c r="J139" s="507"/>
      <c r="K139" s="1426"/>
      <c r="L139" s="151"/>
      <c r="M139" s="278"/>
      <c r="N139" s="271"/>
      <c r="O139" s="1550"/>
      <c r="P139" s="1550"/>
      <c r="AH139" s="1557">
        <v>0</v>
      </c>
    </row>
    <row r="140" spans="1:34" s="1561" customFormat="1" ht="0.75" hidden="1" customHeight="1">
      <c r="A140" s="1706"/>
      <c r="B140" s="1706"/>
      <c r="C140" s="305" t="s">
        <v>1151</v>
      </c>
      <c r="D140" s="2340"/>
      <c r="E140" s="2140"/>
      <c r="F140" s="2278"/>
      <c r="G140" s="336"/>
      <c r="H140" s="1426"/>
      <c r="I140" s="587"/>
      <c r="J140" s="507"/>
      <c r="K140" s="1426"/>
      <c r="L140" s="151"/>
      <c r="M140" s="278"/>
      <c r="N140" s="271"/>
      <c r="O140" s="1550"/>
      <c r="P140" s="1550"/>
      <c r="AH140" s="1557">
        <v>0</v>
      </c>
    </row>
    <row r="141" spans="1:34" s="1561" customFormat="1" ht="18.75" hidden="1" customHeight="1">
      <c r="A141" s="1706" t="s">
        <v>265</v>
      </c>
      <c r="B141" s="1706" t="s">
        <v>266</v>
      </c>
      <c r="C141" s="305"/>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7"/>
      <c r="I141" s="1665"/>
      <c r="J141" s="1699"/>
      <c r="K141" s="1704"/>
      <c r="L141" s="1787" t="s">
        <v>301</v>
      </c>
      <c r="M141" s="278"/>
      <c r="N141" s="271"/>
      <c r="O141" s="1550"/>
      <c r="P141" s="1550"/>
      <c r="AH141" s="1557">
        <v>0</v>
      </c>
    </row>
    <row r="142" spans="1:34" s="1561" customFormat="1" ht="18.75" hidden="1" customHeight="1">
      <c r="A142" s="1706"/>
      <c r="B142" s="1706"/>
      <c r="C142" s="305" t="s">
        <v>1144</v>
      </c>
      <c r="D142" s="2340"/>
      <c r="E142" s="2140"/>
      <c r="F142" s="2278"/>
      <c r="G142" s="2315"/>
      <c r="H142" s="1426"/>
      <c r="I142" s="587" t="s">
        <v>1143</v>
      </c>
      <c r="J142" s="507"/>
      <c r="K142" s="1426"/>
      <c r="L142" s="151"/>
      <c r="M142" s="278"/>
      <c r="N142" s="271"/>
      <c r="O142" s="1550"/>
      <c r="P142" s="1550"/>
      <c r="AH142" s="1557">
        <v>0</v>
      </c>
    </row>
    <row r="143" spans="1:34" s="1561" customFormat="1" ht="0.75" hidden="1" customHeight="1">
      <c r="A143" s="1706"/>
      <c r="B143" s="1706"/>
      <c r="C143" s="305" t="s">
        <v>1151</v>
      </c>
      <c r="D143" s="2340"/>
      <c r="E143" s="2140"/>
      <c r="F143" s="2278"/>
      <c r="G143" s="336"/>
      <c r="H143" s="1426"/>
      <c r="I143" s="587"/>
      <c r="J143" s="507"/>
      <c r="K143" s="1426"/>
      <c r="L143" s="151"/>
      <c r="M143" s="278"/>
      <c r="N143" s="271"/>
      <c r="O143" s="1550"/>
      <c r="P143" s="1550"/>
      <c r="AH143" s="1557">
        <v>0</v>
      </c>
    </row>
    <row r="144" spans="1:34" s="1561" customFormat="1" ht="18.75" hidden="1" customHeight="1">
      <c r="A144" s="1706" t="s">
        <v>270</v>
      </c>
      <c r="B144" s="1706" t="s">
        <v>271</v>
      </c>
      <c r="C144" s="305"/>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7"/>
      <c r="I144" s="1665"/>
      <c r="J144" s="1699"/>
      <c r="K144" s="1704"/>
      <c r="L144" s="1787" t="s">
        <v>301</v>
      </c>
      <c r="M144" s="278"/>
      <c r="N144" s="271"/>
      <c r="O144" s="1550"/>
      <c r="P144" s="1550"/>
      <c r="AH144" s="1557">
        <v>0</v>
      </c>
    </row>
    <row r="145" spans="1:34" s="1561" customFormat="1" ht="18.75" hidden="1" customHeight="1">
      <c r="A145" s="1706"/>
      <c r="B145" s="1706"/>
      <c r="C145" s="305" t="s">
        <v>1144</v>
      </c>
      <c r="D145" s="2340"/>
      <c r="E145" s="2140"/>
      <c r="F145" s="2278"/>
      <c r="G145" s="2315"/>
      <c r="H145" s="1426"/>
      <c r="I145" s="587" t="s">
        <v>1143</v>
      </c>
      <c r="J145" s="507"/>
      <c r="K145" s="1426"/>
      <c r="L145" s="151"/>
      <c r="M145" s="278"/>
      <c r="N145" s="271"/>
      <c r="O145" s="1550"/>
      <c r="P145" s="1550"/>
      <c r="AH145" s="1557">
        <v>0</v>
      </c>
    </row>
    <row r="146" spans="1:34" s="1561" customFormat="1" ht="1.1499999999999999" customHeight="1">
      <c r="A146" s="1706"/>
      <c r="B146" s="1706"/>
      <c r="C146" s="305" t="s">
        <v>1151</v>
      </c>
      <c r="D146" s="2340"/>
      <c r="E146" s="2140"/>
      <c r="F146" s="2278"/>
      <c r="G146" s="336"/>
      <c r="H146" s="1426"/>
      <c r="I146" s="587"/>
      <c r="J146" s="507"/>
      <c r="K146" s="1426"/>
      <c r="L146" s="151"/>
      <c r="M146" s="278"/>
      <c r="N146" s="271"/>
      <c r="O146" s="1550"/>
      <c r="P146" s="1550"/>
      <c r="AH146" s="1557">
        <v>1</v>
      </c>
    </row>
    <row r="147" spans="1:34" ht="19.899999999999999" customHeight="1">
      <c r="A147" s="1706"/>
      <c r="B147" s="1706"/>
      <c r="D147" s="312"/>
      <c r="E147" s="84" t="s">
        <v>87</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39"/>
      <c r="H147" s="2339"/>
      <c r="I147" s="2339"/>
      <c r="J147" s="2339"/>
      <c r="K147" s="2339"/>
      <c r="L147" s="2339"/>
      <c r="M147" s="234"/>
      <c r="N147" s="271"/>
      <c r="AH147" s="310">
        <v>19</v>
      </c>
    </row>
    <row r="148" spans="1:34" s="1561" customFormat="1" ht="60.75" hidden="1" customHeight="1">
      <c r="A148" s="1706" t="s">
        <v>152</v>
      </c>
      <c r="B148" s="1706" t="s">
        <v>153</v>
      </c>
      <c r="C148" s="305"/>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7"/>
      <c r="I148" s="1665"/>
      <c r="J148" s="1699"/>
      <c r="K148" s="1704"/>
      <c r="L148" s="1787" t="s">
        <v>301</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1144</v>
      </c>
      <c r="D149" s="2340"/>
      <c r="E149" s="2140"/>
      <c r="F149" s="2278"/>
      <c r="G149" s="2315"/>
      <c r="H149" s="1426"/>
      <c r="I149" s="587" t="s">
        <v>1143</v>
      </c>
      <c r="J149" s="507"/>
      <c r="K149" s="1426"/>
      <c r="L149" s="151"/>
      <c r="M149" s="2101"/>
      <c r="N149" s="271"/>
      <c r="O149" s="1550"/>
      <c r="P149" s="1550"/>
      <c r="AH149" s="1557">
        <v>0</v>
      </c>
    </row>
    <row r="150" spans="1:34" s="1561" customFormat="1" ht="0.75" hidden="1" customHeight="1">
      <c r="A150" s="1706"/>
      <c r="B150" s="1706"/>
      <c r="C150" s="305" t="s">
        <v>1151</v>
      </c>
      <c r="D150" s="2340"/>
      <c r="E150" s="2140"/>
      <c r="F150" s="2278"/>
      <c r="G150" s="336"/>
      <c r="H150" s="1426"/>
      <c r="I150" s="587"/>
      <c r="J150" s="507"/>
      <c r="K150" s="1426"/>
      <c r="L150" s="151"/>
      <c r="M150" s="2101"/>
      <c r="N150" s="271"/>
      <c r="O150" s="1550"/>
      <c r="P150" s="1550"/>
      <c r="AH150" s="1557">
        <v>0</v>
      </c>
    </row>
    <row r="151" spans="1:34" s="1561" customFormat="1" ht="45" hidden="1" customHeight="1">
      <c r="A151" s="1706" t="s">
        <v>157</v>
      </c>
      <c r="B151" s="1706" t="s">
        <v>158</v>
      </c>
      <c r="C151" s="305"/>
      <c r="D151" s="2340"/>
      <c r="E151" s="2140"/>
      <c r="F151" s="2278" t="str">
        <f>INDEX(PT_DIFFERENTIATION_VTAR,MATCH(A151,PT_DIFFERENTIATION_VTAR_ID,0))</f>
        <v/>
      </c>
      <c r="G151" s="2315" t="str">
        <f>INDEX(PT_DIFFERENTIATION_NTAR,MATCH(B151,PT_DIFFERENTIATION_NTAR_ID,0))</f>
        <v/>
      </c>
      <c r="H151" s="1787"/>
      <c r="I151" s="1665"/>
      <c r="J151" s="1699"/>
      <c r="K151" s="1704"/>
      <c r="L151" s="1787" t="s">
        <v>301</v>
      </c>
      <c r="M151" s="2102"/>
      <c r="N151" s="271"/>
      <c r="O151" s="1550"/>
      <c r="P151" s="1550"/>
      <c r="AH151" s="1557">
        <v>0</v>
      </c>
    </row>
    <row r="152" spans="1:34" s="1561" customFormat="1" ht="18.75" hidden="1" customHeight="1">
      <c r="A152" s="1706"/>
      <c r="B152" s="1706"/>
      <c r="C152" s="305" t="s">
        <v>1144</v>
      </c>
      <c r="D152" s="2340"/>
      <c r="E152" s="2140"/>
      <c r="F152" s="2278"/>
      <c r="G152" s="2315"/>
      <c r="H152" s="1426"/>
      <c r="I152" s="587" t="s">
        <v>1143</v>
      </c>
      <c r="J152" s="507"/>
      <c r="K152" s="1426"/>
      <c r="L152" s="151"/>
      <c r="M152" s="1786"/>
      <c r="N152" s="271"/>
      <c r="O152" s="1550"/>
      <c r="P152" s="1550"/>
      <c r="AH152" s="1557">
        <v>0</v>
      </c>
    </row>
    <row r="153" spans="1:34" s="1561" customFormat="1" ht="0.75" hidden="1" customHeight="1">
      <c r="A153" s="1706"/>
      <c r="B153" s="1706"/>
      <c r="C153" s="305" t="s">
        <v>1151</v>
      </c>
      <c r="D153" s="2340"/>
      <c r="E153" s="2140"/>
      <c r="F153" s="2278"/>
      <c r="G153" s="336"/>
      <c r="H153" s="1426"/>
      <c r="I153" s="587"/>
      <c r="J153" s="507"/>
      <c r="K153" s="1426"/>
      <c r="L153" s="151"/>
      <c r="M153" s="278"/>
      <c r="N153" s="271"/>
      <c r="O153" s="1550"/>
      <c r="P153" s="1550"/>
      <c r="AH153" s="1557">
        <v>0</v>
      </c>
    </row>
    <row r="154" spans="1:34" s="1561" customFormat="1" ht="45" hidden="1" customHeight="1">
      <c r="A154" s="1706" t="s">
        <v>164</v>
      </c>
      <c r="B154" s="1706" t="s">
        <v>165</v>
      </c>
      <c r="C154" s="305"/>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7"/>
      <c r="I154" s="1665"/>
      <c r="J154" s="1699"/>
      <c r="K154" s="1704"/>
      <c r="L154" s="1787" t="s">
        <v>301</v>
      </c>
      <c r="M154" s="278"/>
      <c r="N154" s="271"/>
      <c r="O154" s="1550"/>
      <c r="P154" s="1550"/>
      <c r="AH154" s="1557">
        <v>0</v>
      </c>
    </row>
    <row r="155" spans="1:34" s="1561" customFormat="1" ht="18.75" hidden="1" customHeight="1">
      <c r="A155" s="1706"/>
      <c r="B155" s="1706"/>
      <c r="C155" s="305" t="s">
        <v>1144</v>
      </c>
      <c r="D155" s="2340"/>
      <c r="E155" s="2140"/>
      <c r="F155" s="2278"/>
      <c r="G155" s="2315"/>
      <c r="H155" s="1426"/>
      <c r="I155" s="587" t="s">
        <v>1143</v>
      </c>
      <c r="J155" s="507"/>
      <c r="K155" s="1426"/>
      <c r="L155" s="151"/>
      <c r="M155" s="278"/>
      <c r="N155" s="271"/>
      <c r="O155" s="1550"/>
      <c r="P155" s="1550"/>
      <c r="AH155" s="1557">
        <v>0</v>
      </c>
    </row>
    <row r="156" spans="1:34" s="1561" customFormat="1" ht="0.75" hidden="1" customHeight="1">
      <c r="A156" s="1706"/>
      <c r="B156" s="1706"/>
      <c r="C156" s="305" t="s">
        <v>1151</v>
      </c>
      <c r="D156" s="2340"/>
      <c r="E156" s="2140"/>
      <c r="F156" s="2278"/>
      <c r="G156" s="336"/>
      <c r="H156" s="1426"/>
      <c r="I156" s="587"/>
      <c r="J156" s="507"/>
      <c r="K156" s="1426"/>
      <c r="L156" s="151"/>
      <c r="M156" s="278"/>
      <c r="N156" s="271"/>
      <c r="O156" s="1550"/>
      <c r="P156" s="1550"/>
      <c r="AH156" s="1557">
        <v>0</v>
      </c>
    </row>
    <row r="157" spans="1:34" s="1561" customFormat="1" ht="45" hidden="1" customHeight="1">
      <c r="A157" s="1706" t="s">
        <v>170</v>
      </c>
      <c r="B157" s="1706" t="s">
        <v>171</v>
      </c>
      <c r="C157" s="305"/>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7"/>
      <c r="I157" s="1665"/>
      <c r="J157" s="1699"/>
      <c r="K157" s="1704"/>
      <c r="L157" s="1787" t="s">
        <v>301</v>
      </c>
      <c r="M157" s="278"/>
      <c r="N157" s="271"/>
      <c r="O157" s="1550"/>
      <c r="P157" s="1550"/>
      <c r="AH157" s="1557">
        <v>0</v>
      </c>
    </row>
    <row r="158" spans="1:34" s="1561" customFormat="1" ht="18.75" hidden="1" customHeight="1">
      <c r="A158" s="1706"/>
      <c r="B158" s="1706"/>
      <c r="C158" s="305" t="s">
        <v>1144</v>
      </c>
      <c r="D158" s="2340"/>
      <c r="E158" s="2140"/>
      <c r="F158" s="2278"/>
      <c r="G158" s="2315"/>
      <c r="H158" s="1426"/>
      <c r="I158" s="587" t="s">
        <v>1143</v>
      </c>
      <c r="J158" s="507"/>
      <c r="K158" s="1426"/>
      <c r="L158" s="151"/>
      <c r="M158" s="278"/>
      <c r="N158" s="271"/>
      <c r="O158" s="1550"/>
      <c r="P158" s="1550"/>
      <c r="AH158" s="1557">
        <v>0</v>
      </c>
    </row>
    <row r="159" spans="1:34" s="1561" customFormat="1" ht="0.75" hidden="1" customHeight="1">
      <c r="A159" s="1706"/>
      <c r="B159" s="1706"/>
      <c r="C159" s="305" t="s">
        <v>1151</v>
      </c>
      <c r="D159" s="2340"/>
      <c r="E159" s="2140"/>
      <c r="F159" s="2278"/>
      <c r="G159" s="336"/>
      <c r="H159" s="1426"/>
      <c r="I159" s="587"/>
      <c r="J159" s="507"/>
      <c r="K159" s="1426"/>
      <c r="L159" s="151"/>
      <c r="M159" s="278"/>
      <c r="N159" s="271"/>
      <c r="O159" s="1550"/>
      <c r="P159" s="1550"/>
      <c r="AH159" s="1557">
        <v>0</v>
      </c>
    </row>
    <row r="160" spans="1:34" s="1561" customFormat="1" ht="18.75" hidden="1" customHeight="1">
      <c r="A160" s="1706" t="s">
        <v>176</v>
      </c>
      <c r="B160" s="1706" t="s">
        <v>177</v>
      </c>
      <c r="C160" s="305"/>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7"/>
      <c r="I160" s="1665"/>
      <c r="J160" s="1699"/>
      <c r="K160" s="1704"/>
      <c r="L160" s="1787" t="s">
        <v>301</v>
      </c>
      <c r="M160" s="278"/>
      <c r="N160" s="271"/>
      <c r="O160" s="1550"/>
      <c r="P160" s="1550"/>
      <c r="AH160" s="1557">
        <v>0</v>
      </c>
    </row>
    <row r="161" spans="1:34" s="1561" customFormat="1" ht="18.75" hidden="1" customHeight="1">
      <c r="A161" s="1706"/>
      <c r="B161" s="1706"/>
      <c r="C161" s="305" t="s">
        <v>1144</v>
      </c>
      <c r="D161" s="2340"/>
      <c r="E161" s="2140"/>
      <c r="F161" s="2278"/>
      <c r="G161" s="2315"/>
      <c r="H161" s="1426"/>
      <c r="I161" s="587" t="s">
        <v>1143</v>
      </c>
      <c r="J161" s="507"/>
      <c r="K161" s="1426"/>
      <c r="L161" s="151"/>
      <c r="M161" s="278"/>
      <c r="N161" s="271"/>
      <c r="O161" s="1550"/>
      <c r="P161" s="1550"/>
      <c r="AH161" s="1557">
        <v>0</v>
      </c>
    </row>
    <row r="162" spans="1:34" s="1561" customFormat="1" ht="0.75" hidden="1" customHeight="1">
      <c r="A162" s="1706"/>
      <c r="B162" s="1706"/>
      <c r="C162" s="305" t="s">
        <v>1151</v>
      </c>
      <c r="D162" s="2340"/>
      <c r="E162" s="2140"/>
      <c r="F162" s="2278"/>
      <c r="G162" s="336"/>
      <c r="H162" s="1426"/>
      <c r="I162" s="587"/>
      <c r="J162" s="507"/>
      <c r="K162" s="1426"/>
      <c r="L162" s="151"/>
      <c r="M162" s="278"/>
      <c r="N162" s="271"/>
      <c r="O162" s="1550"/>
      <c r="P162" s="1550"/>
      <c r="AH162" s="1557">
        <v>0</v>
      </c>
    </row>
    <row r="163" spans="1:34" s="1561" customFormat="1" ht="18.75" hidden="1" customHeight="1">
      <c r="A163" s="1706" t="s">
        <v>182</v>
      </c>
      <c r="B163" s="1706" t="s">
        <v>183</v>
      </c>
      <c r="C163" s="305"/>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7"/>
      <c r="I163" s="1665"/>
      <c r="J163" s="1699"/>
      <c r="K163" s="1704"/>
      <c r="L163" s="1787" t="s">
        <v>301</v>
      </c>
      <c r="M163" s="278"/>
      <c r="N163" s="271"/>
      <c r="O163" s="1550"/>
      <c r="P163" s="1550"/>
      <c r="AH163" s="1557">
        <v>0</v>
      </c>
    </row>
    <row r="164" spans="1:34" s="1561" customFormat="1" ht="18.75" hidden="1" customHeight="1">
      <c r="A164" s="1706"/>
      <c r="B164" s="1706"/>
      <c r="C164" s="305" t="s">
        <v>1144</v>
      </c>
      <c r="D164" s="2340"/>
      <c r="E164" s="2140"/>
      <c r="F164" s="2278"/>
      <c r="G164" s="2315"/>
      <c r="H164" s="1426"/>
      <c r="I164" s="587" t="s">
        <v>1143</v>
      </c>
      <c r="J164" s="507"/>
      <c r="K164" s="1426"/>
      <c r="L164" s="151"/>
      <c r="M164" s="278"/>
      <c r="N164" s="271"/>
      <c r="O164" s="1550"/>
      <c r="P164" s="1550"/>
      <c r="AH164" s="1557">
        <v>0</v>
      </c>
    </row>
    <row r="165" spans="1:34" s="1561" customFormat="1" ht="0.75" hidden="1" customHeight="1">
      <c r="A165" s="1706"/>
      <c r="B165" s="1706"/>
      <c r="C165" s="305" t="s">
        <v>1151</v>
      </c>
      <c r="D165" s="2340"/>
      <c r="E165" s="2140"/>
      <c r="F165" s="2278"/>
      <c r="G165" s="336"/>
      <c r="H165" s="1426"/>
      <c r="I165" s="587"/>
      <c r="J165" s="507"/>
      <c r="K165" s="1426"/>
      <c r="L165" s="151"/>
      <c r="M165" s="278"/>
      <c r="N165" s="271"/>
      <c r="O165" s="1550"/>
      <c r="P165" s="1550"/>
      <c r="AH165" s="1557">
        <v>0</v>
      </c>
    </row>
    <row r="166" spans="1:34" s="1561" customFormat="1" ht="18.75" hidden="1" customHeight="1">
      <c r="A166" s="1706" t="s">
        <v>188</v>
      </c>
      <c r="B166" s="1706" t="s">
        <v>189</v>
      </c>
      <c r="C166" s="305"/>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7"/>
      <c r="I166" s="1665"/>
      <c r="J166" s="1699"/>
      <c r="K166" s="1704"/>
      <c r="L166" s="1787" t="s">
        <v>301</v>
      </c>
      <c r="M166" s="278"/>
      <c r="N166" s="271"/>
      <c r="O166" s="1550"/>
      <c r="P166" s="1550"/>
      <c r="AH166" s="1557">
        <v>0</v>
      </c>
    </row>
    <row r="167" spans="1:34" s="1561" customFormat="1" ht="18.75" hidden="1" customHeight="1">
      <c r="A167" s="1706"/>
      <c r="B167" s="1706"/>
      <c r="C167" s="305" t="s">
        <v>1144</v>
      </c>
      <c r="D167" s="2340"/>
      <c r="E167" s="2140"/>
      <c r="F167" s="2278"/>
      <c r="G167" s="2315"/>
      <c r="H167" s="1426"/>
      <c r="I167" s="587" t="s">
        <v>1143</v>
      </c>
      <c r="J167" s="507"/>
      <c r="K167" s="1426"/>
      <c r="L167" s="151"/>
      <c r="M167" s="278"/>
      <c r="N167" s="271"/>
      <c r="O167" s="1550"/>
      <c r="P167" s="1550"/>
      <c r="AH167" s="1557">
        <v>0</v>
      </c>
    </row>
    <row r="168" spans="1:34" s="1561" customFormat="1" ht="0.75" hidden="1" customHeight="1">
      <c r="A168" s="1706"/>
      <c r="B168" s="1706"/>
      <c r="C168" s="305" t="s">
        <v>1151</v>
      </c>
      <c r="D168" s="2340"/>
      <c r="E168" s="2140"/>
      <c r="F168" s="2278"/>
      <c r="G168" s="336"/>
      <c r="H168" s="1426"/>
      <c r="I168" s="587"/>
      <c r="J168" s="507"/>
      <c r="K168" s="1426"/>
      <c r="L168" s="151"/>
      <c r="M168" s="278"/>
      <c r="N168" s="271"/>
      <c r="O168" s="1550"/>
      <c r="P168" s="1550"/>
      <c r="AH168" s="1557">
        <v>0</v>
      </c>
    </row>
    <row r="169" spans="1:34" s="1561" customFormat="1" ht="18.75" hidden="1" customHeight="1">
      <c r="A169" s="1706" t="s">
        <v>194</v>
      </c>
      <c r="B169" s="1706" t="s">
        <v>195</v>
      </c>
      <c r="C169" s="305"/>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7"/>
      <c r="I169" s="1665"/>
      <c r="J169" s="1699"/>
      <c r="K169" s="1704"/>
      <c r="L169" s="1787" t="s">
        <v>301</v>
      </c>
      <c r="M169" s="278"/>
      <c r="N169" s="271"/>
      <c r="O169" s="1550"/>
      <c r="P169" s="1550"/>
      <c r="AH169" s="1557">
        <v>0</v>
      </c>
    </row>
    <row r="170" spans="1:34" s="1561" customFormat="1" ht="18.75" hidden="1" customHeight="1">
      <c r="A170" s="1706"/>
      <c r="B170" s="1706"/>
      <c r="C170" s="305" t="s">
        <v>1144</v>
      </c>
      <c r="D170" s="2340"/>
      <c r="E170" s="2140"/>
      <c r="F170" s="2278"/>
      <c r="G170" s="2315"/>
      <c r="H170" s="1426"/>
      <c r="I170" s="587" t="s">
        <v>1143</v>
      </c>
      <c r="J170" s="507"/>
      <c r="K170" s="1426"/>
      <c r="L170" s="151"/>
      <c r="M170" s="278"/>
      <c r="N170" s="271"/>
      <c r="O170" s="1550"/>
      <c r="P170" s="1550"/>
      <c r="AH170" s="1557">
        <v>0</v>
      </c>
    </row>
    <row r="171" spans="1:34" s="1561" customFormat="1" ht="0.75" hidden="1" customHeight="1">
      <c r="A171" s="1706"/>
      <c r="B171" s="1706"/>
      <c r="C171" s="305" t="s">
        <v>1151</v>
      </c>
      <c r="D171" s="2340"/>
      <c r="E171" s="2140"/>
      <c r="F171" s="2278"/>
      <c r="G171" s="336"/>
      <c r="H171" s="1426"/>
      <c r="I171" s="587"/>
      <c r="J171" s="507"/>
      <c r="K171" s="1426"/>
      <c r="L171" s="151"/>
      <c r="M171" s="278"/>
      <c r="N171" s="271"/>
      <c r="O171" s="1550"/>
      <c r="P171" s="1550"/>
      <c r="AH171" s="1557">
        <v>0</v>
      </c>
    </row>
    <row r="172" spans="1:34" s="1561" customFormat="1" ht="18.75" hidden="1" customHeight="1">
      <c r="A172" s="1706" t="s">
        <v>200</v>
      </c>
      <c r="B172" s="1706" t="s">
        <v>201</v>
      </c>
      <c r="C172" s="305"/>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11"/>
      <c r="I172" s="1665"/>
      <c r="J172" s="1699"/>
      <c r="K172" s="1704"/>
      <c r="L172" s="1911" t="s">
        <v>301</v>
      </c>
      <c r="M172" s="278"/>
      <c r="N172" s="271"/>
      <c r="O172" s="1550"/>
      <c r="P172" s="1550"/>
      <c r="AH172" s="1557">
        <v>0</v>
      </c>
    </row>
    <row r="173" spans="1:34" s="1561" customFormat="1" ht="18.75" hidden="1" customHeight="1">
      <c r="A173" s="1706"/>
      <c r="B173" s="1706"/>
      <c r="C173" s="305" t="s">
        <v>1144</v>
      </c>
      <c r="D173" s="2340"/>
      <c r="E173" s="2140"/>
      <c r="F173" s="2278"/>
      <c r="G173" s="2315"/>
      <c r="H173" s="1426"/>
      <c r="I173" s="587" t="s">
        <v>1143</v>
      </c>
      <c r="J173" s="507"/>
      <c r="K173" s="1426"/>
      <c r="L173" s="151"/>
      <c r="M173" s="278"/>
      <c r="N173" s="271"/>
      <c r="O173" s="1550"/>
      <c r="P173" s="1550"/>
      <c r="AH173" s="1557">
        <v>0</v>
      </c>
    </row>
    <row r="174" spans="1:34" s="1561" customFormat="1" ht="0.75" hidden="1" customHeight="1">
      <c r="A174" s="1706"/>
      <c r="B174" s="1706"/>
      <c r="C174" s="305" t="s">
        <v>1151</v>
      </c>
      <c r="D174" s="2340"/>
      <c r="E174" s="2140"/>
      <c r="F174" s="2278"/>
      <c r="G174" s="336"/>
      <c r="H174" s="1426"/>
      <c r="I174" s="587"/>
      <c r="J174" s="507"/>
      <c r="K174" s="1426"/>
      <c r="L174" s="151"/>
      <c r="M174" s="278"/>
      <c r="N174" s="271"/>
      <c r="O174" s="1550"/>
      <c r="P174" s="1550"/>
      <c r="AH174" s="1557">
        <v>0</v>
      </c>
    </row>
    <row r="175" spans="1:34" s="1561" customFormat="1" ht="18.75" hidden="1" customHeight="1">
      <c r="A175" s="1706" t="s">
        <v>220</v>
      </c>
      <c r="B175" s="1706" t="s">
        <v>221</v>
      </c>
      <c r="C175" s="305"/>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7"/>
      <c r="I175" s="1665"/>
      <c r="J175" s="1699"/>
      <c r="K175" s="1704"/>
      <c r="L175" s="1787" t="s">
        <v>301</v>
      </c>
      <c r="M175" s="278"/>
      <c r="N175" s="271"/>
      <c r="O175" s="1550"/>
      <c r="P175" s="1550"/>
      <c r="AH175" s="1557">
        <v>0</v>
      </c>
    </row>
    <row r="176" spans="1:34" s="1561" customFormat="1" ht="18.75" hidden="1" customHeight="1">
      <c r="A176" s="1706"/>
      <c r="B176" s="1706"/>
      <c r="C176" s="305" t="s">
        <v>1144</v>
      </c>
      <c r="D176" s="2340"/>
      <c r="E176" s="2140"/>
      <c r="F176" s="2278"/>
      <c r="G176" s="2315"/>
      <c r="H176" s="1426"/>
      <c r="I176" s="587" t="s">
        <v>1143</v>
      </c>
      <c r="J176" s="507"/>
      <c r="K176" s="1426"/>
      <c r="L176" s="151"/>
      <c r="M176" s="278"/>
      <c r="N176" s="271"/>
      <c r="O176" s="1550"/>
      <c r="P176" s="1550"/>
      <c r="AH176" s="1557">
        <v>0</v>
      </c>
    </row>
    <row r="177" spans="1:34" s="1561" customFormat="1" ht="0.75" hidden="1" customHeight="1">
      <c r="A177" s="1706"/>
      <c r="B177" s="1706"/>
      <c r="C177" s="305" t="s">
        <v>1151</v>
      </c>
      <c r="D177" s="2340"/>
      <c r="E177" s="2140"/>
      <c r="F177" s="2278"/>
      <c r="G177" s="336"/>
      <c r="H177" s="1426"/>
      <c r="I177" s="587"/>
      <c r="J177" s="507"/>
      <c r="K177" s="1426"/>
      <c r="L177" s="151"/>
      <c r="M177" s="278"/>
      <c r="N177" s="271"/>
      <c r="O177" s="1550"/>
      <c r="P177" s="1550"/>
      <c r="AH177" s="1557">
        <v>0</v>
      </c>
    </row>
    <row r="178" spans="1:34" s="1561" customFormat="1" ht="18.75" hidden="1" customHeight="1">
      <c r="A178" s="1706" t="s">
        <v>225</v>
      </c>
      <c r="B178" s="1706" t="s">
        <v>226</v>
      </c>
      <c r="C178" s="305"/>
      <c r="D178" s="2340"/>
      <c r="E178" s="2140"/>
      <c r="F178" s="2278" t="str">
        <f>INDEX(PT_DIFFERENTIATION_VTAR,MATCH(A178,PT_DIFFERENTIATION_VTAR_ID,0))</f>
        <v>Тариф на техническую воду</v>
      </c>
      <c r="G178" s="2315" t="str">
        <f>INDEX(PT_DIFFERENTIATION_NTAR,MATCH(B178,PT_DIFFERENTIATION_NTAR_ID,0))</f>
        <v/>
      </c>
      <c r="H178" s="1787"/>
      <c r="I178" s="1665"/>
      <c r="J178" s="1699"/>
      <c r="K178" s="1704"/>
      <c r="L178" s="1787" t="s">
        <v>301</v>
      </c>
      <c r="M178" s="278"/>
      <c r="N178" s="271"/>
      <c r="O178" s="1550"/>
      <c r="P178" s="1550"/>
      <c r="AH178" s="1557">
        <v>0</v>
      </c>
    </row>
    <row r="179" spans="1:34" s="1561" customFormat="1" ht="18.75" hidden="1" customHeight="1">
      <c r="A179" s="1706"/>
      <c r="B179" s="1706"/>
      <c r="C179" s="305" t="s">
        <v>1144</v>
      </c>
      <c r="D179" s="2340"/>
      <c r="E179" s="2140"/>
      <c r="F179" s="2278"/>
      <c r="G179" s="2315"/>
      <c r="H179" s="1426"/>
      <c r="I179" s="587" t="s">
        <v>1143</v>
      </c>
      <c r="J179" s="507"/>
      <c r="K179" s="1426"/>
      <c r="L179" s="151"/>
      <c r="M179" s="278"/>
      <c r="N179" s="271"/>
      <c r="O179" s="1550"/>
      <c r="P179" s="1550"/>
      <c r="AH179" s="1557">
        <v>0</v>
      </c>
    </row>
    <row r="180" spans="1:34" s="1561" customFormat="1" ht="0.75" hidden="1" customHeight="1">
      <c r="A180" s="1706"/>
      <c r="B180" s="1706"/>
      <c r="C180" s="305" t="s">
        <v>1151</v>
      </c>
      <c r="D180" s="2340"/>
      <c r="E180" s="2140"/>
      <c r="F180" s="2278"/>
      <c r="G180" s="336"/>
      <c r="H180" s="1426"/>
      <c r="I180" s="587"/>
      <c r="J180" s="507"/>
      <c r="K180" s="1426"/>
      <c r="L180" s="151"/>
      <c r="M180" s="278"/>
      <c r="N180" s="271"/>
      <c r="O180" s="1550"/>
      <c r="P180" s="1550"/>
      <c r="AH180" s="1557">
        <v>0</v>
      </c>
    </row>
    <row r="181" spans="1:34" s="1561" customFormat="1" ht="18.75" hidden="1" customHeight="1">
      <c r="A181" s="1706" t="s">
        <v>230</v>
      </c>
      <c r="B181" s="1706" t="s">
        <v>231</v>
      </c>
      <c r="C181" s="305"/>
      <c r="D181" s="2340"/>
      <c r="E181" s="2140"/>
      <c r="F181" s="2278" t="str">
        <f>INDEX(PT_DIFFERENTIATION_VTAR,MATCH(A181,PT_DIFFERENTIATION_VTAR_ID,0))</f>
        <v>Тариф на транспортировку воды</v>
      </c>
      <c r="G181" s="2315" t="str">
        <f>INDEX(PT_DIFFERENTIATION_NTAR,MATCH(B181,PT_DIFFERENTIATION_NTAR_ID,0))</f>
        <v/>
      </c>
      <c r="H181" s="1787"/>
      <c r="I181" s="1665"/>
      <c r="J181" s="1699"/>
      <c r="K181" s="1704"/>
      <c r="L181" s="1787" t="s">
        <v>301</v>
      </c>
      <c r="M181" s="278"/>
      <c r="N181" s="271"/>
      <c r="O181" s="1550"/>
      <c r="P181" s="1550"/>
      <c r="AH181" s="1557">
        <v>0</v>
      </c>
    </row>
    <row r="182" spans="1:34" s="1561" customFormat="1" ht="18.75" hidden="1" customHeight="1">
      <c r="A182" s="1706"/>
      <c r="B182" s="1706"/>
      <c r="C182" s="305" t="s">
        <v>1144</v>
      </c>
      <c r="D182" s="2340"/>
      <c r="E182" s="2140"/>
      <c r="F182" s="2278"/>
      <c r="G182" s="2315"/>
      <c r="H182" s="1426"/>
      <c r="I182" s="587" t="s">
        <v>1143</v>
      </c>
      <c r="J182" s="507"/>
      <c r="K182" s="1426"/>
      <c r="L182" s="151"/>
      <c r="M182" s="278"/>
      <c r="N182" s="271"/>
      <c r="O182" s="1550"/>
      <c r="P182" s="1550"/>
      <c r="AH182" s="1557">
        <v>0</v>
      </c>
    </row>
    <row r="183" spans="1:34" s="1561" customFormat="1" ht="0.75" hidden="1" customHeight="1">
      <c r="A183" s="1706"/>
      <c r="B183" s="1706"/>
      <c r="C183" s="305" t="s">
        <v>1151</v>
      </c>
      <c r="D183" s="2340"/>
      <c r="E183" s="2140"/>
      <c r="F183" s="2278"/>
      <c r="G183" s="336"/>
      <c r="H183" s="1426"/>
      <c r="I183" s="587"/>
      <c r="J183" s="507"/>
      <c r="K183" s="1426"/>
      <c r="L183" s="151"/>
      <c r="M183" s="278"/>
      <c r="N183" s="271"/>
      <c r="O183" s="1550"/>
      <c r="P183" s="1550"/>
      <c r="AH183" s="1557">
        <v>0</v>
      </c>
    </row>
    <row r="184" spans="1:34" s="1561" customFormat="1" ht="18.75" hidden="1" customHeight="1">
      <c r="A184" s="1706" t="s">
        <v>235</v>
      </c>
      <c r="B184" s="1706" t="s">
        <v>236</v>
      </c>
      <c r="C184" s="305"/>
      <c r="D184" s="2340"/>
      <c r="E184" s="2140"/>
      <c r="F184" s="2278" t="str">
        <f>INDEX(PT_DIFFERENTIATION_VTAR,MATCH(A184,PT_DIFFERENTIATION_VTAR_ID,0))</f>
        <v>Тариф на подвоз воды</v>
      </c>
      <c r="G184" s="2315" t="str">
        <f>INDEX(PT_DIFFERENTIATION_NTAR,MATCH(B184,PT_DIFFERENTIATION_NTAR_ID,0))</f>
        <v/>
      </c>
      <c r="H184" s="1787"/>
      <c r="I184" s="1665"/>
      <c r="J184" s="1699"/>
      <c r="K184" s="1704"/>
      <c r="L184" s="1787" t="s">
        <v>301</v>
      </c>
      <c r="M184" s="278"/>
      <c r="N184" s="271"/>
      <c r="O184" s="1550"/>
      <c r="P184" s="1550"/>
      <c r="AH184" s="1557">
        <v>0</v>
      </c>
    </row>
    <row r="185" spans="1:34" s="1561" customFormat="1" ht="18.75" hidden="1" customHeight="1">
      <c r="A185" s="1706"/>
      <c r="B185" s="1706"/>
      <c r="C185" s="305" t="s">
        <v>1144</v>
      </c>
      <c r="D185" s="2340"/>
      <c r="E185" s="2140"/>
      <c r="F185" s="2278"/>
      <c r="G185" s="2315"/>
      <c r="H185" s="1426"/>
      <c r="I185" s="587" t="s">
        <v>1143</v>
      </c>
      <c r="J185" s="507"/>
      <c r="K185" s="1426"/>
      <c r="L185" s="151"/>
      <c r="M185" s="278"/>
      <c r="N185" s="271"/>
      <c r="O185" s="1550"/>
      <c r="P185" s="1550"/>
      <c r="AH185" s="1557">
        <v>0</v>
      </c>
    </row>
    <row r="186" spans="1:34" s="1561" customFormat="1" ht="0.75" hidden="1" customHeight="1">
      <c r="A186" s="1706"/>
      <c r="B186" s="1706"/>
      <c r="C186" s="305" t="s">
        <v>1151</v>
      </c>
      <c r="D186" s="2340"/>
      <c r="E186" s="2140"/>
      <c r="F186" s="2278"/>
      <c r="G186" s="336"/>
      <c r="H186" s="1426"/>
      <c r="I186" s="587"/>
      <c r="J186" s="507"/>
      <c r="K186" s="1426"/>
      <c r="L186" s="151"/>
      <c r="M186" s="278"/>
      <c r="N186" s="271"/>
      <c r="O186" s="1550"/>
      <c r="P186" s="1550"/>
      <c r="AH186" s="1557">
        <v>0</v>
      </c>
    </row>
    <row r="187" spans="1:34" s="1561" customFormat="1" ht="18.75" hidden="1" customHeight="1">
      <c r="A187" s="1706" t="s">
        <v>240</v>
      </c>
      <c r="B187" s="1706" t="s">
        <v>241</v>
      </c>
      <c r="C187" s="305"/>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7"/>
      <c r="I187" s="1665"/>
      <c r="J187" s="1699"/>
      <c r="K187" s="1704"/>
      <c r="L187" s="1787" t="s">
        <v>301</v>
      </c>
      <c r="M187" s="278"/>
      <c r="N187" s="271"/>
      <c r="O187" s="1550"/>
      <c r="P187" s="1550"/>
      <c r="AH187" s="1557">
        <v>0</v>
      </c>
    </row>
    <row r="188" spans="1:34" s="1561" customFormat="1" ht="18.75" hidden="1" customHeight="1">
      <c r="A188" s="1706"/>
      <c r="B188" s="1706"/>
      <c r="C188" s="305" t="s">
        <v>1144</v>
      </c>
      <c r="D188" s="2340"/>
      <c r="E188" s="2140"/>
      <c r="F188" s="2278"/>
      <c r="G188" s="2315"/>
      <c r="H188" s="1426"/>
      <c r="I188" s="587" t="s">
        <v>1143</v>
      </c>
      <c r="J188" s="507"/>
      <c r="K188" s="1426"/>
      <c r="L188" s="151"/>
      <c r="M188" s="278"/>
      <c r="N188" s="271"/>
      <c r="O188" s="1550"/>
      <c r="P188" s="1550"/>
      <c r="AH188" s="1557">
        <v>0</v>
      </c>
    </row>
    <row r="189" spans="1:34" s="1561" customFormat="1" ht="0.75" hidden="1" customHeight="1">
      <c r="A189" s="1706"/>
      <c r="B189" s="1706"/>
      <c r="C189" s="305" t="s">
        <v>1151</v>
      </c>
      <c r="D189" s="2340"/>
      <c r="E189" s="2140"/>
      <c r="F189" s="2278"/>
      <c r="G189" s="336"/>
      <c r="H189" s="1426"/>
      <c r="I189" s="587"/>
      <c r="J189" s="507"/>
      <c r="K189" s="1426"/>
      <c r="L189" s="151"/>
      <c r="M189" s="278"/>
      <c r="N189" s="271"/>
      <c r="O189" s="1550"/>
      <c r="P189" s="1550"/>
      <c r="AH189" s="1557">
        <v>0</v>
      </c>
    </row>
    <row r="190" spans="1:34" s="1561" customFormat="1" ht="18.75" hidden="1" customHeight="1">
      <c r="A190" s="1706" t="s">
        <v>245</v>
      </c>
      <c r="B190" s="1706" t="s">
        <v>246</v>
      </c>
      <c r="C190" s="305"/>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7"/>
      <c r="I190" s="1665"/>
      <c r="J190" s="1699"/>
      <c r="K190" s="1704"/>
      <c r="L190" s="1787" t="s">
        <v>301</v>
      </c>
      <c r="M190" s="278"/>
      <c r="N190" s="271"/>
      <c r="O190" s="1550"/>
      <c r="P190" s="1550"/>
      <c r="AH190" s="1557">
        <v>0</v>
      </c>
    </row>
    <row r="191" spans="1:34" s="1561" customFormat="1" ht="18.75" hidden="1" customHeight="1">
      <c r="A191" s="1706"/>
      <c r="B191" s="1706"/>
      <c r="C191" s="305" t="s">
        <v>1144</v>
      </c>
      <c r="D191" s="2340"/>
      <c r="E191" s="2140"/>
      <c r="F191" s="2278"/>
      <c r="G191" s="2315"/>
      <c r="H191" s="1426"/>
      <c r="I191" s="587" t="s">
        <v>1143</v>
      </c>
      <c r="J191" s="507"/>
      <c r="K191" s="1426"/>
      <c r="L191" s="151"/>
      <c r="M191" s="278"/>
      <c r="N191" s="271"/>
      <c r="O191" s="1550"/>
      <c r="P191" s="1550"/>
      <c r="AH191" s="1557">
        <v>0</v>
      </c>
    </row>
    <row r="192" spans="1:34" s="1561" customFormat="1" ht="0.75" hidden="1" customHeight="1">
      <c r="A192" s="1706"/>
      <c r="B192" s="1706"/>
      <c r="C192" s="305" t="s">
        <v>1151</v>
      </c>
      <c r="D192" s="2340"/>
      <c r="E192" s="2140"/>
      <c r="F192" s="2278"/>
      <c r="G192" s="336"/>
      <c r="H192" s="1426"/>
      <c r="I192" s="587"/>
      <c r="J192" s="507"/>
      <c r="K192" s="1426"/>
      <c r="L192" s="151"/>
      <c r="M192" s="278"/>
      <c r="N192" s="271"/>
      <c r="O192" s="1550"/>
      <c r="P192" s="1550"/>
      <c r="AH192" s="1557">
        <v>0</v>
      </c>
    </row>
    <row r="193" spans="1:34" s="1561" customFormat="1" ht="18.75" hidden="1" customHeight="1">
      <c r="A193" s="1706" t="s">
        <v>250</v>
      </c>
      <c r="B193" s="1706" t="s">
        <v>251</v>
      </c>
      <c r="C193" s="305"/>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7"/>
      <c r="I193" s="1665"/>
      <c r="J193" s="1699"/>
      <c r="K193" s="1704"/>
      <c r="L193" s="1787" t="s">
        <v>301</v>
      </c>
      <c r="M193" s="278"/>
      <c r="N193" s="271"/>
      <c r="O193" s="1550"/>
      <c r="P193" s="1550"/>
      <c r="AH193" s="1557">
        <v>0</v>
      </c>
    </row>
    <row r="194" spans="1:34" s="1561" customFormat="1" ht="18.75" hidden="1" customHeight="1">
      <c r="A194" s="1706"/>
      <c r="B194" s="1706"/>
      <c r="C194" s="305" t="s">
        <v>1144</v>
      </c>
      <c r="D194" s="2340"/>
      <c r="E194" s="2140"/>
      <c r="F194" s="2278"/>
      <c r="G194" s="2315"/>
      <c r="H194" s="1426"/>
      <c r="I194" s="587" t="s">
        <v>1143</v>
      </c>
      <c r="J194" s="507"/>
      <c r="K194" s="1426"/>
      <c r="L194" s="151"/>
      <c r="M194" s="278"/>
      <c r="N194" s="271"/>
      <c r="O194" s="1550"/>
      <c r="P194" s="1550"/>
      <c r="AH194" s="1557">
        <v>0</v>
      </c>
    </row>
    <row r="195" spans="1:34" s="1561" customFormat="1" ht="0.75" hidden="1" customHeight="1">
      <c r="A195" s="1706"/>
      <c r="B195" s="1706"/>
      <c r="C195" s="305" t="s">
        <v>1151</v>
      </c>
      <c r="D195" s="2340"/>
      <c r="E195" s="2140"/>
      <c r="F195" s="2278"/>
      <c r="G195" s="336"/>
      <c r="H195" s="1426"/>
      <c r="I195" s="587"/>
      <c r="J195" s="507"/>
      <c r="K195" s="1426"/>
      <c r="L195" s="151"/>
      <c r="M195" s="278"/>
      <c r="N195" s="271"/>
      <c r="O195" s="1550"/>
      <c r="P195" s="1550"/>
      <c r="AH195" s="1557">
        <v>0</v>
      </c>
    </row>
    <row r="196" spans="1:34" s="1561" customFormat="1" ht="18.75" hidden="1" customHeight="1">
      <c r="A196" s="1706" t="s">
        <v>255</v>
      </c>
      <c r="B196" s="1706" t="s">
        <v>256</v>
      </c>
      <c r="C196" s="305"/>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7"/>
      <c r="I196" s="1665"/>
      <c r="J196" s="1699"/>
      <c r="K196" s="1704"/>
      <c r="L196" s="1787" t="s">
        <v>301</v>
      </c>
      <c r="M196" s="278"/>
      <c r="N196" s="271"/>
      <c r="O196" s="1550"/>
      <c r="P196" s="1550"/>
      <c r="AH196" s="1557">
        <v>0</v>
      </c>
    </row>
    <row r="197" spans="1:34" s="1561" customFormat="1" ht="18.75" hidden="1" customHeight="1">
      <c r="A197" s="1706"/>
      <c r="B197" s="1706"/>
      <c r="C197" s="305" t="s">
        <v>1144</v>
      </c>
      <c r="D197" s="2340"/>
      <c r="E197" s="2140"/>
      <c r="F197" s="2278"/>
      <c r="G197" s="2315"/>
      <c r="H197" s="1426"/>
      <c r="I197" s="587" t="s">
        <v>1143</v>
      </c>
      <c r="J197" s="507"/>
      <c r="K197" s="1426"/>
      <c r="L197" s="151"/>
      <c r="M197" s="278"/>
      <c r="N197" s="271"/>
      <c r="O197" s="1550"/>
      <c r="P197" s="1550"/>
      <c r="AH197" s="1557">
        <v>0</v>
      </c>
    </row>
    <row r="198" spans="1:34" s="1561" customFormat="1" ht="0.75" hidden="1" customHeight="1">
      <c r="A198" s="1706"/>
      <c r="B198" s="1706"/>
      <c r="C198" s="305" t="s">
        <v>1151</v>
      </c>
      <c r="D198" s="2340"/>
      <c r="E198" s="2140"/>
      <c r="F198" s="2278"/>
      <c r="G198" s="336"/>
      <c r="H198" s="1426"/>
      <c r="I198" s="587"/>
      <c r="J198" s="507"/>
      <c r="K198" s="1426"/>
      <c r="L198" s="151"/>
      <c r="M198" s="278"/>
      <c r="N198" s="271"/>
      <c r="O198" s="1550"/>
      <c r="P198" s="1550"/>
      <c r="AH198" s="1557">
        <v>0</v>
      </c>
    </row>
    <row r="199" spans="1:34" s="1561" customFormat="1" ht="18.75" hidden="1" customHeight="1">
      <c r="A199" s="1706" t="s">
        <v>260</v>
      </c>
      <c r="B199" s="1706" t="s">
        <v>261</v>
      </c>
      <c r="C199" s="305"/>
      <c r="D199" s="2340"/>
      <c r="E199" s="2140"/>
      <c r="F199" s="2278" t="str">
        <f>INDEX(PT_DIFFERENTIATION_VTAR,MATCH(A199,PT_DIFFERENTIATION_VTAR_ID,0))</f>
        <v>Тариф на водоотведение</v>
      </c>
      <c r="G199" s="2315" t="str">
        <f>INDEX(PT_DIFFERENTIATION_NTAR,MATCH(B199,PT_DIFFERENTIATION_NTAR_ID,0))</f>
        <v/>
      </c>
      <c r="H199" s="1787"/>
      <c r="I199" s="1665"/>
      <c r="J199" s="1699"/>
      <c r="K199" s="1704"/>
      <c r="L199" s="1787" t="s">
        <v>301</v>
      </c>
      <c r="M199" s="278"/>
      <c r="N199" s="271"/>
      <c r="O199" s="1550"/>
      <c r="P199" s="1550"/>
      <c r="AH199" s="1557">
        <v>0</v>
      </c>
    </row>
    <row r="200" spans="1:34" s="1561" customFormat="1" ht="18.75" hidden="1" customHeight="1">
      <c r="A200" s="1706"/>
      <c r="B200" s="1706"/>
      <c r="C200" s="305" t="s">
        <v>1144</v>
      </c>
      <c r="D200" s="2340"/>
      <c r="E200" s="2140"/>
      <c r="F200" s="2278"/>
      <c r="G200" s="2315"/>
      <c r="H200" s="1426"/>
      <c r="I200" s="587" t="s">
        <v>1143</v>
      </c>
      <c r="J200" s="507"/>
      <c r="K200" s="1426"/>
      <c r="L200" s="151"/>
      <c r="M200" s="278"/>
      <c r="N200" s="271"/>
      <c r="O200" s="1550"/>
      <c r="P200" s="1550"/>
      <c r="AH200" s="1557">
        <v>0</v>
      </c>
    </row>
    <row r="201" spans="1:34" s="1561" customFormat="1" ht="0.75" hidden="1" customHeight="1">
      <c r="A201" s="1706"/>
      <c r="B201" s="1706"/>
      <c r="C201" s="305" t="s">
        <v>1151</v>
      </c>
      <c r="D201" s="2340"/>
      <c r="E201" s="2140"/>
      <c r="F201" s="2278"/>
      <c r="G201" s="336"/>
      <c r="H201" s="1426"/>
      <c r="I201" s="587"/>
      <c r="J201" s="507"/>
      <c r="K201" s="1426"/>
      <c r="L201" s="151"/>
      <c r="M201" s="278"/>
      <c r="N201" s="271"/>
      <c r="O201" s="1550"/>
      <c r="P201" s="1550"/>
      <c r="AH201" s="1557">
        <v>0</v>
      </c>
    </row>
    <row r="202" spans="1:34" s="1561" customFormat="1" ht="18.75" hidden="1" customHeight="1">
      <c r="A202" s="1706" t="s">
        <v>265</v>
      </c>
      <c r="B202" s="1706" t="s">
        <v>266</v>
      </c>
      <c r="C202" s="305"/>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7"/>
      <c r="I202" s="1665"/>
      <c r="J202" s="1699"/>
      <c r="K202" s="1704"/>
      <c r="L202" s="1787" t="s">
        <v>301</v>
      </c>
      <c r="M202" s="278"/>
      <c r="N202" s="271"/>
      <c r="O202" s="1550"/>
      <c r="P202" s="1550"/>
      <c r="AH202" s="1557">
        <v>0</v>
      </c>
    </row>
    <row r="203" spans="1:34" s="1561" customFormat="1" ht="18.75" hidden="1" customHeight="1">
      <c r="A203" s="1706"/>
      <c r="B203" s="1706"/>
      <c r="C203" s="305" t="s">
        <v>1144</v>
      </c>
      <c r="D203" s="2340"/>
      <c r="E203" s="2140"/>
      <c r="F203" s="2278"/>
      <c r="G203" s="2315"/>
      <c r="H203" s="1426"/>
      <c r="I203" s="587" t="s">
        <v>1143</v>
      </c>
      <c r="J203" s="507"/>
      <c r="K203" s="1426"/>
      <c r="L203" s="151"/>
      <c r="M203" s="278"/>
      <c r="N203" s="271"/>
      <c r="O203" s="1550"/>
      <c r="P203" s="1550"/>
      <c r="AH203" s="1557">
        <v>0</v>
      </c>
    </row>
    <row r="204" spans="1:34" s="1561" customFormat="1" ht="0.75" hidden="1" customHeight="1">
      <c r="A204" s="1706"/>
      <c r="B204" s="1706"/>
      <c r="C204" s="305" t="s">
        <v>1151</v>
      </c>
      <c r="D204" s="2340"/>
      <c r="E204" s="2140"/>
      <c r="F204" s="2278"/>
      <c r="G204" s="336"/>
      <c r="H204" s="1426"/>
      <c r="I204" s="587"/>
      <c r="J204" s="507"/>
      <c r="K204" s="1426"/>
      <c r="L204" s="151"/>
      <c r="M204" s="278"/>
      <c r="N204" s="271"/>
      <c r="O204" s="1550"/>
      <c r="P204" s="1550"/>
      <c r="AH204" s="1557">
        <v>0</v>
      </c>
    </row>
    <row r="205" spans="1:34" s="1561" customFormat="1" ht="18.75" hidden="1" customHeight="1">
      <c r="A205" s="1706" t="s">
        <v>270</v>
      </c>
      <c r="B205" s="1706" t="s">
        <v>271</v>
      </c>
      <c r="C205" s="305"/>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7"/>
      <c r="I205" s="1665"/>
      <c r="J205" s="1699"/>
      <c r="K205" s="1704"/>
      <c r="L205" s="1787" t="s">
        <v>301</v>
      </c>
      <c r="M205" s="278"/>
      <c r="N205" s="271"/>
      <c r="O205" s="1550"/>
      <c r="P205" s="1550"/>
      <c r="AH205" s="1557">
        <v>0</v>
      </c>
    </row>
    <row r="206" spans="1:34" s="1561" customFormat="1" ht="18.75" hidden="1" customHeight="1">
      <c r="A206" s="1706"/>
      <c r="B206" s="1706"/>
      <c r="C206" s="305" t="s">
        <v>1144</v>
      </c>
      <c r="D206" s="2340"/>
      <c r="E206" s="2140"/>
      <c r="F206" s="2278"/>
      <c r="G206" s="2315"/>
      <c r="H206" s="1426"/>
      <c r="I206" s="587" t="s">
        <v>1143</v>
      </c>
      <c r="J206" s="507"/>
      <c r="K206" s="1426"/>
      <c r="L206" s="151"/>
      <c r="M206" s="278"/>
      <c r="N206" s="271"/>
      <c r="O206" s="1550"/>
      <c r="P206" s="1550"/>
      <c r="AH206" s="1557">
        <v>0</v>
      </c>
    </row>
    <row r="207" spans="1:34" s="1561" customFormat="1" ht="1.1499999999999999" customHeight="1">
      <c r="A207" s="1706"/>
      <c r="B207" s="1706"/>
      <c r="C207" s="305" t="s">
        <v>1151</v>
      </c>
      <c r="D207" s="2340"/>
      <c r="E207" s="2140"/>
      <c r="F207" s="2278"/>
      <c r="G207" s="336"/>
      <c r="H207" s="1426"/>
      <c r="I207" s="587"/>
      <c r="J207" s="507"/>
      <c r="K207" s="1426"/>
      <c r="L207" s="151"/>
      <c r="M207" s="278"/>
      <c r="N207" s="271"/>
      <c r="O207" s="1550"/>
      <c r="P207" s="1550"/>
      <c r="AH207" s="1557">
        <v>1</v>
      </c>
    </row>
    <row r="208" spans="1:34" ht="27.4" customHeight="1">
      <c r="A208" s="1706"/>
      <c r="B208" s="1706"/>
      <c r="D208" s="312"/>
      <c r="E208" s="84" t="s">
        <v>107</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39"/>
      <c r="H208" s="2339"/>
      <c r="I208" s="2339"/>
      <c r="J208" s="2339"/>
      <c r="K208" s="2339"/>
      <c r="L208" s="2339"/>
      <c r="M208" s="234"/>
      <c r="N208" s="271"/>
      <c r="AH208" s="310">
        <v>26</v>
      </c>
    </row>
    <row r="209" spans="1:34" s="1561" customFormat="1" ht="60.75" hidden="1" customHeight="1">
      <c r="A209" s="1706" t="s">
        <v>152</v>
      </c>
      <c r="B209" s="1706" t="s">
        <v>153</v>
      </c>
      <c r="C209" s="305"/>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7"/>
      <c r="I209" s="1665"/>
      <c r="J209" s="1699"/>
      <c r="K209" s="1704"/>
      <c r="L209" s="1787" t="s">
        <v>301</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1144</v>
      </c>
      <c r="D210" s="2340"/>
      <c r="E210" s="2140"/>
      <c r="F210" s="2278"/>
      <c r="G210" s="2315"/>
      <c r="H210" s="1426"/>
      <c r="I210" s="587" t="s">
        <v>1143</v>
      </c>
      <c r="J210" s="507"/>
      <c r="K210" s="1426"/>
      <c r="L210" s="151"/>
      <c r="M210" s="2101"/>
      <c r="N210" s="271"/>
      <c r="O210" s="1550"/>
      <c r="P210" s="1550"/>
      <c r="AH210" s="1557">
        <v>0</v>
      </c>
    </row>
    <row r="211" spans="1:34" s="1561" customFormat="1" ht="0.75" hidden="1" customHeight="1">
      <c r="A211" s="1706"/>
      <c r="B211" s="1706"/>
      <c r="C211" s="305" t="s">
        <v>1151</v>
      </c>
      <c r="D211" s="2340"/>
      <c r="E211" s="2140"/>
      <c r="F211" s="2278"/>
      <c r="G211" s="336"/>
      <c r="H211" s="1426"/>
      <c r="I211" s="587"/>
      <c r="J211" s="507"/>
      <c r="K211" s="1426"/>
      <c r="L211" s="151"/>
      <c r="M211" s="2101"/>
      <c r="N211" s="271"/>
      <c r="O211" s="1550"/>
      <c r="P211" s="1550"/>
      <c r="AH211" s="1557">
        <v>0</v>
      </c>
    </row>
    <row r="212" spans="1:34" s="1561" customFormat="1" ht="45" hidden="1" customHeight="1">
      <c r="A212" s="1706" t="s">
        <v>157</v>
      </c>
      <c r="B212" s="1706" t="s">
        <v>158</v>
      </c>
      <c r="C212" s="305"/>
      <c r="D212" s="2340"/>
      <c r="E212" s="2140"/>
      <c r="F212" s="2278" t="str">
        <f>INDEX(PT_DIFFERENTIATION_VTAR,MATCH(A212,PT_DIFFERENTIATION_VTAR_ID,0))</f>
        <v/>
      </c>
      <c r="G212" s="2315" t="str">
        <f>INDEX(PT_DIFFERENTIATION_NTAR,MATCH(B212,PT_DIFFERENTIATION_NTAR_ID,0))</f>
        <v/>
      </c>
      <c r="H212" s="1787"/>
      <c r="I212" s="1665"/>
      <c r="J212" s="1699"/>
      <c r="K212" s="1704"/>
      <c r="L212" s="1787" t="s">
        <v>301</v>
      </c>
      <c r="M212" s="2102"/>
      <c r="N212" s="271"/>
      <c r="O212" s="1550"/>
      <c r="P212" s="1550"/>
      <c r="AH212" s="1557">
        <v>0</v>
      </c>
    </row>
    <row r="213" spans="1:34" s="1561" customFormat="1" ht="18.75" hidden="1" customHeight="1">
      <c r="A213" s="1706"/>
      <c r="B213" s="1706"/>
      <c r="C213" s="305" t="s">
        <v>1144</v>
      </c>
      <c r="D213" s="2340"/>
      <c r="E213" s="2140"/>
      <c r="F213" s="2278"/>
      <c r="G213" s="2315"/>
      <c r="H213" s="1426"/>
      <c r="I213" s="587" t="s">
        <v>1143</v>
      </c>
      <c r="J213" s="507"/>
      <c r="K213" s="1426"/>
      <c r="L213" s="151"/>
      <c r="M213" s="1786"/>
      <c r="N213" s="271"/>
      <c r="O213" s="1550"/>
      <c r="P213" s="1550"/>
      <c r="AH213" s="1557">
        <v>0</v>
      </c>
    </row>
    <row r="214" spans="1:34" s="1561" customFormat="1" ht="0.75" hidden="1" customHeight="1">
      <c r="A214" s="1706"/>
      <c r="B214" s="1706"/>
      <c r="C214" s="305" t="s">
        <v>1151</v>
      </c>
      <c r="D214" s="2340"/>
      <c r="E214" s="2140"/>
      <c r="F214" s="2278"/>
      <c r="G214" s="336"/>
      <c r="H214" s="1426"/>
      <c r="I214" s="587"/>
      <c r="J214" s="507"/>
      <c r="K214" s="1426"/>
      <c r="L214" s="151"/>
      <c r="M214" s="278"/>
      <c r="N214" s="271"/>
      <c r="O214" s="1550"/>
      <c r="P214" s="1550"/>
      <c r="AH214" s="1557">
        <v>0</v>
      </c>
    </row>
    <row r="215" spans="1:34" s="1561" customFormat="1" ht="45" hidden="1" customHeight="1">
      <c r="A215" s="1706" t="s">
        <v>164</v>
      </c>
      <c r="B215" s="1706" t="s">
        <v>165</v>
      </c>
      <c r="C215" s="305"/>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7"/>
      <c r="I215" s="1665"/>
      <c r="J215" s="1699"/>
      <c r="K215" s="1704"/>
      <c r="L215" s="1787" t="s">
        <v>301</v>
      </c>
      <c r="M215" s="278"/>
      <c r="N215" s="271"/>
      <c r="O215" s="1550"/>
      <c r="P215" s="1550"/>
      <c r="AH215" s="1557">
        <v>0</v>
      </c>
    </row>
    <row r="216" spans="1:34" s="1561" customFormat="1" ht="18.75" hidden="1" customHeight="1">
      <c r="A216" s="1706"/>
      <c r="B216" s="1706"/>
      <c r="C216" s="305" t="s">
        <v>1144</v>
      </c>
      <c r="D216" s="2340"/>
      <c r="E216" s="2140"/>
      <c r="F216" s="2278"/>
      <c r="G216" s="2315"/>
      <c r="H216" s="1426"/>
      <c r="I216" s="587" t="s">
        <v>1143</v>
      </c>
      <c r="J216" s="507"/>
      <c r="K216" s="1426"/>
      <c r="L216" s="151"/>
      <c r="M216" s="278"/>
      <c r="N216" s="271"/>
      <c r="O216" s="1550"/>
      <c r="P216" s="1550"/>
      <c r="AH216" s="1557">
        <v>0</v>
      </c>
    </row>
    <row r="217" spans="1:34" s="1561" customFormat="1" ht="0.75" hidden="1" customHeight="1">
      <c r="A217" s="1706"/>
      <c r="B217" s="1706"/>
      <c r="C217" s="305" t="s">
        <v>1151</v>
      </c>
      <c r="D217" s="2340"/>
      <c r="E217" s="2140"/>
      <c r="F217" s="2278"/>
      <c r="G217" s="336"/>
      <c r="H217" s="1426"/>
      <c r="I217" s="587"/>
      <c r="J217" s="507"/>
      <c r="K217" s="1426"/>
      <c r="L217" s="151"/>
      <c r="M217" s="278"/>
      <c r="N217" s="271"/>
      <c r="O217" s="1550"/>
      <c r="P217" s="1550"/>
      <c r="AH217" s="1557">
        <v>0</v>
      </c>
    </row>
    <row r="218" spans="1:34" s="1561" customFormat="1" ht="45" hidden="1" customHeight="1">
      <c r="A218" s="1706" t="s">
        <v>170</v>
      </c>
      <c r="B218" s="1706" t="s">
        <v>171</v>
      </c>
      <c r="C218" s="305"/>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7"/>
      <c r="I218" s="1665"/>
      <c r="J218" s="1699"/>
      <c r="K218" s="1704"/>
      <c r="L218" s="1787" t="s">
        <v>301</v>
      </c>
      <c r="M218" s="278"/>
      <c r="N218" s="271"/>
      <c r="O218" s="1550"/>
      <c r="P218" s="1550"/>
      <c r="AH218" s="1557">
        <v>0</v>
      </c>
    </row>
    <row r="219" spans="1:34" s="1561" customFormat="1" ht="18.75" hidden="1" customHeight="1">
      <c r="A219" s="1706"/>
      <c r="B219" s="1706"/>
      <c r="C219" s="305" t="s">
        <v>1144</v>
      </c>
      <c r="D219" s="2340"/>
      <c r="E219" s="2140"/>
      <c r="F219" s="2278"/>
      <c r="G219" s="2315"/>
      <c r="H219" s="1426"/>
      <c r="I219" s="587" t="s">
        <v>1143</v>
      </c>
      <c r="J219" s="507"/>
      <c r="K219" s="1426"/>
      <c r="L219" s="151"/>
      <c r="M219" s="278"/>
      <c r="N219" s="271"/>
      <c r="O219" s="1550"/>
      <c r="P219" s="1550"/>
      <c r="AH219" s="1557">
        <v>0</v>
      </c>
    </row>
    <row r="220" spans="1:34" s="1561" customFormat="1" ht="0.75" hidden="1" customHeight="1">
      <c r="A220" s="1706"/>
      <c r="B220" s="1706"/>
      <c r="C220" s="305" t="s">
        <v>1151</v>
      </c>
      <c r="D220" s="2340"/>
      <c r="E220" s="2140"/>
      <c r="F220" s="2278"/>
      <c r="G220" s="336"/>
      <c r="H220" s="1426"/>
      <c r="I220" s="587"/>
      <c r="J220" s="507"/>
      <c r="K220" s="1426"/>
      <c r="L220" s="151"/>
      <c r="M220" s="278"/>
      <c r="N220" s="271"/>
      <c r="O220" s="1550"/>
      <c r="P220" s="1550"/>
      <c r="AH220" s="1557">
        <v>0</v>
      </c>
    </row>
    <row r="221" spans="1:34" s="1561" customFormat="1" ht="18.75" hidden="1" customHeight="1">
      <c r="A221" s="1706" t="s">
        <v>176</v>
      </c>
      <c r="B221" s="1706" t="s">
        <v>177</v>
      </c>
      <c r="C221" s="305"/>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7"/>
      <c r="I221" s="1665"/>
      <c r="J221" s="1699"/>
      <c r="K221" s="1704"/>
      <c r="L221" s="1787" t="s">
        <v>301</v>
      </c>
      <c r="M221" s="278"/>
      <c r="N221" s="271"/>
      <c r="O221" s="1550"/>
      <c r="P221" s="1550"/>
      <c r="AH221" s="1557">
        <v>0</v>
      </c>
    </row>
    <row r="222" spans="1:34" s="1561" customFormat="1" ht="18.75" hidden="1" customHeight="1">
      <c r="A222" s="1706"/>
      <c r="B222" s="1706"/>
      <c r="C222" s="305" t="s">
        <v>1144</v>
      </c>
      <c r="D222" s="2340"/>
      <c r="E222" s="2140"/>
      <c r="F222" s="2278"/>
      <c r="G222" s="2315"/>
      <c r="H222" s="1426"/>
      <c r="I222" s="587" t="s">
        <v>1143</v>
      </c>
      <c r="J222" s="507"/>
      <c r="K222" s="1426"/>
      <c r="L222" s="151"/>
      <c r="M222" s="278"/>
      <c r="N222" s="271"/>
      <c r="O222" s="1550"/>
      <c r="P222" s="1550"/>
      <c r="AH222" s="1557">
        <v>0</v>
      </c>
    </row>
    <row r="223" spans="1:34" s="1561" customFormat="1" ht="0.75" hidden="1" customHeight="1">
      <c r="A223" s="1706"/>
      <c r="B223" s="1706"/>
      <c r="C223" s="305" t="s">
        <v>1151</v>
      </c>
      <c r="D223" s="2340"/>
      <c r="E223" s="2140"/>
      <c r="F223" s="2278"/>
      <c r="G223" s="336"/>
      <c r="H223" s="1426"/>
      <c r="I223" s="587"/>
      <c r="J223" s="507"/>
      <c r="K223" s="1426"/>
      <c r="L223" s="151"/>
      <c r="M223" s="278"/>
      <c r="N223" s="271"/>
      <c r="O223" s="1550"/>
      <c r="P223" s="1550"/>
      <c r="AH223" s="1557">
        <v>0</v>
      </c>
    </row>
    <row r="224" spans="1:34" s="1561" customFormat="1" ht="18.75" hidden="1" customHeight="1">
      <c r="A224" s="1706" t="s">
        <v>182</v>
      </c>
      <c r="B224" s="1706" t="s">
        <v>183</v>
      </c>
      <c r="C224" s="305"/>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7"/>
      <c r="I224" s="1665"/>
      <c r="J224" s="1699"/>
      <c r="K224" s="1704"/>
      <c r="L224" s="1787" t="s">
        <v>301</v>
      </c>
      <c r="M224" s="278"/>
      <c r="N224" s="271"/>
      <c r="O224" s="1550"/>
      <c r="P224" s="1550"/>
      <c r="AH224" s="1557">
        <v>0</v>
      </c>
    </row>
    <row r="225" spans="1:34" s="1561" customFormat="1" ht="18.75" hidden="1" customHeight="1">
      <c r="A225" s="1706"/>
      <c r="B225" s="1706"/>
      <c r="C225" s="305" t="s">
        <v>1144</v>
      </c>
      <c r="D225" s="2340"/>
      <c r="E225" s="2140"/>
      <c r="F225" s="2278"/>
      <c r="G225" s="2315"/>
      <c r="H225" s="1426"/>
      <c r="I225" s="587" t="s">
        <v>1143</v>
      </c>
      <c r="J225" s="507"/>
      <c r="K225" s="1426"/>
      <c r="L225" s="151"/>
      <c r="M225" s="278"/>
      <c r="N225" s="271"/>
      <c r="O225" s="1550"/>
      <c r="P225" s="1550"/>
      <c r="AH225" s="1557">
        <v>0</v>
      </c>
    </row>
    <row r="226" spans="1:34" s="1561" customFormat="1" ht="0.75" hidden="1" customHeight="1">
      <c r="A226" s="1706"/>
      <c r="B226" s="1706"/>
      <c r="C226" s="305" t="s">
        <v>1151</v>
      </c>
      <c r="D226" s="2340"/>
      <c r="E226" s="2140"/>
      <c r="F226" s="2278"/>
      <c r="G226" s="336"/>
      <c r="H226" s="1426"/>
      <c r="I226" s="587"/>
      <c r="J226" s="507"/>
      <c r="K226" s="1426"/>
      <c r="L226" s="151"/>
      <c r="M226" s="278"/>
      <c r="N226" s="271"/>
      <c r="O226" s="1550"/>
      <c r="P226" s="1550"/>
      <c r="AH226" s="1557">
        <v>0</v>
      </c>
    </row>
    <row r="227" spans="1:34" s="1561" customFormat="1" ht="18.75" hidden="1" customHeight="1">
      <c r="A227" s="1706" t="s">
        <v>188</v>
      </c>
      <c r="B227" s="1706" t="s">
        <v>189</v>
      </c>
      <c r="C227" s="305"/>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7"/>
      <c r="I227" s="1665"/>
      <c r="J227" s="1699"/>
      <c r="K227" s="1704"/>
      <c r="L227" s="1787" t="s">
        <v>301</v>
      </c>
      <c r="M227" s="278"/>
      <c r="N227" s="271"/>
      <c r="O227" s="1550"/>
      <c r="P227" s="1550"/>
      <c r="AH227" s="1557">
        <v>0</v>
      </c>
    </row>
    <row r="228" spans="1:34" s="1561" customFormat="1" ht="18.75" hidden="1" customHeight="1">
      <c r="A228" s="1706"/>
      <c r="B228" s="1706"/>
      <c r="C228" s="305" t="s">
        <v>1144</v>
      </c>
      <c r="D228" s="2340"/>
      <c r="E228" s="2140"/>
      <c r="F228" s="2278"/>
      <c r="G228" s="2315"/>
      <c r="H228" s="1426"/>
      <c r="I228" s="587" t="s">
        <v>1143</v>
      </c>
      <c r="J228" s="507"/>
      <c r="K228" s="1426"/>
      <c r="L228" s="151"/>
      <c r="M228" s="278"/>
      <c r="N228" s="271"/>
      <c r="O228" s="1550"/>
      <c r="P228" s="1550"/>
      <c r="AH228" s="1557">
        <v>0</v>
      </c>
    </row>
    <row r="229" spans="1:34" s="1561" customFormat="1" ht="0.75" hidden="1" customHeight="1">
      <c r="A229" s="1706"/>
      <c r="B229" s="1706"/>
      <c r="C229" s="305" t="s">
        <v>1151</v>
      </c>
      <c r="D229" s="2340"/>
      <c r="E229" s="2140"/>
      <c r="F229" s="2278"/>
      <c r="G229" s="336"/>
      <c r="H229" s="1426"/>
      <c r="I229" s="587"/>
      <c r="J229" s="507"/>
      <c r="K229" s="1426"/>
      <c r="L229" s="151"/>
      <c r="M229" s="278"/>
      <c r="N229" s="271"/>
      <c r="O229" s="1550"/>
      <c r="P229" s="1550"/>
      <c r="AH229" s="1557">
        <v>0</v>
      </c>
    </row>
    <row r="230" spans="1:34" s="1561" customFormat="1" ht="18.75" hidden="1" customHeight="1">
      <c r="A230" s="1706" t="s">
        <v>194</v>
      </c>
      <c r="B230" s="1706" t="s">
        <v>195</v>
      </c>
      <c r="C230" s="305"/>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7"/>
      <c r="I230" s="1665"/>
      <c r="J230" s="1699"/>
      <c r="K230" s="1704"/>
      <c r="L230" s="1787" t="s">
        <v>301</v>
      </c>
      <c r="M230" s="278"/>
      <c r="N230" s="271"/>
      <c r="O230" s="1550"/>
      <c r="P230" s="1550"/>
      <c r="AH230" s="1557">
        <v>0</v>
      </c>
    </row>
    <row r="231" spans="1:34" s="1561" customFormat="1" ht="18.75" hidden="1" customHeight="1">
      <c r="A231" s="1706"/>
      <c r="B231" s="1706"/>
      <c r="C231" s="305" t="s">
        <v>1144</v>
      </c>
      <c r="D231" s="2340"/>
      <c r="E231" s="2140"/>
      <c r="F231" s="2278"/>
      <c r="G231" s="2315"/>
      <c r="H231" s="1426"/>
      <c r="I231" s="587" t="s">
        <v>1143</v>
      </c>
      <c r="J231" s="507"/>
      <c r="K231" s="1426"/>
      <c r="L231" s="151"/>
      <c r="M231" s="278"/>
      <c r="N231" s="271"/>
      <c r="O231" s="1550"/>
      <c r="P231" s="1550"/>
      <c r="AH231" s="1557">
        <v>0</v>
      </c>
    </row>
    <row r="232" spans="1:34" s="1561" customFormat="1" ht="0.75" hidden="1" customHeight="1">
      <c r="A232" s="1706"/>
      <c r="B232" s="1706"/>
      <c r="C232" s="305" t="s">
        <v>1151</v>
      </c>
      <c r="D232" s="2340"/>
      <c r="E232" s="2140"/>
      <c r="F232" s="2278"/>
      <c r="G232" s="336"/>
      <c r="H232" s="1426"/>
      <c r="I232" s="587"/>
      <c r="J232" s="507"/>
      <c r="K232" s="1426"/>
      <c r="L232" s="151"/>
      <c r="M232" s="278"/>
      <c r="N232" s="271"/>
      <c r="O232" s="1550"/>
      <c r="P232" s="1550"/>
      <c r="AH232" s="1557">
        <v>0</v>
      </c>
    </row>
    <row r="233" spans="1:34" s="1561" customFormat="1" ht="18.75" hidden="1" customHeight="1">
      <c r="A233" s="1706" t="s">
        <v>200</v>
      </c>
      <c r="B233" s="1706" t="s">
        <v>201</v>
      </c>
      <c r="C233" s="305"/>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11"/>
      <c r="I233" s="1665"/>
      <c r="J233" s="1699"/>
      <c r="K233" s="1704"/>
      <c r="L233" s="1911" t="s">
        <v>301</v>
      </c>
      <c r="M233" s="278"/>
      <c r="N233" s="271"/>
      <c r="O233" s="1550"/>
      <c r="P233" s="1550"/>
      <c r="AH233" s="1557">
        <v>0</v>
      </c>
    </row>
    <row r="234" spans="1:34" s="1561" customFormat="1" ht="18.75" hidden="1" customHeight="1">
      <c r="A234" s="1706"/>
      <c r="B234" s="1706"/>
      <c r="C234" s="305" t="s">
        <v>1144</v>
      </c>
      <c r="D234" s="2340"/>
      <c r="E234" s="2140"/>
      <c r="F234" s="2278"/>
      <c r="G234" s="2315"/>
      <c r="H234" s="1426"/>
      <c r="I234" s="587" t="s">
        <v>1143</v>
      </c>
      <c r="J234" s="507"/>
      <c r="K234" s="1426"/>
      <c r="L234" s="151"/>
      <c r="M234" s="278"/>
      <c r="N234" s="271"/>
      <c r="O234" s="1550"/>
      <c r="P234" s="1550"/>
      <c r="AH234" s="1557">
        <v>0</v>
      </c>
    </row>
    <row r="235" spans="1:34" s="1561" customFormat="1" ht="0.75" hidden="1" customHeight="1">
      <c r="A235" s="1706"/>
      <c r="B235" s="1706"/>
      <c r="C235" s="305" t="s">
        <v>1151</v>
      </c>
      <c r="D235" s="2340"/>
      <c r="E235" s="2140"/>
      <c r="F235" s="2278"/>
      <c r="G235" s="336"/>
      <c r="H235" s="1426"/>
      <c r="I235" s="587"/>
      <c r="J235" s="507"/>
      <c r="K235" s="1426"/>
      <c r="L235" s="151"/>
      <c r="M235" s="278"/>
      <c r="N235" s="271"/>
      <c r="O235" s="1550"/>
      <c r="P235" s="1550"/>
      <c r="AH235" s="1557">
        <v>0</v>
      </c>
    </row>
    <row r="236" spans="1:34" s="1561" customFormat="1" ht="18.75" hidden="1" customHeight="1">
      <c r="A236" s="1706" t="s">
        <v>220</v>
      </c>
      <c r="B236" s="1706" t="s">
        <v>221</v>
      </c>
      <c r="C236" s="305"/>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7"/>
      <c r="I236" s="1665"/>
      <c r="J236" s="1699"/>
      <c r="K236" s="1704"/>
      <c r="L236" s="1787" t="s">
        <v>301</v>
      </c>
      <c r="M236" s="278"/>
      <c r="N236" s="271"/>
      <c r="O236" s="1550"/>
      <c r="P236" s="1550"/>
      <c r="AH236" s="1557">
        <v>0</v>
      </c>
    </row>
    <row r="237" spans="1:34" s="1561" customFormat="1" ht="18.75" hidden="1" customHeight="1">
      <c r="A237" s="1706"/>
      <c r="B237" s="1706"/>
      <c r="C237" s="305" t="s">
        <v>1144</v>
      </c>
      <c r="D237" s="2340"/>
      <c r="E237" s="2140"/>
      <c r="F237" s="2278"/>
      <c r="G237" s="2315"/>
      <c r="H237" s="1426"/>
      <c r="I237" s="587" t="s">
        <v>1143</v>
      </c>
      <c r="J237" s="507"/>
      <c r="K237" s="1426"/>
      <c r="L237" s="151"/>
      <c r="M237" s="278"/>
      <c r="N237" s="271"/>
      <c r="O237" s="1550"/>
      <c r="P237" s="1550"/>
      <c r="AH237" s="1557">
        <v>0</v>
      </c>
    </row>
    <row r="238" spans="1:34" s="1561" customFormat="1" ht="0.75" hidden="1" customHeight="1">
      <c r="A238" s="1706"/>
      <c r="B238" s="1706"/>
      <c r="C238" s="305" t="s">
        <v>1151</v>
      </c>
      <c r="D238" s="2340"/>
      <c r="E238" s="2140"/>
      <c r="F238" s="2278"/>
      <c r="G238" s="336"/>
      <c r="H238" s="1426"/>
      <c r="I238" s="587"/>
      <c r="J238" s="507"/>
      <c r="K238" s="1426"/>
      <c r="L238" s="151"/>
      <c r="M238" s="278"/>
      <c r="N238" s="271"/>
      <c r="O238" s="1550"/>
      <c r="P238" s="1550"/>
      <c r="AH238" s="1557">
        <v>0</v>
      </c>
    </row>
    <row r="239" spans="1:34" s="1561" customFormat="1" ht="18.75" hidden="1" customHeight="1">
      <c r="A239" s="1706" t="s">
        <v>225</v>
      </c>
      <c r="B239" s="1706" t="s">
        <v>226</v>
      </c>
      <c r="C239" s="305"/>
      <c r="D239" s="2340"/>
      <c r="E239" s="2140"/>
      <c r="F239" s="2278" t="str">
        <f>INDEX(PT_DIFFERENTIATION_VTAR,MATCH(A239,PT_DIFFERENTIATION_VTAR_ID,0))</f>
        <v>Тариф на техническую воду</v>
      </c>
      <c r="G239" s="2315" t="str">
        <f>INDEX(PT_DIFFERENTIATION_NTAR,MATCH(B239,PT_DIFFERENTIATION_NTAR_ID,0))</f>
        <v/>
      </c>
      <c r="H239" s="1787"/>
      <c r="I239" s="1665"/>
      <c r="J239" s="1699"/>
      <c r="K239" s="1704"/>
      <c r="L239" s="1787" t="s">
        <v>301</v>
      </c>
      <c r="M239" s="278"/>
      <c r="N239" s="271"/>
      <c r="O239" s="1550"/>
      <c r="P239" s="1550"/>
      <c r="AH239" s="1557">
        <v>0</v>
      </c>
    </row>
    <row r="240" spans="1:34" s="1561" customFormat="1" ht="18.75" hidden="1" customHeight="1">
      <c r="A240" s="1706"/>
      <c r="B240" s="1706"/>
      <c r="C240" s="305" t="s">
        <v>1144</v>
      </c>
      <c r="D240" s="2340"/>
      <c r="E240" s="2140"/>
      <c r="F240" s="2278"/>
      <c r="G240" s="2315"/>
      <c r="H240" s="1426"/>
      <c r="I240" s="587" t="s">
        <v>1143</v>
      </c>
      <c r="J240" s="507"/>
      <c r="K240" s="1426"/>
      <c r="L240" s="151"/>
      <c r="M240" s="278"/>
      <c r="N240" s="271"/>
      <c r="O240" s="1550"/>
      <c r="P240" s="1550"/>
      <c r="AH240" s="1557">
        <v>0</v>
      </c>
    </row>
    <row r="241" spans="1:34" s="1561" customFormat="1" ht="0.75" hidden="1" customHeight="1">
      <c r="A241" s="1706"/>
      <c r="B241" s="1706"/>
      <c r="C241" s="305" t="s">
        <v>1151</v>
      </c>
      <c r="D241" s="2340"/>
      <c r="E241" s="2140"/>
      <c r="F241" s="2278"/>
      <c r="G241" s="336"/>
      <c r="H241" s="1426"/>
      <c r="I241" s="587"/>
      <c r="J241" s="507"/>
      <c r="K241" s="1426"/>
      <c r="L241" s="151"/>
      <c r="M241" s="278"/>
      <c r="N241" s="271"/>
      <c r="O241" s="1550"/>
      <c r="P241" s="1550"/>
      <c r="AH241" s="1557">
        <v>0</v>
      </c>
    </row>
    <row r="242" spans="1:34" s="1561" customFormat="1" ht="18.75" hidden="1" customHeight="1">
      <c r="A242" s="1706" t="s">
        <v>230</v>
      </c>
      <c r="B242" s="1706" t="s">
        <v>231</v>
      </c>
      <c r="C242" s="305"/>
      <c r="D242" s="2340"/>
      <c r="E242" s="2140"/>
      <c r="F242" s="2278" t="str">
        <f>INDEX(PT_DIFFERENTIATION_VTAR,MATCH(A242,PT_DIFFERENTIATION_VTAR_ID,0))</f>
        <v>Тариф на транспортировку воды</v>
      </c>
      <c r="G242" s="2315" t="str">
        <f>INDEX(PT_DIFFERENTIATION_NTAR,MATCH(B242,PT_DIFFERENTIATION_NTAR_ID,0))</f>
        <v/>
      </c>
      <c r="H242" s="1787"/>
      <c r="I242" s="1665"/>
      <c r="J242" s="1699"/>
      <c r="K242" s="1704"/>
      <c r="L242" s="1787" t="s">
        <v>301</v>
      </c>
      <c r="M242" s="278"/>
      <c r="N242" s="271"/>
      <c r="O242" s="1550"/>
      <c r="P242" s="1550"/>
      <c r="AH242" s="1557">
        <v>0</v>
      </c>
    </row>
    <row r="243" spans="1:34" s="1561" customFormat="1" ht="18.75" hidden="1" customHeight="1">
      <c r="A243" s="1706"/>
      <c r="B243" s="1706"/>
      <c r="C243" s="305" t="s">
        <v>1144</v>
      </c>
      <c r="D243" s="2340"/>
      <c r="E243" s="2140"/>
      <c r="F243" s="2278"/>
      <c r="G243" s="2315"/>
      <c r="H243" s="1426"/>
      <c r="I243" s="587" t="s">
        <v>1143</v>
      </c>
      <c r="J243" s="507"/>
      <c r="K243" s="1426"/>
      <c r="L243" s="151"/>
      <c r="M243" s="278"/>
      <c r="N243" s="271"/>
      <c r="O243" s="1550"/>
      <c r="P243" s="1550"/>
      <c r="AH243" s="1557">
        <v>0</v>
      </c>
    </row>
    <row r="244" spans="1:34" s="1561" customFormat="1" ht="0.75" hidden="1" customHeight="1">
      <c r="A244" s="1706"/>
      <c r="B244" s="1706"/>
      <c r="C244" s="305" t="s">
        <v>1151</v>
      </c>
      <c r="D244" s="2340"/>
      <c r="E244" s="2140"/>
      <c r="F244" s="2278"/>
      <c r="G244" s="336"/>
      <c r="H244" s="1426"/>
      <c r="I244" s="587"/>
      <c r="J244" s="507"/>
      <c r="K244" s="1426"/>
      <c r="L244" s="151"/>
      <c r="M244" s="278"/>
      <c r="N244" s="271"/>
      <c r="O244" s="1550"/>
      <c r="P244" s="1550"/>
      <c r="AH244" s="1557">
        <v>0</v>
      </c>
    </row>
    <row r="245" spans="1:34" s="1561" customFormat="1" ht="18.75" hidden="1" customHeight="1">
      <c r="A245" s="1706" t="s">
        <v>235</v>
      </c>
      <c r="B245" s="1706" t="s">
        <v>236</v>
      </c>
      <c r="C245" s="305"/>
      <c r="D245" s="2340"/>
      <c r="E245" s="2140"/>
      <c r="F245" s="2278" t="str">
        <f>INDEX(PT_DIFFERENTIATION_VTAR,MATCH(A245,PT_DIFFERENTIATION_VTAR_ID,0))</f>
        <v>Тариф на подвоз воды</v>
      </c>
      <c r="G245" s="2315" t="str">
        <f>INDEX(PT_DIFFERENTIATION_NTAR,MATCH(B245,PT_DIFFERENTIATION_NTAR_ID,0))</f>
        <v/>
      </c>
      <c r="H245" s="1787"/>
      <c r="I245" s="1665"/>
      <c r="J245" s="1699"/>
      <c r="K245" s="1704"/>
      <c r="L245" s="1787" t="s">
        <v>301</v>
      </c>
      <c r="M245" s="278"/>
      <c r="N245" s="271"/>
      <c r="O245" s="1550"/>
      <c r="P245" s="1550"/>
      <c r="AH245" s="1557">
        <v>0</v>
      </c>
    </row>
    <row r="246" spans="1:34" s="1561" customFormat="1" ht="18.75" hidden="1" customHeight="1">
      <c r="A246" s="1706"/>
      <c r="B246" s="1706"/>
      <c r="C246" s="305" t="s">
        <v>1144</v>
      </c>
      <c r="D246" s="2340"/>
      <c r="E246" s="2140"/>
      <c r="F246" s="2278"/>
      <c r="G246" s="2315"/>
      <c r="H246" s="1426"/>
      <c r="I246" s="587" t="s">
        <v>1143</v>
      </c>
      <c r="J246" s="507"/>
      <c r="K246" s="1426"/>
      <c r="L246" s="151"/>
      <c r="M246" s="278"/>
      <c r="N246" s="271"/>
      <c r="O246" s="1550"/>
      <c r="P246" s="1550"/>
      <c r="AH246" s="1557">
        <v>0</v>
      </c>
    </row>
    <row r="247" spans="1:34" s="1561" customFormat="1" ht="0.75" hidden="1" customHeight="1">
      <c r="A247" s="1706"/>
      <c r="B247" s="1706"/>
      <c r="C247" s="305" t="s">
        <v>1151</v>
      </c>
      <c r="D247" s="2340"/>
      <c r="E247" s="2140"/>
      <c r="F247" s="2278"/>
      <c r="G247" s="336"/>
      <c r="H247" s="1426"/>
      <c r="I247" s="587"/>
      <c r="J247" s="507"/>
      <c r="K247" s="1426"/>
      <c r="L247" s="151"/>
      <c r="M247" s="278"/>
      <c r="N247" s="271"/>
      <c r="O247" s="1550"/>
      <c r="P247" s="1550"/>
      <c r="AH247" s="1557">
        <v>0</v>
      </c>
    </row>
    <row r="248" spans="1:34" s="1561" customFormat="1" ht="18.75" hidden="1" customHeight="1">
      <c r="A248" s="1706" t="s">
        <v>240</v>
      </c>
      <c r="B248" s="1706" t="s">
        <v>241</v>
      </c>
      <c r="C248" s="305"/>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7"/>
      <c r="I248" s="1665"/>
      <c r="J248" s="1699"/>
      <c r="K248" s="1704"/>
      <c r="L248" s="1787" t="s">
        <v>301</v>
      </c>
      <c r="M248" s="278"/>
      <c r="N248" s="271"/>
      <c r="O248" s="1550"/>
      <c r="P248" s="1550"/>
      <c r="AH248" s="1557">
        <v>0</v>
      </c>
    </row>
    <row r="249" spans="1:34" s="1561" customFormat="1" ht="18.75" hidden="1" customHeight="1">
      <c r="A249" s="1706"/>
      <c r="B249" s="1706"/>
      <c r="C249" s="305" t="s">
        <v>1144</v>
      </c>
      <c r="D249" s="2340"/>
      <c r="E249" s="2140"/>
      <c r="F249" s="2278"/>
      <c r="G249" s="2315"/>
      <c r="H249" s="1426"/>
      <c r="I249" s="587" t="s">
        <v>1143</v>
      </c>
      <c r="J249" s="507"/>
      <c r="K249" s="1426"/>
      <c r="L249" s="151"/>
      <c r="M249" s="278"/>
      <c r="N249" s="271"/>
      <c r="O249" s="1550"/>
      <c r="P249" s="1550"/>
      <c r="AH249" s="1557">
        <v>0</v>
      </c>
    </row>
    <row r="250" spans="1:34" s="1561" customFormat="1" ht="0.75" hidden="1" customHeight="1">
      <c r="A250" s="1706"/>
      <c r="B250" s="1706"/>
      <c r="C250" s="305" t="s">
        <v>1151</v>
      </c>
      <c r="D250" s="2340"/>
      <c r="E250" s="2140"/>
      <c r="F250" s="2278"/>
      <c r="G250" s="336"/>
      <c r="H250" s="1426"/>
      <c r="I250" s="587"/>
      <c r="J250" s="507"/>
      <c r="K250" s="1426"/>
      <c r="L250" s="151"/>
      <c r="M250" s="278"/>
      <c r="N250" s="271"/>
      <c r="O250" s="1550"/>
      <c r="P250" s="1550"/>
      <c r="AH250" s="1557">
        <v>0</v>
      </c>
    </row>
    <row r="251" spans="1:34" s="1561" customFormat="1" ht="18.75" hidden="1" customHeight="1">
      <c r="A251" s="1706" t="s">
        <v>245</v>
      </c>
      <c r="B251" s="1706" t="s">
        <v>246</v>
      </c>
      <c r="C251" s="305"/>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7"/>
      <c r="I251" s="1665"/>
      <c r="J251" s="1699"/>
      <c r="K251" s="1704"/>
      <c r="L251" s="1787" t="s">
        <v>301</v>
      </c>
      <c r="M251" s="278"/>
      <c r="N251" s="271"/>
      <c r="O251" s="1550"/>
      <c r="P251" s="1550"/>
      <c r="AH251" s="1557">
        <v>0</v>
      </c>
    </row>
    <row r="252" spans="1:34" s="1561" customFormat="1" ht="18.75" hidden="1" customHeight="1">
      <c r="A252" s="1706"/>
      <c r="B252" s="1706"/>
      <c r="C252" s="305" t="s">
        <v>1144</v>
      </c>
      <c r="D252" s="2340"/>
      <c r="E252" s="2140"/>
      <c r="F252" s="2278"/>
      <c r="G252" s="2315"/>
      <c r="H252" s="1426"/>
      <c r="I252" s="587" t="s">
        <v>1143</v>
      </c>
      <c r="J252" s="507"/>
      <c r="K252" s="1426"/>
      <c r="L252" s="151"/>
      <c r="M252" s="278"/>
      <c r="N252" s="271"/>
      <c r="O252" s="1550"/>
      <c r="P252" s="1550"/>
      <c r="AH252" s="1557">
        <v>0</v>
      </c>
    </row>
    <row r="253" spans="1:34" s="1561" customFormat="1" ht="0.75" hidden="1" customHeight="1">
      <c r="A253" s="1706"/>
      <c r="B253" s="1706"/>
      <c r="C253" s="305" t="s">
        <v>1151</v>
      </c>
      <c r="D253" s="2340"/>
      <c r="E253" s="2140"/>
      <c r="F253" s="2278"/>
      <c r="G253" s="336"/>
      <c r="H253" s="1426"/>
      <c r="I253" s="587"/>
      <c r="J253" s="507"/>
      <c r="K253" s="1426"/>
      <c r="L253" s="151"/>
      <c r="M253" s="278"/>
      <c r="N253" s="271"/>
      <c r="O253" s="1550"/>
      <c r="P253" s="1550"/>
      <c r="AH253" s="1557">
        <v>0</v>
      </c>
    </row>
    <row r="254" spans="1:34" s="1561" customFormat="1" ht="18.75" hidden="1" customHeight="1">
      <c r="A254" s="1706" t="s">
        <v>250</v>
      </c>
      <c r="B254" s="1706" t="s">
        <v>251</v>
      </c>
      <c r="C254" s="305"/>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7"/>
      <c r="I254" s="1665"/>
      <c r="J254" s="1699"/>
      <c r="K254" s="1704"/>
      <c r="L254" s="1787" t="s">
        <v>301</v>
      </c>
      <c r="M254" s="278"/>
      <c r="N254" s="271"/>
      <c r="O254" s="1550"/>
      <c r="P254" s="1550"/>
      <c r="AH254" s="1557">
        <v>0</v>
      </c>
    </row>
    <row r="255" spans="1:34" s="1561" customFormat="1" ht="18.75" hidden="1" customHeight="1">
      <c r="A255" s="1706"/>
      <c r="B255" s="1706"/>
      <c r="C255" s="305" t="s">
        <v>1144</v>
      </c>
      <c r="D255" s="2340"/>
      <c r="E255" s="2140"/>
      <c r="F255" s="2278"/>
      <c r="G255" s="2315"/>
      <c r="H255" s="1426"/>
      <c r="I255" s="587" t="s">
        <v>1143</v>
      </c>
      <c r="J255" s="507"/>
      <c r="K255" s="1426"/>
      <c r="L255" s="151"/>
      <c r="M255" s="278"/>
      <c r="N255" s="271"/>
      <c r="O255" s="1550"/>
      <c r="P255" s="1550"/>
      <c r="AH255" s="1557">
        <v>0</v>
      </c>
    </row>
    <row r="256" spans="1:34" s="1561" customFormat="1" ht="0.75" hidden="1" customHeight="1">
      <c r="A256" s="1706"/>
      <c r="B256" s="1706"/>
      <c r="C256" s="305" t="s">
        <v>1151</v>
      </c>
      <c r="D256" s="2340"/>
      <c r="E256" s="2140"/>
      <c r="F256" s="2278"/>
      <c r="G256" s="336"/>
      <c r="H256" s="1426"/>
      <c r="I256" s="587"/>
      <c r="J256" s="507"/>
      <c r="K256" s="1426"/>
      <c r="L256" s="151"/>
      <c r="M256" s="278"/>
      <c r="N256" s="271"/>
      <c r="O256" s="1550"/>
      <c r="P256" s="1550"/>
      <c r="AH256" s="1557">
        <v>0</v>
      </c>
    </row>
    <row r="257" spans="1:34" s="1561" customFormat="1" ht="18.75" hidden="1" customHeight="1">
      <c r="A257" s="1706" t="s">
        <v>255</v>
      </c>
      <c r="B257" s="1706" t="s">
        <v>256</v>
      </c>
      <c r="C257" s="305"/>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7"/>
      <c r="I257" s="1665"/>
      <c r="J257" s="1699"/>
      <c r="K257" s="1704"/>
      <c r="L257" s="1787" t="s">
        <v>301</v>
      </c>
      <c r="M257" s="278"/>
      <c r="N257" s="271"/>
      <c r="O257" s="1550"/>
      <c r="P257" s="1550"/>
      <c r="AH257" s="1557">
        <v>0</v>
      </c>
    </row>
    <row r="258" spans="1:34" s="1561" customFormat="1" ht="18.75" hidden="1" customHeight="1">
      <c r="A258" s="1706"/>
      <c r="B258" s="1706"/>
      <c r="C258" s="305" t="s">
        <v>1144</v>
      </c>
      <c r="D258" s="2340"/>
      <c r="E258" s="2140"/>
      <c r="F258" s="2278"/>
      <c r="G258" s="2315"/>
      <c r="H258" s="1426"/>
      <c r="I258" s="587" t="s">
        <v>1143</v>
      </c>
      <c r="J258" s="507"/>
      <c r="K258" s="1426"/>
      <c r="L258" s="151"/>
      <c r="M258" s="278"/>
      <c r="N258" s="271"/>
      <c r="O258" s="1550"/>
      <c r="P258" s="1550"/>
      <c r="AH258" s="1557">
        <v>0</v>
      </c>
    </row>
    <row r="259" spans="1:34" s="1561" customFormat="1" ht="0.75" hidden="1" customHeight="1">
      <c r="A259" s="1706"/>
      <c r="B259" s="1706"/>
      <c r="C259" s="305" t="s">
        <v>1151</v>
      </c>
      <c r="D259" s="2340"/>
      <c r="E259" s="2140"/>
      <c r="F259" s="2278"/>
      <c r="G259" s="336"/>
      <c r="H259" s="1426"/>
      <c r="I259" s="587"/>
      <c r="J259" s="507"/>
      <c r="K259" s="1426"/>
      <c r="L259" s="151"/>
      <c r="M259" s="278"/>
      <c r="N259" s="271"/>
      <c r="O259" s="1550"/>
      <c r="P259" s="1550"/>
      <c r="AH259" s="1557">
        <v>0</v>
      </c>
    </row>
    <row r="260" spans="1:34" s="1561" customFormat="1" ht="18.75" hidden="1" customHeight="1">
      <c r="A260" s="1706" t="s">
        <v>260</v>
      </c>
      <c r="B260" s="1706" t="s">
        <v>261</v>
      </c>
      <c r="C260" s="305"/>
      <c r="D260" s="2340"/>
      <c r="E260" s="2140"/>
      <c r="F260" s="2278" t="str">
        <f>INDEX(PT_DIFFERENTIATION_VTAR,MATCH(A260,PT_DIFFERENTIATION_VTAR_ID,0))</f>
        <v>Тариф на водоотведение</v>
      </c>
      <c r="G260" s="2315" t="str">
        <f>INDEX(PT_DIFFERENTIATION_NTAR,MATCH(B260,PT_DIFFERENTIATION_NTAR_ID,0))</f>
        <v/>
      </c>
      <c r="H260" s="1787"/>
      <c r="I260" s="1665"/>
      <c r="J260" s="1699"/>
      <c r="K260" s="1704"/>
      <c r="L260" s="1787" t="s">
        <v>301</v>
      </c>
      <c r="M260" s="278"/>
      <c r="N260" s="271"/>
      <c r="O260" s="1550"/>
      <c r="P260" s="1550"/>
      <c r="AH260" s="1557">
        <v>0</v>
      </c>
    </row>
    <row r="261" spans="1:34" s="1561" customFormat="1" ht="18.75" hidden="1" customHeight="1">
      <c r="A261" s="1706"/>
      <c r="B261" s="1706"/>
      <c r="C261" s="305" t="s">
        <v>1144</v>
      </c>
      <c r="D261" s="2340"/>
      <c r="E261" s="2140"/>
      <c r="F261" s="2278"/>
      <c r="G261" s="2315"/>
      <c r="H261" s="1426"/>
      <c r="I261" s="587" t="s">
        <v>1143</v>
      </c>
      <c r="J261" s="507"/>
      <c r="K261" s="1426"/>
      <c r="L261" s="151"/>
      <c r="M261" s="278"/>
      <c r="N261" s="271"/>
      <c r="O261" s="1550"/>
      <c r="P261" s="1550"/>
      <c r="AH261" s="1557">
        <v>0</v>
      </c>
    </row>
    <row r="262" spans="1:34" s="1561" customFormat="1" ht="0.75" hidden="1" customHeight="1">
      <c r="A262" s="1706"/>
      <c r="B262" s="1706"/>
      <c r="C262" s="305" t="s">
        <v>1151</v>
      </c>
      <c r="D262" s="2340"/>
      <c r="E262" s="2140"/>
      <c r="F262" s="2278"/>
      <c r="G262" s="336"/>
      <c r="H262" s="1426"/>
      <c r="I262" s="587"/>
      <c r="J262" s="507"/>
      <c r="K262" s="1426"/>
      <c r="L262" s="151"/>
      <c r="M262" s="278"/>
      <c r="N262" s="271"/>
      <c r="O262" s="1550"/>
      <c r="P262" s="1550"/>
      <c r="AH262" s="1557">
        <v>0</v>
      </c>
    </row>
    <row r="263" spans="1:34" s="1561" customFormat="1" ht="18.75" hidden="1" customHeight="1">
      <c r="A263" s="1706" t="s">
        <v>265</v>
      </c>
      <c r="B263" s="1706" t="s">
        <v>266</v>
      </c>
      <c r="C263" s="305"/>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7"/>
      <c r="I263" s="1665"/>
      <c r="J263" s="1699"/>
      <c r="K263" s="1704"/>
      <c r="L263" s="1787" t="s">
        <v>301</v>
      </c>
      <c r="M263" s="278"/>
      <c r="N263" s="271"/>
      <c r="O263" s="1550"/>
      <c r="P263" s="1550"/>
      <c r="AH263" s="1557">
        <v>0</v>
      </c>
    </row>
    <row r="264" spans="1:34" s="1561" customFormat="1" ht="18.75" hidden="1" customHeight="1">
      <c r="A264" s="1706"/>
      <c r="B264" s="1706"/>
      <c r="C264" s="305" t="s">
        <v>1144</v>
      </c>
      <c r="D264" s="2340"/>
      <c r="E264" s="2140"/>
      <c r="F264" s="2278"/>
      <c r="G264" s="2315"/>
      <c r="H264" s="1426"/>
      <c r="I264" s="587" t="s">
        <v>1143</v>
      </c>
      <c r="J264" s="507"/>
      <c r="K264" s="1426"/>
      <c r="L264" s="151"/>
      <c r="M264" s="278"/>
      <c r="N264" s="271"/>
      <c r="O264" s="1550"/>
      <c r="P264" s="1550"/>
      <c r="AH264" s="1557">
        <v>0</v>
      </c>
    </row>
    <row r="265" spans="1:34" s="1561" customFormat="1" ht="0.75" hidden="1" customHeight="1">
      <c r="A265" s="1706"/>
      <c r="B265" s="1706"/>
      <c r="C265" s="305" t="s">
        <v>1151</v>
      </c>
      <c r="D265" s="2340"/>
      <c r="E265" s="2140"/>
      <c r="F265" s="2278"/>
      <c r="G265" s="336"/>
      <c r="H265" s="1426"/>
      <c r="I265" s="587"/>
      <c r="J265" s="507"/>
      <c r="K265" s="1426"/>
      <c r="L265" s="151"/>
      <c r="M265" s="278"/>
      <c r="N265" s="271"/>
      <c r="O265" s="1550"/>
      <c r="P265" s="1550"/>
      <c r="AH265" s="1557">
        <v>0</v>
      </c>
    </row>
    <row r="266" spans="1:34" s="1561" customFormat="1" ht="18.75" hidden="1" customHeight="1">
      <c r="A266" s="1706" t="s">
        <v>270</v>
      </c>
      <c r="B266" s="1706" t="s">
        <v>271</v>
      </c>
      <c r="C266" s="305"/>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7"/>
      <c r="I266" s="1665"/>
      <c r="J266" s="1699"/>
      <c r="K266" s="1704"/>
      <c r="L266" s="1787" t="s">
        <v>301</v>
      </c>
      <c r="M266" s="278"/>
      <c r="N266" s="271"/>
      <c r="O266" s="1550"/>
      <c r="P266" s="1550"/>
      <c r="AH266" s="1557">
        <v>0</v>
      </c>
    </row>
    <row r="267" spans="1:34" s="1561" customFormat="1" ht="18.75" hidden="1" customHeight="1">
      <c r="A267" s="1706"/>
      <c r="B267" s="1706"/>
      <c r="C267" s="305" t="s">
        <v>1144</v>
      </c>
      <c r="D267" s="2340"/>
      <c r="E267" s="2140"/>
      <c r="F267" s="2278"/>
      <c r="G267" s="2315"/>
      <c r="H267" s="1426"/>
      <c r="I267" s="587" t="s">
        <v>1143</v>
      </c>
      <c r="J267" s="507"/>
      <c r="K267" s="1426"/>
      <c r="L267" s="151"/>
      <c r="M267" s="278"/>
      <c r="N267" s="271"/>
      <c r="O267" s="1550"/>
      <c r="P267" s="1550"/>
      <c r="AH267" s="1557">
        <v>0</v>
      </c>
    </row>
    <row r="268" spans="1:34" s="1561" customFormat="1" ht="1.1499999999999999" customHeight="1">
      <c r="A268" s="1706"/>
      <c r="B268" s="1706"/>
      <c r="C268" s="305" t="s">
        <v>1151</v>
      </c>
      <c r="D268" s="2340"/>
      <c r="E268" s="2140"/>
      <c r="F268" s="2278"/>
      <c r="G268" s="336"/>
      <c r="H268" s="1426"/>
      <c r="I268" s="587"/>
      <c r="J268" s="507"/>
      <c r="K268" s="1426"/>
      <c r="L268" s="151"/>
      <c r="M268" s="278"/>
      <c r="N268" s="271"/>
      <c r="O268" s="1550"/>
      <c r="P268" s="1550"/>
      <c r="AH268" s="1557">
        <v>1</v>
      </c>
    </row>
    <row r="269" spans="1:34" ht="27.4" customHeight="1">
      <c r="A269" s="1706"/>
      <c r="B269" s="1706"/>
      <c r="D269" s="312"/>
      <c r="E269" s="84" t="s">
        <v>88</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39"/>
      <c r="H269" s="2339"/>
      <c r="I269" s="2339"/>
      <c r="J269" s="2339"/>
      <c r="K269" s="2339"/>
      <c r="L269" s="2339"/>
      <c r="M269" s="234"/>
      <c r="N269" s="271"/>
      <c r="AH269" s="310">
        <v>26</v>
      </c>
    </row>
    <row r="270" spans="1:34" s="1561" customFormat="1" ht="60.75" hidden="1" customHeight="1">
      <c r="A270" s="1706" t="s">
        <v>152</v>
      </c>
      <c r="B270" s="1706" t="s">
        <v>153</v>
      </c>
      <c r="C270" s="305"/>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7"/>
      <c r="I270" s="1665"/>
      <c r="J270" s="1699"/>
      <c r="K270" s="1704"/>
      <c r="L270" s="1787" t="s">
        <v>301</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1144</v>
      </c>
      <c r="D271" s="2340"/>
      <c r="E271" s="2140"/>
      <c r="F271" s="2278"/>
      <c r="G271" s="2315"/>
      <c r="H271" s="1426"/>
      <c r="I271" s="587" t="s">
        <v>1143</v>
      </c>
      <c r="J271" s="507"/>
      <c r="K271" s="1426"/>
      <c r="L271" s="151"/>
      <c r="M271" s="2101"/>
      <c r="N271" s="271"/>
      <c r="O271" s="1550"/>
      <c r="P271" s="1550"/>
      <c r="AH271" s="1557">
        <v>0</v>
      </c>
    </row>
    <row r="272" spans="1:34" s="1561" customFormat="1" ht="0.75" hidden="1" customHeight="1">
      <c r="A272" s="1706"/>
      <c r="B272" s="1706"/>
      <c r="C272" s="305" t="s">
        <v>1151</v>
      </c>
      <c r="D272" s="2340"/>
      <c r="E272" s="2140"/>
      <c r="F272" s="2278"/>
      <c r="G272" s="336"/>
      <c r="H272" s="1426"/>
      <c r="I272" s="587"/>
      <c r="J272" s="507"/>
      <c r="K272" s="1426"/>
      <c r="L272" s="151"/>
      <c r="M272" s="2101"/>
      <c r="N272" s="271"/>
      <c r="O272" s="1550"/>
      <c r="P272" s="1550"/>
      <c r="AH272" s="1557">
        <v>0</v>
      </c>
    </row>
    <row r="273" spans="1:34" s="1561" customFormat="1" ht="45" hidden="1" customHeight="1">
      <c r="A273" s="1706" t="s">
        <v>157</v>
      </c>
      <c r="B273" s="1706" t="s">
        <v>158</v>
      </c>
      <c r="C273" s="305"/>
      <c r="D273" s="2340"/>
      <c r="E273" s="2140"/>
      <c r="F273" s="2278" t="str">
        <f>INDEX(PT_DIFFERENTIATION_VTAR,MATCH(A273,PT_DIFFERENTIATION_VTAR_ID,0))</f>
        <v/>
      </c>
      <c r="G273" s="2315" t="str">
        <f>INDEX(PT_DIFFERENTIATION_NTAR,MATCH(B273,PT_DIFFERENTIATION_NTAR_ID,0))</f>
        <v/>
      </c>
      <c r="H273" s="1787"/>
      <c r="I273" s="1665"/>
      <c r="J273" s="1699"/>
      <c r="K273" s="1704"/>
      <c r="L273" s="1787" t="s">
        <v>301</v>
      </c>
      <c r="M273" s="2102"/>
      <c r="N273" s="271"/>
      <c r="O273" s="1550"/>
      <c r="P273" s="1550"/>
      <c r="AH273" s="1557">
        <v>0</v>
      </c>
    </row>
    <row r="274" spans="1:34" s="1561" customFormat="1" ht="18.75" hidden="1" customHeight="1">
      <c r="A274" s="1706"/>
      <c r="B274" s="1706"/>
      <c r="C274" s="305" t="s">
        <v>1144</v>
      </c>
      <c r="D274" s="2340"/>
      <c r="E274" s="2140"/>
      <c r="F274" s="2278"/>
      <c r="G274" s="2315"/>
      <c r="H274" s="1426"/>
      <c r="I274" s="587" t="s">
        <v>1143</v>
      </c>
      <c r="J274" s="507"/>
      <c r="K274" s="1426"/>
      <c r="L274" s="151"/>
      <c r="M274" s="1786"/>
      <c r="N274" s="271"/>
      <c r="O274" s="1550"/>
      <c r="P274" s="1550"/>
      <c r="AH274" s="1557">
        <v>0</v>
      </c>
    </row>
    <row r="275" spans="1:34" s="1561" customFormat="1" ht="0.75" hidden="1" customHeight="1">
      <c r="A275" s="1706"/>
      <c r="B275" s="1706"/>
      <c r="C275" s="305" t="s">
        <v>1151</v>
      </c>
      <c r="D275" s="2340"/>
      <c r="E275" s="2140"/>
      <c r="F275" s="2278"/>
      <c r="G275" s="336"/>
      <c r="H275" s="1426"/>
      <c r="I275" s="587"/>
      <c r="J275" s="507"/>
      <c r="K275" s="1426"/>
      <c r="L275" s="151"/>
      <c r="M275" s="278"/>
      <c r="N275" s="271"/>
      <c r="O275" s="1550"/>
      <c r="P275" s="1550"/>
      <c r="AH275" s="1557">
        <v>0</v>
      </c>
    </row>
    <row r="276" spans="1:34" s="1561" customFormat="1" ht="45" hidden="1" customHeight="1">
      <c r="A276" s="1706" t="s">
        <v>164</v>
      </c>
      <c r="B276" s="1706" t="s">
        <v>165</v>
      </c>
      <c r="C276" s="305"/>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7"/>
      <c r="I276" s="1665"/>
      <c r="J276" s="1699"/>
      <c r="K276" s="1704"/>
      <c r="L276" s="1787" t="s">
        <v>301</v>
      </c>
      <c r="M276" s="278"/>
      <c r="N276" s="271"/>
      <c r="O276" s="1550"/>
      <c r="P276" s="1550"/>
      <c r="AH276" s="1557">
        <v>0</v>
      </c>
    </row>
    <row r="277" spans="1:34" s="1561" customFormat="1" ht="18.75" hidden="1" customHeight="1">
      <c r="A277" s="1706"/>
      <c r="B277" s="1706"/>
      <c r="C277" s="305" t="s">
        <v>1144</v>
      </c>
      <c r="D277" s="2340"/>
      <c r="E277" s="2140"/>
      <c r="F277" s="2278"/>
      <c r="G277" s="2315"/>
      <c r="H277" s="1426"/>
      <c r="I277" s="587" t="s">
        <v>1143</v>
      </c>
      <c r="J277" s="507"/>
      <c r="K277" s="1426"/>
      <c r="L277" s="151"/>
      <c r="M277" s="278"/>
      <c r="N277" s="271"/>
      <c r="O277" s="1550"/>
      <c r="P277" s="1550"/>
      <c r="AH277" s="1557">
        <v>0</v>
      </c>
    </row>
    <row r="278" spans="1:34" s="1561" customFormat="1" ht="0.75" hidden="1" customHeight="1">
      <c r="A278" s="1706"/>
      <c r="B278" s="1706"/>
      <c r="C278" s="305" t="s">
        <v>1151</v>
      </c>
      <c r="D278" s="2340"/>
      <c r="E278" s="2140"/>
      <c r="F278" s="2278"/>
      <c r="G278" s="336"/>
      <c r="H278" s="1426"/>
      <c r="I278" s="587"/>
      <c r="J278" s="507"/>
      <c r="K278" s="1426"/>
      <c r="L278" s="151"/>
      <c r="M278" s="278"/>
      <c r="N278" s="271"/>
      <c r="O278" s="1550"/>
      <c r="P278" s="1550"/>
      <c r="AH278" s="1557">
        <v>0</v>
      </c>
    </row>
    <row r="279" spans="1:34" s="1561" customFormat="1" ht="45" hidden="1" customHeight="1">
      <c r="A279" s="1706" t="s">
        <v>170</v>
      </c>
      <c r="B279" s="1706" t="s">
        <v>171</v>
      </c>
      <c r="C279" s="305"/>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7"/>
      <c r="I279" s="1665"/>
      <c r="J279" s="1699"/>
      <c r="K279" s="1704"/>
      <c r="L279" s="1787" t="s">
        <v>301</v>
      </c>
      <c r="M279" s="278"/>
      <c r="N279" s="271"/>
      <c r="O279" s="1550"/>
      <c r="P279" s="1550"/>
      <c r="AH279" s="1557">
        <v>0</v>
      </c>
    </row>
    <row r="280" spans="1:34" s="1561" customFormat="1" ht="18.75" hidden="1" customHeight="1">
      <c r="A280" s="1706"/>
      <c r="B280" s="1706"/>
      <c r="C280" s="305" t="s">
        <v>1144</v>
      </c>
      <c r="D280" s="2340"/>
      <c r="E280" s="2140"/>
      <c r="F280" s="2278"/>
      <c r="G280" s="2315"/>
      <c r="H280" s="1426"/>
      <c r="I280" s="587" t="s">
        <v>1143</v>
      </c>
      <c r="J280" s="507"/>
      <c r="K280" s="1426"/>
      <c r="L280" s="151"/>
      <c r="M280" s="278"/>
      <c r="N280" s="271"/>
      <c r="O280" s="1550"/>
      <c r="P280" s="1550"/>
      <c r="AH280" s="1557">
        <v>0</v>
      </c>
    </row>
    <row r="281" spans="1:34" s="1561" customFormat="1" ht="0.75" hidden="1" customHeight="1">
      <c r="A281" s="1706"/>
      <c r="B281" s="1706"/>
      <c r="C281" s="305" t="s">
        <v>1151</v>
      </c>
      <c r="D281" s="2340"/>
      <c r="E281" s="2140"/>
      <c r="F281" s="2278"/>
      <c r="G281" s="336"/>
      <c r="H281" s="1426"/>
      <c r="I281" s="587"/>
      <c r="J281" s="507"/>
      <c r="K281" s="1426"/>
      <c r="L281" s="151"/>
      <c r="M281" s="278"/>
      <c r="N281" s="271"/>
      <c r="O281" s="1550"/>
      <c r="P281" s="1550"/>
      <c r="AH281" s="1557">
        <v>0</v>
      </c>
    </row>
    <row r="282" spans="1:34" s="1561" customFormat="1" ht="18.75" hidden="1" customHeight="1">
      <c r="A282" s="1706" t="s">
        <v>176</v>
      </c>
      <c r="B282" s="1706" t="s">
        <v>177</v>
      </c>
      <c r="C282" s="305"/>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7"/>
      <c r="I282" s="1665"/>
      <c r="J282" s="1699"/>
      <c r="K282" s="1704"/>
      <c r="L282" s="1787" t="s">
        <v>301</v>
      </c>
      <c r="M282" s="278"/>
      <c r="N282" s="271"/>
      <c r="O282" s="1550"/>
      <c r="P282" s="1550"/>
      <c r="AH282" s="1557">
        <v>0</v>
      </c>
    </row>
    <row r="283" spans="1:34" s="1561" customFormat="1" ht="18.75" hidden="1" customHeight="1">
      <c r="A283" s="1706"/>
      <c r="B283" s="1706"/>
      <c r="C283" s="305" t="s">
        <v>1144</v>
      </c>
      <c r="D283" s="2340"/>
      <c r="E283" s="2140"/>
      <c r="F283" s="2278"/>
      <c r="G283" s="2315"/>
      <c r="H283" s="1426"/>
      <c r="I283" s="587" t="s">
        <v>1143</v>
      </c>
      <c r="J283" s="507"/>
      <c r="K283" s="1426"/>
      <c r="L283" s="151"/>
      <c r="M283" s="278"/>
      <c r="N283" s="271"/>
      <c r="O283" s="1550"/>
      <c r="P283" s="1550"/>
      <c r="AH283" s="1557">
        <v>0</v>
      </c>
    </row>
    <row r="284" spans="1:34" s="1561" customFormat="1" ht="0.75" hidden="1" customHeight="1">
      <c r="A284" s="1706"/>
      <c r="B284" s="1706"/>
      <c r="C284" s="305" t="s">
        <v>1151</v>
      </c>
      <c r="D284" s="2340"/>
      <c r="E284" s="2140"/>
      <c r="F284" s="2278"/>
      <c r="G284" s="336"/>
      <c r="H284" s="1426"/>
      <c r="I284" s="587"/>
      <c r="J284" s="507"/>
      <c r="K284" s="1426"/>
      <c r="L284" s="151"/>
      <c r="M284" s="278"/>
      <c r="N284" s="271"/>
      <c r="O284" s="1550"/>
      <c r="P284" s="1550"/>
      <c r="AH284" s="1557">
        <v>0</v>
      </c>
    </row>
    <row r="285" spans="1:34" s="1561" customFormat="1" ht="18.75" hidden="1" customHeight="1">
      <c r="A285" s="1706" t="s">
        <v>182</v>
      </c>
      <c r="B285" s="1706" t="s">
        <v>183</v>
      </c>
      <c r="C285" s="305"/>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7"/>
      <c r="I285" s="1665"/>
      <c r="J285" s="1699"/>
      <c r="K285" s="1704"/>
      <c r="L285" s="1787" t="s">
        <v>301</v>
      </c>
      <c r="M285" s="278"/>
      <c r="N285" s="271"/>
      <c r="O285" s="1550"/>
      <c r="P285" s="1550"/>
      <c r="AH285" s="1557">
        <v>0</v>
      </c>
    </row>
    <row r="286" spans="1:34" s="1561" customFormat="1" ht="18.75" hidden="1" customHeight="1">
      <c r="A286" s="1706"/>
      <c r="B286" s="1706"/>
      <c r="C286" s="305" t="s">
        <v>1144</v>
      </c>
      <c r="D286" s="2340"/>
      <c r="E286" s="2140"/>
      <c r="F286" s="2278"/>
      <c r="G286" s="2315"/>
      <c r="H286" s="1426"/>
      <c r="I286" s="587" t="s">
        <v>1143</v>
      </c>
      <c r="J286" s="507"/>
      <c r="K286" s="1426"/>
      <c r="L286" s="151"/>
      <c r="M286" s="278"/>
      <c r="N286" s="271"/>
      <c r="O286" s="1550"/>
      <c r="P286" s="1550"/>
      <c r="AH286" s="1557">
        <v>0</v>
      </c>
    </row>
    <row r="287" spans="1:34" s="1561" customFormat="1" ht="0.75" hidden="1" customHeight="1">
      <c r="A287" s="1706"/>
      <c r="B287" s="1706"/>
      <c r="C287" s="305" t="s">
        <v>1151</v>
      </c>
      <c r="D287" s="2340"/>
      <c r="E287" s="2140"/>
      <c r="F287" s="2278"/>
      <c r="G287" s="336"/>
      <c r="H287" s="1426"/>
      <c r="I287" s="587"/>
      <c r="J287" s="507"/>
      <c r="K287" s="1426"/>
      <c r="L287" s="151"/>
      <c r="M287" s="278"/>
      <c r="N287" s="271"/>
      <c r="O287" s="1550"/>
      <c r="P287" s="1550"/>
      <c r="AH287" s="1557">
        <v>0</v>
      </c>
    </row>
    <row r="288" spans="1:34" s="1561" customFormat="1" ht="18.75" hidden="1" customHeight="1">
      <c r="A288" s="1706" t="s">
        <v>188</v>
      </c>
      <c r="B288" s="1706" t="s">
        <v>189</v>
      </c>
      <c r="C288" s="305"/>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7"/>
      <c r="I288" s="1665"/>
      <c r="J288" s="1699"/>
      <c r="K288" s="1704"/>
      <c r="L288" s="1787" t="s">
        <v>301</v>
      </c>
      <c r="M288" s="278"/>
      <c r="N288" s="271"/>
      <c r="O288" s="1550"/>
      <c r="P288" s="1550"/>
      <c r="AH288" s="1557">
        <v>0</v>
      </c>
    </row>
    <row r="289" spans="1:34" s="1561" customFormat="1" ht="18.75" hidden="1" customHeight="1">
      <c r="A289" s="1706"/>
      <c r="B289" s="1706"/>
      <c r="C289" s="305" t="s">
        <v>1144</v>
      </c>
      <c r="D289" s="2340"/>
      <c r="E289" s="2140"/>
      <c r="F289" s="2278"/>
      <c r="G289" s="2315"/>
      <c r="H289" s="1426"/>
      <c r="I289" s="587" t="s">
        <v>1143</v>
      </c>
      <c r="J289" s="507"/>
      <c r="K289" s="1426"/>
      <c r="L289" s="151"/>
      <c r="M289" s="278"/>
      <c r="N289" s="271"/>
      <c r="O289" s="1550"/>
      <c r="P289" s="1550"/>
      <c r="AH289" s="1557">
        <v>0</v>
      </c>
    </row>
    <row r="290" spans="1:34" s="1561" customFormat="1" ht="0.75" hidden="1" customHeight="1">
      <c r="A290" s="1706"/>
      <c r="B290" s="1706"/>
      <c r="C290" s="305" t="s">
        <v>1151</v>
      </c>
      <c r="D290" s="2340"/>
      <c r="E290" s="2140"/>
      <c r="F290" s="2278"/>
      <c r="G290" s="336"/>
      <c r="H290" s="1426"/>
      <c r="I290" s="587"/>
      <c r="J290" s="507"/>
      <c r="K290" s="1426"/>
      <c r="L290" s="151"/>
      <c r="M290" s="278"/>
      <c r="N290" s="271"/>
      <c r="O290" s="1550"/>
      <c r="P290" s="1550"/>
      <c r="AH290" s="1557">
        <v>0</v>
      </c>
    </row>
    <row r="291" spans="1:34" s="1561" customFormat="1" ht="18.75" hidden="1" customHeight="1">
      <c r="A291" s="1706" t="s">
        <v>194</v>
      </c>
      <c r="B291" s="1706" t="s">
        <v>195</v>
      </c>
      <c r="C291" s="305"/>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7"/>
      <c r="I291" s="1665"/>
      <c r="J291" s="1699"/>
      <c r="K291" s="1704"/>
      <c r="L291" s="1787" t="s">
        <v>301</v>
      </c>
      <c r="M291" s="278"/>
      <c r="N291" s="271"/>
      <c r="O291" s="1550"/>
      <c r="P291" s="1550"/>
      <c r="AH291" s="1557">
        <v>0</v>
      </c>
    </row>
    <row r="292" spans="1:34" s="1561" customFormat="1" ht="18.75" hidden="1" customHeight="1">
      <c r="A292" s="1706"/>
      <c r="B292" s="1706"/>
      <c r="C292" s="305" t="s">
        <v>1144</v>
      </c>
      <c r="D292" s="2340"/>
      <c r="E292" s="2140"/>
      <c r="F292" s="2278"/>
      <c r="G292" s="2315"/>
      <c r="H292" s="1426"/>
      <c r="I292" s="587" t="s">
        <v>1143</v>
      </c>
      <c r="J292" s="507"/>
      <c r="K292" s="1426"/>
      <c r="L292" s="151"/>
      <c r="M292" s="278"/>
      <c r="N292" s="271"/>
      <c r="O292" s="1550"/>
      <c r="P292" s="1550"/>
      <c r="AH292" s="1557">
        <v>0</v>
      </c>
    </row>
    <row r="293" spans="1:34" s="1561" customFormat="1" ht="0.75" hidden="1" customHeight="1">
      <c r="A293" s="1706"/>
      <c r="B293" s="1706"/>
      <c r="C293" s="305" t="s">
        <v>1151</v>
      </c>
      <c r="D293" s="2340"/>
      <c r="E293" s="2140"/>
      <c r="F293" s="2278"/>
      <c r="G293" s="336"/>
      <c r="H293" s="1426"/>
      <c r="I293" s="587"/>
      <c r="J293" s="507"/>
      <c r="K293" s="1426"/>
      <c r="L293" s="151"/>
      <c r="M293" s="278"/>
      <c r="N293" s="271"/>
      <c r="O293" s="1550"/>
      <c r="P293" s="1550"/>
      <c r="AH293" s="1557">
        <v>0</v>
      </c>
    </row>
    <row r="294" spans="1:34" s="1561" customFormat="1" ht="18.75" hidden="1" customHeight="1">
      <c r="A294" s="1706" t="s">
        <v>200</v>
      </c>
      <c r="B294" s="1706" t="s">
        <v>201</v>
      </c>
      <c r="C294" s="305"/>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11"/>
      <c r="I294" s="1665"/>
      <c r="J294" s="1699"/>
      <c r="K294" s="1704"/>
      <c r="L294" s="1911" t="s">
        <v>301</v>
      </c>
      <c r="M294" s="278"/>
      <c r="N294" s="271"/>
      <c r="O294" s="1550"/>
      <c r="P294" s="1550"/>
      <c r="AH294" s="1557">
        <v>0</v>
      </c>
    </row>
    <row r="295" spans="1:34" s="1561" customFormat="1" ht="18.75" hidden="1" customHeight="1">
      <c r="A295" s="1706"/>
      <c r="B295" s="1706"/>
      <c r="C295" s="305" t="s">
        <v>1144</v>
      </c>
      <c r="D295" s="2340"/>
      <c r="E295" s="2140"/>
      <c r="F295" s="2278"/>
      <c r="G295" s="2315"/>
      <c r="H295" s="1426"/>
      <c r="I295" s="587" t="s">
        <v>1143</v>
      </c>
      <c r="J295" s="507"/>
      <c r="K295" s="1426"/>
      <c r="L295" s="151"/>
      <c r="M295" s="278"/>
      <c r="N295" s="271"/>
      <c r="O295" s="1550"/>
      <c r="P295" s="1550"/>
      <c r="AH295" s="1557">
        <v>0</v>
      </c>
    </row>
    <row r="296" spans="1:34" s="1561" customFormat="1" ht="0.75" hidden="1" customHeight="1">
      <c r="A296" s="1706"/>
      <c r="B296" s="1706"/>
      <c r="C296" s="305" t="s">
        <v>1151</v>
      </c>
      <c r="D296" s="2340"/>
      <c r="E296" s="2140"/>
      <c r="F296" s="2278"/>
      <c r="G296" s="336"/>
      <c r="H296" s="1426"/>
      <c r="I296" s="587"/>
      <c r="J296" s="507"/>
      <c r="K296" s="1426"/>
      <c r="L296" s="151"/>
      <c r="M296" s="278"/>
      <c r="N296" s="271"/>
      <c r="O296" s="1550"/>
      <c r="P296" s="1550"/>
      <c r="AH296" s="1557">
        <v>0</v>
      </c>
    </row>
    <row r="297" spans="1:34" s="1561" customFormat="1" ht="18.75" hidden="1" customHeight="1">
      <c r="A297" s="1706" t="s">
        <v>220</v>
      </c>
      <c r="B297" s="1706" t="s">
        <v>221</v>
      </c>
      <c r="C297" s="305"/>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7"/>
      <c r="I297" s="1665"/>
      <c r="J297" s="1699"/>
      <c r="K297" s="1704"/>
      <c r="L297" s="1787" t="s">
        <v>301</v>
      </c>
      <c r="M297" s="278"/>
      <c r="N297" s="271"/>
      <c r="O297" s="1550"/>
      <c r="P297" s="1550"/>
      <c r="AH297" s="1557">
        <v>0</v>
      </c>
    </row>
    <row r="298" spans="1:34" s="1561" customFormat="1" ht="18.75" hidden="1" customHeight="1">
      <c r="A298" s="1706"/>
      <c r="B298" s="1706"/>
      <c r="C298" s="305" t="s">
        <v>1144</v>
      </c>
      <c r="D298" s="2340"/>
      <c r="E298" s="2140"/>
      <c r="F298" s="2278"/>
      <c r="G298" s="2315"/>
      <c r="H298" s="1426"/>
      <c r="I298" s="587" t="s">
        <v>1143</v>
      </c>
      <c r="J298" s="507"/>
      <c r="K298" s="1426"/>
      <c r="L298" s="151"/>
      <c r="M298" s="278"/>
      <c r="N298" s="271"/>
      <c r="O298" s="1550"/>
      <c r="P298" s="1550"/>
      <c r="AH298" s="1557">
        <v>0</v>
      </c>
    </row>
    <row r="299" spans="1:34" s="1561" customFormat="1" ht="0.75" hidden="1" customHeight="1">
      <c r="A299" s="1706"/>
      <c r="B299" s="1706"/>
      <c r="C299" s="305" t="s">
        <v>1151</v>
      </c>
      <c r="D299" s="2340"/>
      <c r="E299" s="2140"/>
      <c r="F299" s="2278"/>
      <c r="G299" s="336"/>
      <c r="H299" s="1426"/>
      <c r="I299" s="587"/>
      <c r="J299" s="507"/>
      <c r="K299" s="1426"/>
      <c r="L299" s="151"/>
      <c r="M299" s="278"/>
      <c r="N299" s="271"/>
      <c r="O299" s="1550"/>
      <c r="P299" s="1550"/>
      <c r="AH299" s="1557">
        <v>0</v>
      </c>
    </row>
    <row r="300" spans="1:34" s="1561" customFormat="1" ht="18.75" hidden="1" customHeight="1">
      <c r="A300" s="1706" t="s">
        <v>225</v>
      </c>
      <c r="B300" s="1706" t="s">
        <v>226</v>
      </c>
      <c r="C300" s="305"/>
      <c r="D300" s="2340"/>
      <c r="E300" s="2140"/>
      <c r="F300" s="2278" t="str">
        <f>INDEX(PT_DIFFERENTIATION_VTAR,MATCH(A300,PT_DIFFERENTIATION_VTAR_ID,0))</f>
        <v>Тариф на техническую воду</v>
      </c>
      <c r="G300" s="2315" t="str">
        <f>INDEX(PT_DIFFERENTIATION_NTAR,MATCH(B300,PT_DIFFERENTIATION_NTAR_ID,0))</f>
        <v/>
      </c>
      <c r="H300" s="1787"/>
      <c r="I300" s="1665"/>
      <c r="J300" s="1699"/>
      <c r="K300" s="1704"/>
      <c r="L300" s="1787" t="s">
        <v>301</v>
      </c>
      <c r="M300" s="278"/>
      <c r="N300" s="271"/>
      <c r="O300" s="1550"/>
      <c r="P300" s="1550"/>
      <c r="AH300" s="1557">
        <v>0</v>
      </c>
    </row>
    <row r="301" spans="1:34" s="1561" customFormat="1" ht="18.75" hidden="1" customHeight="1">
      <c r="A301" s="1706"/>
      <c r="B301" s="1706"/>
      <c r="C301" s="305" t="s">
        <v>1144</v>
      </c>
      <c r="D301" s="2340"/>
      <c r="E301" s="2140"/>
      <c r="F301" s="2278"/>
      <c r="G301" s="2315"/>
      <c r="H301" s="1426"/>
      <c r="I301" s="587" t="s">
        <v>1143</v>
      </c>
      <c r="J301" s="507"/>
      <c r="K301" s="1426"/>
      <c r="L301" s="151"/>
      <c r="M301" s="278"/>
      <c r="N301" s="271"/>
      <c r="O301" s="1550"/>
      <c r="P301" s="1550"/>
      <c r="AH301" s="1557">
        <v>0</v>
      </c>
    </row>
    <row r="302" spans="1:34" s="1561" customFormat="1" ht="0.75" hidden="1" customHeight="1">
      <c r="A302" s="1706"/>
      <c r="B302" s="1706"/>
      <c r="C302" s="305" t="s">
        <v>1151</v>
      </c>
      <c r="D302" s="2340"/>
      <c r="E302" s="2140"/>
      <c r="F302" s="2278"/>
      <c r="G302" s="336"/>
      <c r="H302" s="1426"/>
      <c r="I302" s="587"/>
      <c r="J302" s="507"/>
      <c r="K302" s="1426"/>
      <c r="L302" s="151"/>
      <c r="M302" s="278"/>
      <c r="N302" s="271"/>
      <c r="O302" s="1550"/>
      <c r="P302" s="1550"/>
      <c r="AH302" s="1557">
        <v>0</v>
      </c>
    </row>
    <row r="303" spans="1:34" s="1561" customFormat="1" ht="18.75" hidden="1" customHeight="1">
      <c r="A303" s="1706" t="s">
        <v>230</v>
      </c>
      <c r="B303" s="1706" t="s">
        <v>231</v>
      </c>
      <c r="C303" s="305"/>
      <c r="D303" s="2340"/>
      <c r="E303" s="2140"/>
      <c r="F303" s="2278" t="str">
        <f>INDEX(PT_DIFFERENTIATION_VTAR,MATCH(A303,PT_DIFFERENTIATION_VTAR_ID,0))</f>
        <v>Тариф на транспортировку воды</v>
      </c>
      <c r="G303" s="2315" t="str">
        <f>INDEX(PT_DIFFERENTIATION_NTAR,MATCH(B303,PT_DIFFERENTIATION_NTAR_ID,0))</f>
        <v/>
      </c>
      <c r="H303" s="1787"/>
      <c r="I303" s="1665"/>
      <c r="J303" s="1699"/>
      <c r="K303" s="1704"/>
      <c r="L303" s="1787" t="s">
        <v>301</v>
      </c>
      <c r="M303" s="278"/>
      <c r="N303" s="271"/>
      <c r="O303" s="1550"/>
      <c r="P303" s="1550"/>
      <c r="AH303" s="1557">
        <v>0</v>
      </c>
    </row>
    <row r="304" spans="1:34" s="1561" customFormat="1" ht="18.75" hidden="1" customHeight="1">
      <c r="A304" s="1706"/>
      <c r="B304" s="1706"/>
      <c r="C304" s="305" t="s">
        <v>1144</v>
      </c>
      <c r="D304" s="2340"/>
      <c r="E304" s="2140"/>
      <c r="F304" s="2278"/>
      <c r="G304" s="2315"/>
      <c r="H304" s="1426"/>
      <c r="I304" s="587" t="s">
        <v>1143</v>
      </c>
      <c r="J304" s="507"/>
      <c r="K304" s="1426"/>
      <c r="L304" s="151"/>
      <c r="M304" s="278"/>
      <c r="N304" s="271"/>
      <c r="O304" s="1550"/>
      <c r="P304" s="1550"/>
      <c r="AH304" s="1557">
        <v>0</v>
      </c>
    </row>
    <row r="305" spans="1:34" s="1561" customFormat="1" ht="0.75" hidden="1" customHeight="1">
      <c r="A305" s="1706"/>
      <c r="B305" s="1706"/>
      <c r="C305" s="305" t="s">
        <v>1151</v>
      </c>
      <c r="D305" s="2340"/>
      <c r="E305" s="2140"/>
      <c r="F305" s="2278"/>
      <c r="G305" s="336"/>
      <c r="H305" s="1426"/>
      <c r="I305" s="587"/>
      <c r="J305" s="507"/>
      <c r="K305" s="1426"/>
      <c r="L305" s="151"/>
      <c r="M305" s="278"/>
      <c r="N305" s="271"/>
      <c r="O305" s="1550"/>
      <c r="P305" s="1550"/>
      <c r="AH305" s="1557">
        <v>0</v>
      </c>
    </row>
    <row r="306" spans="1:34" s="1561" customFormat="1" ht="18.75" hidden="1" customHeight="1">
      <c r="A306" s="1706" t="s">
        <v>235</v>
      </c>
      <c r="B306" s="1706" t="s">
        <v>236</v>
      </c>
      <c r="C306" s="305"/>
      <c r="D306" s="2340"/>
      <c r="E306" s="2140"/>
      <c r="F306" s="2278" t="str">
        <f>INDEX(PT_DIFFERENTIATION_VTAR,MATCH(A306,PT_DIFFERENTIATION_VTAR_ID,0))</f>
        <v>Тариф на подвоз воды</v>
      </c>
      <c r="G306" s="2315" t="str">
        <f>INDEX(PT_DIFFERENTIATION_NTAR,MATCH(B306,PT_DIFFERENTIATION_NTAR_ID,0))</f>
        <v/>
      </c>
      <c r="H306" s="1787"/>
      <c r="I306" s="1665"/>
      <c r="J306" s="1699"/>
      <c r="K306" s="1704"/>
      <c r="L306" s="1787" t="s">
        <v>301</v>
      </c>
      <c r="M306" s="278"/>
      <c r="N306" s="271"/>
      <c r="O306" s="1550"/>
      <c r="P306" s="1550"/>
      <c r="AH306" s="1557">
        <v>0</v>
      </c>
    </row>
    <row r="307" spans="1:34" s="1561" customFormat="1" ht="18.75" hidden="1" customHeight="1">
      <c r="A307" s="1706"/>
      <c r="B307" s="1706"/>
      <c r="C307" s="305" t="s">
        <v>1144</v>
      </c>
      <c r="D307" s="2340"/>
      <c r="E307" s="2140"/>
      <c r="F307" s="2278"/>
      <c r="G307" s="2315"/>
      <c r="H307" s="1426"/>
      <c r="I307" s="587" t="s">
        <v>1143</v>
      </c>
      <c r="J307" s="507"/>
      <c r="K307" s="1426"/>
      <c r="L307" s="151"/>
      <c r="M307" s="278"/>
      <c r="N307" s="271"/>
      <c r="O307" s="1550"/>
      <c r="P307" s="1550"/>
      <c r="AH307" s="1557">
        <v>0</v>
      </c>
    </row>
    <row r="308" spans="1:34" s="1561" customFormat="1" ht="0.75" hidden="1" customHeight="1">
      <c r="A308" s="1706"/>
      <c r="B308" s="1706"/>
      <c r="C308" s="305" t="s">
        <v>1151</v>
      </c>
      <c r="D308" s="2340"/>
      <c r="E308" s="2140"/>
      <c r="F308" s="2278"/>
      <c r="G308" s="336"/>
      <c r="H308" s="1426"/>
      <c r="I308" s="587"/>
      <c r="J308" s="507"/>
      <c r="K308" s="1426"/>
      <c r="L308" s="151"/>
      <c r="M308" s="278"/>
      <c r="N308" s="271"/>
      <c r="O308" s="1550"/>
      <c r="P308" s="1550"/>
      <c r="AH308" s="1557">
        <v>0</v>
      </c>
    </row>
    <row r="309" spans="1:34" s="1561" customFormat="1" ht="18.75" hidden="1" customHeight="1">
      <c r="A309" s="1706" t="s">
        <v>240</v>
      </c>
      <c r="B309" s="1706" t="s">
        <v>241</v>
      </c>
      <c r="C309" s="305"/>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7"/>
      <c r="I309" s="1665"/>
      <c r="J309" s="1699"/>
      <c r="K309" s="1704"/>
      <c r="L309" s="1787" t="s">
        <v>301</v>
      </c>
      <c r="M309" s="278"/>
      <c r="N309" s="271"/>
      <c r="O309" s="1550"/>
      <c r="P309" s="1550"/>
      <c r="AH309" s="1557">
        <v>0</v>
      </c>
    </row>
    <row r="310" spans="1:34" s="1561" customFormat="1" ht="18.75" hidden="1" customHeight="1">
      <c r="A310" s="1706"/>
      <c r="B310" s="1706"/>
      <c r="C310" s="305" t="s">
        <v>1144</v>
      </c>
      <c r="D310" s="2340"/>
      <c r="E310" s="2140"/>
      <c r="F310" s="2278"/>
      <c r="G310" s="2315"/>
      <c r="H310" s="1426"/>
      <c r="I310" s="587" t="s">
        <v>1143</v>
      </c>
      <c r="J310" s="507"/>
      <c r="K310" s="1426"/>
      <c r="L310" s="151"/>
      <c r="M310" s="278"/>
      <c r="N310" s="271"/>
      <c r="O310" s="1550"/>
      <c r="P310" s="1550"/>
      <c r="AH310" s="1557">
        <v>0</v>
      </c>
    </row>
    <row r="311" spans="1:34" s="1561" customFormat="1" ht="0.75" hidden="1" customHeight="1">
      <c r="A311" s="1706"/>
      <c r="B311" s="1706"/>
      <c r="C311" s="305" t="s">
        <v>1151</v>
      </c>
      <c r="D311" s="2340"/>
      <c r="E311" s="2140"/>
      <c r="F311" s="2278"/>
      <c r="G311" s="336"/>
      <c r="H311" s="1426"/>
      <c r="I311" s="587"/>
      <c r="J311" s="507"/>
      <c r="K311" s="1426"/>
      <c r="L311" s="151"/>
      <c r="M311" s="278"/>
      <c r="N311" s="271"/>
      <c r="O311" s="1550"/>
      <c r="P311" s="1550"/>
      <c r="AH311" s="1557">
        <v>0</v>
      </c>
    </row>
    <row r="312" spans="1:34" s="1561" customFormat="1" ht="18.75" hidden="1" customHeight="1">
      <c r="A312" s="1706" t="s">
        <v>245</v>
      </c>
      <c r="B312" s="1706" t="s">
        <v>246</v>
      </c>
      <c r="C312" s="305"/>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7"/>
      <c r="I312" s="1665"/>
      <c r="J312" s="1699"/>
      <c r="K312" s="1704"/>
      <c r="L312" s="1787" t="s">
        <v>301</v>
      </c>
      <c r="M312" s="278"/>
      <c r="N312" s="271"/>
      <c r="O312" s="1550"/>
      <c r="P312" s="1550"/>
      <c r="AH312" s="1557">
        <v>0</v>
      </c>
    </row>
    <row r="313" spans="1:34" s="1561" customFormat="1" ht="18.75" hidden="1" customHeight="1">
      <c r="A313" s="1706"/>
      <c r="B313" s="1706"/>
      <c r="C313" s="305" t="s">
        <v>1144</v>
      </c>
      <c r="D313" s="2340"/>
      <c r="E313" s="2140"/>
      <c r="F313" s="2278"/>
      <c r="G313" s="2315"/>
      <c r="H313" s="1426"/>
      <c r="I313" s="587" t="s">
        <v>1143</v>
      </c>
      <c r="J313" s="507"/>
      <c r="K313" s="1426"/>
      <c r="L313" s="151"/>
      <c r="M313" s="278"/>
      <c r="N313" s="271"/>
      <c r="O313" s="1550"/>
      <c r="P313" s="1550"/>
      <c r="AH313" s="1557">
        <v>0</v>
      </c>
    </row>
    <row r="314" spans="1:34" s="1561" customFormat="1" ht="0.75" hidden="1" customHeight="1">
      <c r="A314" s="1706"/>
      <c r="B314" s="1706"/>
      <c r="C314" s="305" t="s">
        <v>1151</v>
      </c>
      <c r="D314" s="2340"/>
      <c r="E314" s="2140"/>
      <c r="F314" s="2278"/>
      <c r="G314" s="336"/>
      <c r="H314" s="1426"/>
      <c r="I314" s="587"/>
      <c r="J314" s="507"/>
      <c r="K314" s="1426"/>
      <c r="L314" s="151"/>
      <c r="M314" s="278"/>
      <c r="N314" s="271"/>
      <c r="O314" s="1550"/>
      <c r="P314" s="1550"/>
      <c r="AH314" s="1557">
        <v>0</v>
      </c>
    </row>
    <row r="315" spans="1:34" s="1561" customFormat="1" ht="18.75" hidden="1" customHeight="1">
      <c r="A315" s="1706" t="s">
        <v>250</v>
      </c>
      <c r="B315" s="1706" t="s">
        <v>251</v>
      </c>
      <c r="C315" s="305"/>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7"/>
      <c r="I315" s="1665"/>
      <c r="J315" s="1699"/>
      <c r="K315" s="1704"/>
      <c r="L315" s="1787" t="s">
        <v>301</v>
      </c>
      <c r="M315" s="278"/>
      <c r="N315" s="271"/>
      <c r="O315" s="1550"/>
      <c r="P315" s="1550"/>
      <c r="AH315" s="1557">
        <v>0</v>
      </c>
    </row>
    <row r="316" spans="1:34" s="1561" customFormat="1" ht="18.75" hidden="1" customHeight="1">
      <c r="A316" s="1706"/>
      <c r="B316" s="1706"/>
      <c r="C316" s="305" t="s">
        <v>1144</v>
      </c>
      <c r="D316" s="2340"/>
      <c r="E316" s="2140"/>
      <c r="F316" s="2278"/>
      <c r="G316" s="2315"/>
      <c r="H316" s="1426"/>
      <c r="I316" s="587" t="s">
        <v>1143</v>
      </c>
      <c r="J316" s="507"/>
      <c r="K316" s="1426"/>
      <c r="L316" s="151"/>
      <c r="M316" s="278"/>
      <c r="N316" s="271"/>
      <c r="O316" s="1550"/>
      <c r="P316" s="1550"/>
      <c r="AH316" s="1557">
        <v>0</v>
      </c>
    </row>
    <row r="317" spans="1:34" s="1561" customFormat="1" ht="0.75" hidden="1" customHeight="1">
      <c r="A317" s="1706"/>
      <c r="B317" s="1706"/>
      <c r="C317" s="305" t="s">
        <v>1151</v>
      </c>
      <c r="D317" s="2340"/>
      <c r="E317" s="2140"/>
      <c r="F317" s="2278"/>
      <c r="G317" s="336"/>
      <c r="H317" s="1426"/>
      <c r="I317" s="587"/>
      <c r="J317" s="507"/>
      <c r="K317" s="1426"/>
      <c r="L317" s="151"/>
      <c r="M317" s="278"/>
      <c r="N317" s="271"/>
      <c r="O317" s="1550"/>
      <c r="P317" s="1550"/>
      <c r="AH317" s="1557">
        <v>0</v>
      </c>
    </row>
    <row r="318" spans="1:34" s="1561" customFormat="1" ht="18.75" hidden="1" customHeight="1">
      <c r="A318" s="1706" t="s">
        <v>255</v>
      </c>
      <c r="B318" s="1706" t="s">
        <v>256</v>
      </c>
      <c r="C318" s="305"/>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7"/>
      <c r="I318" s="1665"/>
      <c r="J318" s="1699"/>
      <c r="K318" s="1704"/>
      <c r="L318" s="1787" t="s">
        <v>301</v>
      </c>
      <c r="M318" s="278"/>
      <c r="N318" s="271"/>
      <c r="O318" s="1550"/>
      <c r="P318" s="1550"/>
      <c r="AH318" s="1557">
        <v>0</v>
      </c>
    </row>
    <row r="319" spans="1:34" s="1561" customFormat="1" ht="18.75" hidden="1" customHeight="1">
      <c r="A319" s="1706"/>
      <c r="B319" s="1706"/>
      <c r="C319" s="305" t="s">
        <v>1144</v>
      </c>
      <c r="D319" s="2340"/>
      <c r="E319" s="2140"/>
      <c r="F319" s="2278"/>
      <c r="G319" s="2315"/>
      <c r="H319" s="1426"/>
      <c r="I319" s="587" t="s">
        <v>1143</v>
      </c>
      <c r="J319" s="507"/>
      <c r="K319" s="1426"/>
      <c r="L319" s="151"/>
      <c r="M319" s="278"/>
      <c r="N319" s="271"/>
      <c r="O319" s="1550"/>
      <c r="P319" s="1550"/>
      <c r="AH319" s="1557">
        <v>0</v>
      </c>
    </row>
    <row r="320" spans="1:34" s="1561" customFormat="1" ht="0.75" hidden="1" customHeight="1">
      <c r="A320" s="1706"/>
      <c r="B320" s="1706"/>
      <c r="C320" s="305" t="s">
        <v>1151</v>
      </c>
      <c r="D320" s="2340"/>
      <c r="E320" s="2140"/>
      <c r="F320" s="2278"/>
      <c r="G320" s="336"/>
      <c r="H320" s="1426"/>
      <c r="I320" s="587"/>
      <c r="J320" s="507"/>
      <c r="K320" s="1426"/>
      <c r="L320" s="151"/>
      <c r="M320" s="278"/>
      <c r="N320" s="271"/>
      <c r="O320" s="1550"/>
      <c r="P320" s="1550"/>
      <c r="AH320" s="1557">
        <v>0</v>
      </c>
    </row>
    <row r="321" spans="1:34" s="1561" customFormat="1" ht="18.75" hidden="1" customHeight="1">
      <c r="A321" s="1706" t="s">
        <v>260</v>
      </c>
      <c r="B321" s="1706" t="s">
        <v>261</v>
      </c>
      <c r="C321" s="305"/>
      <c r="D321" s="2340"/>
      <c r="E321" s="2140"/>
      <c r="F321" s="2278" t="str">
        <f>INDEX(PT_DIFFERENTIATION_VTAR,MATCH(A321,PT_DIFFERENTIATION_VTAR_ID,0))</f>
        <v>Тариф на водоотведение</v>
      </c>
      <c r="G321" s="2315" t="str">
        <f>INDEX(PT_DIFFERENTIATION_NTAR,MATCH(B321,PT_DIFFERENTIATION_NTAR_ID,0))</f>
        <v/>
      </c>
      <c r="H321" s="1787"/>
      <c r="I321" s="1665"/>
      <c r="J321" s="1699"/>
      <c r="K321" s="1704"/>
      <c r="L321" s="1787" t="s">
        <v>301</v>
      </c>
      <c r="M321" s="278"/>
      <c r="N321" s="271"/>
      <c r="O321" s="1550"/>
      <c r="P321" s="1550"/>
      <c r="AH321" s="1557">
        <v>0</v>
      </c>
    </row>
    <row r="322" spans="1:34" s="1561" customFormat="1" ht="18.75" hidden="1" customHeight="1">
      <c r="A322" s="1706"/>
      <c r="B322" s="1706"/>
      <c r="C322" s="305" t="s">
        <v>1144</v>
      </c>
      <c r="D322" s="2340"/>
      <c r="E322" s="2140"/>
      <c r="F322" s="2278"/>
      <c r="G322" s="2315"/>
      <c r="H322" s="1426"/>
      <c r="I322" s="587" t="s">
        <v>1143</v>
      </c>
      <c r="J322" s="507"/>
      <c r="K322" s="1426"/>
      <c r="L322" s="151"/>
      <c r="M322" s="278"/>
      <c r="N322" s="271"/>
      <c r="O322" s="1550"/>
      <c r="P322" s="1550"/>
      <c r="AH322" s="1557">
        <v>0</v>
      </c>
    </row>
    <row r="323" spans="1:34" s="1561" customFormat="1" ht="0.75" hidden="1" customHeight="1">
      <c r="A323" s="1706"/>
      <c r="B323" s="1706"/>
      <c r="C323" s="305" t="s">
        <v>1151</v>
      </c>
      <c r="D323" s="2340"/>
      <c r="E323" s="2140"/>
      <c r="F323" s="2278"/>
      <c r="G323" s="336"/>
      <c r="H323" s="1426"/>
      <c r="I323" s="587"/>
      <c r="J323" s="507"/>
      <c r="K323" s="1426"/>
      <c r="L323" s="151"/>
      <c r="M323" s="278"/>
      <c r="N323" s="271"/>
      <c r="O323" s="1550"/>
      <c r="P323" s="1550"/>
      <c r="AH323" s="1557">
        <v>0</v>
      </c>
    </row>
    <row r="324" spans="1:34" s="1561" customFormat="1" ht="18.75" hidden="1" customHeight="1">
      <c r="A324" s="1706" t="s">
        <v>265</v>
      </c>
      <c r="B324" s="1706" t="s">
        <v>266</v>
      </c>
      <c r="C324" s="305"/>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7"/>
      <c r="I324" s="1665"/>
      <c r="J324" s="1699"/>
      <c r="K324" s="1704"/>
      <c r="L324" s="1787" t="s">
        <v>301</v>
      </c>
      <c r="M324" s="278"/>
      <c r="N324" s="271"/>
      <c r="O324" s="1550"/>
      <c r="P324" s="1550"/>
      <c r="AH324" s="1557">
        <v>0</v>
      </c>
    </row>
    <row r="325" spans="1:34" s="1561" customFormat="1" ht="18.75" hidden="1" customHeight="1">
      <c r="A325" s="1706"/>
      <c r="B325" s="1706"/>
      <c r="C325" s="305" t="s">
        <v>1144</v>
      </c>
      <c r="D325" s="2340"/>
      <c r="E325" s="2140"/>
      <c r="F325" s="2278"/>
      <c r="G325" s="2315"/>
      <c r="H325" s="1426"/>
      <c r="I325" s="587" t="s">
        <v>1143</v>
      </c>
      <c r="J325" s="507"/>
      <c r="K325" s="1426"/>
      <c r="L325" s="151"/>
      <c r="M325" s="278"/>
      <c r="N325" s="271"/>
      <c r="O325" s="1550"/>
      <c r="P325" s="1550"/>
      <c r="AH325" s="1557">
        <v>0</v>
      </c>
    </row>
    <row r="326" spans="1:34" s="1561" customFormat="1" ht="0.75" hidden="1" customHeight="1">
      <c r="A326" s="1706"/>
      <c r="B326" s="1706"/>
      <c r="C326" s="305" t="s">
        <v>1151</v>
      </c>
      <c r="D326" s="2340"/>
      <c r="E326" s="2140"/>
      <c r="F326" s="2278"/>
      <c r="G326" s="336"/>
      <c r="H326" s="1426"/>
      <c r="I326" s="587"/>
      <c r="J326" s="507"/>
      <c r="K326" s="1426"/>
      <c r="L326" s="151"/>
      <c r="M326" s="278"/>
      <c r="N326" s="271"/>
      <c r="O326" s="1550"/>
      <c r="P326" s="1550"/>
      <c r="AH326" s="1557">
        <v>0</v>
      </c>
    </row>
    <row r="327" spans="1:34" s="1561" customFormat="1" ht="18.75" hidden="1" customHeight="1">
      <c r="A327" s="1706" t="s">
        <v>270</v>
      </c>
      <c r="B327" s="1706" t="s">
        <v>271</v>
      </c>
      <c r="C327" s="305"/>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7"/>
      <c r="I327" s="1665"/>
      <c r="J327" s="1699"/>
      <c r="K327" s="1704"/>
      <c r="L327" s="1787" t="s">
        <v>301</v>
      </c>
      <c r="M327" s="278"/>
      <c r="N327" s="271"/>
      <c r="O327" s="1550"/>
      <c r="P327" s="1550"/>
      <c r="AH327" s="1557">
        <v>0</v>
      </c>
    </row>
    <row r="328" spans="1:34" s="1561" customFormat="1" ht="18.75" hidden="1" customHeight="1">
      <c r="A328" s="1706"/>
      <c r="B328" s="1706"/>
      <c r="C328" s="305" t="s">
        <v>1144</v>
      </c>
      <c r="D328" s="2340"/>
      <c r="E328" s="2140"/>
      <c r="F328" s="2278"/>
      <c r="G328" s="2315"/>
      <c r="H328" s="1426"/>
      <c r="I328" s="587" t="s">
        <v>1143</v>
      </c>
      <c r="J328" s="507"/>
      <c r="K328" s="1426"/>
      <c r="L328" s="151"/>
      <c r="M328" s="278"/>
      <c r="N328" s="271"/>
      <c r="O328" s="1550"/>
      <c r="P328" s="1550"/>
      <c r="AH328" s="1557">
        <v>0</v>
      </c>
    </row>
    <row r="329" spans="1:34" s="1561" customFormat="1" ht="1.1499999999999999" customHeight="1">
      <c r="A329" s="1706"/>
      <c r="B329" s="1706"/>
      <c r="C329" s="305" t="s">
        <v>1151</v>
      </c>
      <c r="D329" s="2340"/>
      <c r="E329" s="2140"/>
      <c r="F329" s="2278"/>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3"/>
      <c r="G331" s="2183"/>
      <c r="H331" s="2183"/>
      <c r="I331" s="2183"/>
      <c r="J331" s="2183"/>
      <c r="K331" s="2183"/>
      <c r="L331" s="2183"/>
      <c r="M331" s="2183"/>
      <c r="AH331" s="310">
        <v>25</v>
      </c>
    </row>
    <row r="332" spans="1:34" ht="14.25" hidden="1" customHeight="1">
      <c r="A332" s="1705" t="s">
        <v>78</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2001"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684</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0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7"/>
      <c r="F5" s="2107"/>
      <c r="G5" s="2108"/>
      <c r="H5" s="203"/>
      <c r="R5" s="310">
        <v>33</v>
      </c>
    </row>
    <row r="6" spans="1:18" s="1561" customFormat="1" ht="18" customHeight="1">
      <c r="A6" s="1595"/>
      <c r="B6" s="1086"/>
      <c r="C6" s="312"/>
      <c r="D6" s="2159" t="str">
        <f>IF(org=0,"Не определено",org)</f>
        <v>ОП АО "Байкалэнерго" - "Саяногорские тепловые сети"</v>
      </c>
      <c r="E6" s="2160"/>
      <c r="F6" s="2160"/>
      <c r="G6" s="2161"/>
      <c r="H6" s="203"/>
      <c r="J6" s="1550"/>
      <c r="K6" s="1550"/>
      <c r="R6" s="1557">
        <v>17</v>
      </c>
    </row>
    <row r="7" spans="1:18" ht="14.65" customHeight="1">
      <c r="C7" s="312"/>
      <c r="D7" s="299"/>
      <c r="E7" s="325"/>
      <c r="F7" s="325"/>
      <c r="G7" s="688"/>
      <c r="H7" s="130"/>
      <c r="R7" s="310">
        <v>14</v>
      </c>
    </row>
    <row r="8" spans="1:18" ht="14.65" customHeight="1">
      <c r="C8" s="312"/>
      <c r="D8" s="2145" t="s">
        <v>295</v>
      </c>
      <c r="E8" s="2145"/>
      <c r="F8" s="2145"/>
      <c r="G8" s="2145"/>
      <c r="H8" s="2288" t="s">
        <v>296</v>
      </c>
      <c r="R8" s="310">
        <v>14</v>
      </c>
    </row>
    <row r="9" spans="1:18" ht="24" customHeight="1">
      <c r="C9" s="312"/>
      <c r="D9" s="322" t="s">
        <v>84</v>
      </c>
      <c r="E9" s="47" t="s">
        <v>297</v>
      </c>
      <c r="F9" s="47" t="s">
        <v>298</v>
      </c>
      <c r="G9" s="47" t="s">
        <v>385</v>
      </c>
      <c r="H9" s="2288"/>
      <c r="R9" s="310">
        <v>23</v>
      </c>
    </row>
    <row r="10" spans="1:18" ht="14.65" customHeight="1">
      <c r="A10" s="280"/>
      <c r="C10" s="312"/>
      <c r="D10" s="84" t="s">
        <v>105</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0" t="s">
        <v>1152</v>
      </c>
      <c r="R10" s="310">
        <v>14</v>
      </c>
    </row>
    <row r="11" spans="1:18" ht="14.65" customHeight="1">
      <c r="A11" s="280"/>
      <c r="C11" s="312"/>
      <c r="D11" s="84" t="s">
        <v>106</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1"/>
      <c r="R11" s="310">
        <v>14</v>
      </c>
    </row>
    <row r="12" spans="1:18" ht="14.65" customHeight="1">
      <c r="A12" s="41"/>
      <c r="C12" s="323"/>
      <c r="D12" s="84" t="s">
        <v>86</v>
      </c>
      <c r="E12" s="324" t="str">
        <f>"Сведения о планировании закупочных процедур"&amp;IF(TEMPLATE_SPHERE="TKO"," &lt;1&gt;","")</f>
        <v>Сведения о планировании закупочных процедур</v>
      </c>
      <c r="F12" s="194"/>
      <c r="G12" s="150"/>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87</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1"/>
      <c r="I13" s="286"/>
      <c r="K13" s="310"/>
      <c r="R13" s="310">
        <v>14</v>
      </c>
    </row>
    <row r="14" spans="1:18" ht="14.65" customHeight="1">
      <c r="A14" s="280"/>
      <c r="C14" s="312"/>
      <c r="D14" s="284"/>
      <c r="E14" s="331" t="s">
        <v>317</v>
      </c>
      <c r="F14" s="285"/>
      <c r="G14" s="138"/>
      <c r="H14" s="2102"/>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3"/>
      <c r="F16" s="2183"/>
      <c r="G16" s="2183"/>
      <c r="H16" s="2183"/>
      <c r="R16" s="310">
        <v>14</v>
      </c>
    </row>
    <row r="17" spans="1:18" ht="22.5" hidden="1" customHeight="1">
      <c r="A17" s="300" t="s">
        <v>78</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7"/>
      <c r="F5" s="2107"/>
      <c r="G5" s="2107"/>
      <c r="H5" s="2107"/>
      <c r="I5" s="2107"/>
      <c r="J5" s="2108"/>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2" t="str">
        <f>IF(org=0,"Не определено",org)</f>
        <v>ОП АО "Байкалэнерго" - "Саяногорские тепловые сети"</v>
      </c>
      <c r="E6" s="2112"/>
      <c r="F6" s="2112"/>
      <c r="G6" s="2112"/>
      <c r="H6" s="2112"/>
      <c r="I6" s="2112"/>
      <c r="J6" s="2112"/>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09"/>
      <c r="E7" s="2110"/>
      <c r="F7" s="2110"/>
      <c r="G7" s="2110"/>
      <c r="H7" s="2110"/>
      <c r="I7" s="2110"/>
      <c r="J7" s="2111"/>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6" t="s">
        <v>84</v>
      </c>
      <c r="E9" s="2038" t="s">
        <v>119</v>
      </c>
      <c r="F9" s="2037"/>
      <c r="G9" s="2056" t="s">
        <v>101</v>
      </c>
      <c r="H9" s="2056" t="s">
        <v>84</v>
      </c>
      <c r="I9" s="2056"/>
      <c r="J9" s="2056" t="s">
        <v>120</v>
      </c>
      <c r="K9" s="2113" t="s">
        <v>121</v>
      </c>
      <c r="L9" s="2113"/>
      <c r="M9" s="2113"/>
      <c r="N9" s="2113"/>
      <c r="O9" s="2113" t="s">
        <v>122</v>
      </c>
      <c r="P9" s="2113"/>
      <c r="Q9" s="2113"/>
      <c r="R9" s="2113"/>
      <c r="S9" s="2113" t="s">
        <v>123</v>
      </c>
      <c r="T9" s="2113"/>
      <c r="U9" s="2113"/>
      <c r="V9" s="2113"/>
      <c r="W9" s="2056" t="s">
        <v>124</v>
      </c>
      <c r="AR9" s="43">
        <v>27</v>
      </c>
    </row>
    <row r="10" spans="1:44" ht="31.5" customHeight="1">
      <c r="D10" s="2056"/>
      <c r="E10" s="1210" t="s">
        <v>85</v>
      </c>
      <c r="F10" s="1210" t="s">
        <v>125</v>
      </c>
      <c r="G10" s="2056"/>
      <c r="H10" s="2056"/>
      <c r="I10" s="2056"/>
      <c r="J10" s="2056"/>
      <c r="K10" s="49" t="s">
        <v>104</v>
      </c>
      <c r="L10" s="2056" t="s">
        <v>84</v>
      </c>
      <c r="M10" s="2056"/>
      <c r="N10" s="49" t="s">
        <v>126</v>
      </c>
      <c r="O10" s="49" t="s">
        <v>104</v>
      </c>
      <c r="P10" s="2056" t="s">
        <v>84</v>
      </c>
      <c r="Q10" s="2056"/>
      <c r="R10" s="49" t="s">
        <v>126</v>
      </c>
      <c r="S10" s="220" t="s">
        <v>104</v>
      </c>
      <c r="T10" s="2056" t="s">
        <v>84</v>
      </c>
      <c r="U10" s="2056"/>
      <c r="V10" s="220" t="s">
        <v>85</v>
      </c>
      <c r="W10" s="2056"/>
      <c r="Z10" s="1185" t="s">
        <v>127</v>
      </c>
      <c r="AA10" s="1185" t="s">
        <v>128</v>
      </c>
      <c r="AB10" s="1185" t="s">
        <v>129</v>
      </c>
      <c r="AC10" s="1185" t="s">
        <v>130</v>
      </c>
      <c r="AD10" s="1185" t="s">
        <v>131</v>
      </c>
      <c r="AE10" s="1185" t="s">
        <v>132</v>
      </c>
      <c r="AF10" s="1185" t="s">
        <v>133</v>
      </c>
      <c r="AG10" s="1185" t="s">
        <v>134</v>
      </c>
      <c r="AH10" s="1185" t="s">
        <v>135</v>
      </c>
      <c r="AI10" s="1185" t="s">
        <v>136</v>
      </c>
      <c r="AJ10" s="1185" t="s">
        <v>137</v>
      </c>
      <c r="AK10" s="1185" t="s">
        <v>138</v>
      </c>
      <c r="AL10" s="1185" t="s">
        <v>139</v>
      </c>
      <c r="AM10" s="1185" t="s">
        <v>140</v>
      </c>
      <c r="AN10" s="1185" t="s">
        <v>141</v>
      </c>
      <c r="AO10" s="1185" t="s">
        <v>142</v>
      </c>
      <c r="AP10" s="1185" t="s">
        <v>143</v>
      </c>
      <c r="AQ10" s="1185" t="s">
        <v>144</v>
      </c>
      <c r="AR10" s="43">
        <v>30</v>
      </c>
    </row>
    <row r="11" spans="1:44" s="1550" customFormat="1" ht="12" hidden="1" customHeight="1">
      <c r="D11" s="1175" t="s">
        <v>105</v>
      </c>
      <c r="E11" s="1175" t="s">
        <v>106</v>
      </c>
      <c r="F11" s="1175"/>
      <c r="G11" s="1175" t="s">
        <v>86</v>
      </c>
      <c r="H11" s="2105" t="s">
        <v>107</v>
      </c>
      <c r="I11" s="2105"/>
      <c r="J11" s="1175" t="s">
        <v>88</v>
      </c>
      <c r="K11" s="1175" t="s">
        <v>89</v>
      </c>
      <c r="L11" s="2105" t="s">
        <v>108</v>
      </c>
      <c r="M11" s="2105"/>
      <c r="N11" s="1175" t="s">
        <v>145</v>
      </c>
      <c r="O11" s="1175" t="s">
        <v>146</v>
      </c>
      <c r="P11" s="2105" t="s">
        <v>147</v>
      </c>
      <c r="Q11" s="2105"/>
      <c r="R11" s="1175" t="s">
        <v>148</v>
      </c>
      <c r="S11" s="1175" t="s">
        <v>147</v>
      </c>
      <c r="T11" s="2105" t="s">
        <v>148</v>
      </c>
      <c r="U11" s="2105"/>
      <c r="V11" s="1175" t="s">
        <v>149</v>
      </c>
      <c r="W11" s="1175" t="s">
        <v>150</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89">
        <v>1</v>
      </c>
      <c r="E13" s="2078" t="s">
        <v>151</v>
      </c>
      <c r="F13" s="2091" t="s">
        <v>19</v>
      </c>
      <c r="G13" s="2078"/>
      <c r="H13" s="2080"/>
      <c r="I13" s="2082"/>
      <c r="J13" s="2084"/>
      <c r="K13" s="2076"/>
      <c r="L13" s="2076"/>
      <c r="M13" s="2076"/>
      <c r="N13" s="2087"/>
      <c r="O13" s="2076"/>
      <c r="P13" s="2076"/>
      <c r="Q13" s="2076"/>
      <c r="R13" s="2074"/>
      <c r="S13" s="2076"/>
      <c r="T13" s="1346"/>
      <c r="U13" s="1346"/>
      <c r="V13" s="1345"/>
      <c r="W13" s="1222"/>
      <c r="Y13" s="1193"/>
      <c r="Z13" s="1193"/>
      <c r="AA13" s="1193"/>
      <c r="AB13" s="1193"/>
      <c r="AC13" s="1193" t="s">
        <v>152</v>
      </c>
      <c r="AD13" s="1193" t="s">
        <v>153</v>
      </c>
      <c r="AE13" s="1193" t="s">
        <v>154</v>
      </c>
      <c r="AF13" s="1193" t="s">
        <v>155</v>
      </c>
      <c r="AG13" s="1193" t="s">
        <v>156</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89"/>
      <c r="E14" s="2078"/>
      <c r="F14" s="2092"/>
      <c r="G14" s="2078"/>
      <c r="H14" s="2081"/>
      <c r="I14" s="2083"/>
      <c r="J14" s="2085"/>
      <c r="K14" s="2077"/>
      <c r="L14" s="2077"/>
      <c r="M14" s="2077"/>
      <c r="N14" s="2088"/>
      <c r="O14" s="2077"/>
      <c r="P14" s="2077"/>
      <c r="Q14" s="2077"/>
      <c r="R14" s="2075"/>
      <c r="S14" s="2077"/>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89"/>
      <c r="E15" s="2078"/>
      <c r="F15" s="2092"/>
      <c r="G15" s="2078"/>
      <c r="H15" s="2081"/>
      <c r="I15" s="2083"/>
      <c r="J15" s="2086"/>
      <c r="K15" s="2077"/>
      <c r="L15" s="2077"/>
      <c r="M15" s="2077"/>
      <c r="N15" s="2075"/>
      <c r="O15" s="2077"/>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89"/>
      <c r="E16" s="2078"/>
      <c r="F16" s="2092"/>
      <c r="G16" s="2078"/>
      <c r="H16" s="2081"/>
      <c r="I16" s="2083"/>
      <c r="J16" s="2086"/>
      <c r="K16" s="2077"/>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0"/>
      <c r="E17" s="2079"/>
      <c r="F17" s="2093"/>
      <c r="G17" s="2079"/>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89">
        <v>2</v>
      </c>
      <c r="E18" s="2103"/>
      <c r="F18" s="2091" t="s">
        <v>19</v>
      </c>
      <c r="G18" s="2078"/>
      <c r="H18" s="2080"/>
      <c r="I18" s="2082"/>
      <c r="J18" s="2084"/>
      <c r="K18" s="2076"/>
      <c r="L18" s="2076"/>
      <c r="M18" s="2076"/>
      <c r="N18" s="2087"/>
      <c r="O18" s="2076"/>
      <c r="P18" s="2076"/>
      <c r="Q18" s="2076"/>
      <c r="R18" s="2074"/>
      <c r="S18" s="2076"/>
      <c r="T18" s="1346"/>
      <c r="U18" s="1346"/>
      <c r="V18" s="1345"/>
      <c r="W18" s="1222"/>
      <c r="X18" s="1193"/>
      <c r="Y18" s="1193"/>
      <c r="Z18" s="1193"/>
      <c r="AA18" s="1193"/>
      <c r="AB18" s="1193"/>
      <c r="AC18" s="1193" t="s">
        <v>157</v>
      </c>
      <c r="AD18" s="1193" t="s">
        <v>158</v>
      </c>
      <c r="AE18" s="1193" t="s">
        <v>159</v>
      </c>
      <c r="AF18" s="1193" t="s">
        <v>160</v>
      </c>
      <c r="AG18" s="1193" t="s">
        <v>161</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89"/>
      <c r="E19" s="2103"/>
      <c r="F19" s="2092"/>
      <c r="G19" s="2078"/>
      <c r="H19" s="2081"/>
      <c r="I19" s="2083"/>
      <c r="J19" s="2085"/>
      <c r="K19" s="2077"/>
      <c r="L19" s="2077"/>
      <c r="M19" s="2077"/>
      <c r="N19" s="2088"/>
      <c r="O19" s="2077"/>
      <c r="P19" s="2077"/>
      <c r="Q19" s="2077"/>
      <c r="R19" s="2075"/>
      <c r="S19" s="2077"/>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0"/>
      <c r="E20" s="2104"/>
      <c r="F20" s="2092"/>
      <c r="G20" s="2079"/>
      <c r="H20" s="2081"/>
      <c r="I20" s="2083"/>
      <c r="J20" s="2086"/>
      <c r="K20" s="2077"/>
      <c r="L20" s="2077"/>
      <c r="M20" s="2077"/>
      <c r="N20" s="2075"/>
      <c r="O20" s="2077"/>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0"/>
      <c r="E21" s="2104"/>
      <c r="F21" s="2092"/>
      <c r="G21" s="2079"/>
      <c r="H21" s="2081"/>
      <c r="I21" s="2083"/>
      <c r="J21" s="2086"/>
      <c r="K21" s="2077"/>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0"/>
      <c r="E22" s="2104"/>
      <c r="F22" s="2093"/>
      <c r="G22" s="2079"/>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89">
        <v>2</v>
      </c>
      <c r="E23" s="2078" t="s">
        <v>162</v>
      </c>
      <c r="F23" s="2091" t="s">
        <v>19</v>
      </c>
      <c r="G23" s="2078"/>
      <c r="H23" s="2080"/>
      <c r="I23" s="2082"/>
      <c r="J23" s="2084"/>
      <c r="K23" s="2076"/>
      <c r="L23" s="2076"/>
      <c r="M23" s="2076"/>
      <c r="N23" s="2087"/>
      <c r="O23" s="2076"/>
      <c r="P23" s="2076"/>
      <c r="Q23" s="2076"/>
      <c r="R23" s="2074"/>
      <c r="S23" s="2076"/>
      <c r="T23" s="1920"/>
      <c r="U23" s="1920"/>
      <c r="V23" s="1922"/>
      <c r="W23" s="1222"/>
      <c r="X23" s="1193"/>
      <c r="Y23" s="1193"/>
      <c r="Z23" s="1193"/>
      <c r="AA23" s="1193"/>
      <c r="AB23" s="1193"/>
      <c r="AC23" s="1193" t="s">
        <v>157</v>
      </c>
      <c r="AD23" s="1193" t="s">
        <v>158</v>
      </c>
      <c r="AE23" s="1193" t="s">
        <v>159</v>
      </c>
      <c r="AF23" s="1193" t="s">
        <v>160</v>
      </c>
      <c r="AG23" s="1193" t="s">
        <v>161</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89"/>
      <c r="E24" s="2078"/>
      <c r="F24" s="2092"/>
      <c r="G24" s="2078"/>
      <c r="H24" s="2081"/>
      <c r="I24" s="2083"/>
      <c r="J24" s="2085"/>
      <c r="K24" s="2077"/>
      <c r="L24" s="2077"/>
      <c r="M24" s="2077"/>
      <c r="N24" s="2088"/>
      <c r="O24" s="2077"/>
      <c r="P24" s="2077"/>
      <c r="Q24" s="2077"/>
      <c r="R24" s="2075"/>
      <c r="S24" s="2077"/>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0"/>
      <c r="E25" s="2079"/>
      <c r="F25" s="2092"/>
      <c r="G25" s="2079"/>
      <c r="H25" s="2081"/>
      <c r="I25" s="2083"/>
      <c r="J25" s="2086"/>
      <c r="K25" s="2077"/>
      <c r="L25" s="2077"/>
      <c r="M25" s="2077"/>
      <c r="N25" s="2075"/>
      <c r="O25" s="2077"/>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0"/>
      <c r="E26" s="2079"/>
      <c r="F26" s="2092"/>
      <c r="G26" s="2079"/>
      <c r="H26" s="2081"/>
      <c r="I26" s="2083"/>
      <c r="J26" s="2086"/>
      <c r="K26" s="2077"/>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0"/>
      <c r="E27" s="2079"/>
      <c r="F27" s="2093"/>
      <c r="G27" s="2079"/>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89">
        <v>3</v>
      </c>
      <c r="E28" s="2078" t="s">
        <v>163</v>
      </c>
      <c r="F28" s="2091" t="s">
        <v>19</v>
      </c>
      <c r="G28" s="2078"/>
      <c r="H28" s="2080"/>
      <c r="I28" s="2082"/>
      <c r="J28" s="2084"/>
      <c r="K28" s="2076"/>
      <c r="L28" s="2076"/>
      <c r="M28" s="2076"/>
      <c r="N28" s="2087"/>
      <c r="O28" s="2076"/>
      <c r="P28" s="2076"/>
      <c r="Q28" s="2076"/>
      <c r="R28" s="2074"/>
      <c r="S28" s="2076"/>
      <c r="T28" s="1346"/>
      <c r="U28" s="1346"/>
      <c r="V28" s="1345"/>
      <c r="W28" s="1222"/>
      <c r="X28" s="1193"/>
      <c r="Y28" s="1193"/>
      <c r="Z28" s="1193"/>
      <c r="AA28" s="1193"/>
      <c r="AB28" s="1193"/>
      <c r="AC28" s="1193" t="s">
        <v>164</v>
      </c>
      <c r="AD28" s="1193" t="s">
        <v>165</v>
      </c>
      <c r="AE28" s="1193" t="s">
        <v>166</v>
      </c>
      <c r="AF28" s="1193" t="s">
        <v>167</v>
      </c>
      <c r="AG28" s="1193" t="s">
        <v>168</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89"/>
      <c r="E29" s="2078"/>
      <c r="F29" s="2092"/>
      <c r="G29" s="2078"/>
      <c r="H29" s="2081"/>
      <c r="I29" s="2083"/>
      <c r="J29" s="2085"/>
      <c r="K29" s="2077"/>
      <c r="L29" s="2077"/>
      <c r="M29" s="2077"/>
      <c r="N29" s="2088"/>
      <c r="O29" s="2077"/>
      <c r="P29" s="2077"/>
      <c r="Q29" s="2077"/>
      <c r="R29" s="2075"/>
      <c r="S29" s="2077"/>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0"/>
      <c r="E30" s="2079"/>
      <c r="F30" s="2092"/>
      <c r="G30" s="2079"/>
      <c r="H30" s="2081"/>
      <c r="I30" s="2083"/>
      <c r="J30" s="2086"/>
      <c r="K30" s="2077"/>
      <c r="L30" s="2077"/>
      <c r="M30" s="2077"/>
      <c r="N30" s="2075"/>
      <c r="O30" s="2077"/>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0"/>
      <c r="E31" s="2079"/>
      <c r="F31" s="2092"/>
      <c r="G31" s="2079"/>
      <c r="H31" s="2081"/>
      <c r="I31" s="2083"/>
      <c r="J31" s="2086"/>
      <c r="K31" s="2077"/>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0"/>
      <c r="E32" s="2079"/>
      <c r="F32" s="2093"/>
      <c r="G32" s="2079"/>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89">
        <v>4</v>
      </c>
      <c r="E33" s="2078" t="s">
        <v>169</v>
      </c>
      <c r="F33" s="2091" t="s">
        <v>19</v>
      </c>
      <c r="G33" s="2078"/>
      <c r="H33" s="2080"/>
      <c r="I33" s="2082"/>
      <c r="J33" s="2084"/>
      <c r="K33" s="2076"/>
      <c r="L33" s="2076"/>
      <c r="M33" s="2076"/>
      <c r="N33" s="2087"/>
      <c r="O33" s="2076"/>
      <c r="P33" s="2076"/>
      <c r="Q33" s="2076"/>
      <c r="R33" s="2074"/>
      <c r="S33" s="2076"/>
      <c r="T33" s="1346"/>
      <c r="U33" s="1346"/>
      <c r="V33" s="1345"/>
      <c r="W33" s="1222"/>
      <c r="X33" s="1193"/>
      <c r="Y33" s="1193"/>
      <c r="Z33" s="1193"/>
      <c r="AA33" s="1193"/>
      <c r="AB33" s="1193"/>
      <c r="AC33" s="1193" t="s">
        <v>170</v>
      </c>
      <c r="AD33" s="1193" t="s">
        <v>171</v>
      </c>
      <c r="AE33" s="1193" t="s">
        <v>172</v>
      </c>
      <c r="AF33" s="1193" t="s">
        <v>173</v>
      </c>
      <c r="AG33" s="1193" t="s">
        <v>174</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89"/>
      <c r="E34" s="2078"/>
      <c r="F34" s="2092"/>
      <c r="G34" s="2078"/>
      <c r="H34" s="2081"/>
      <c r="I34" s="2083"/>
      <c r="J34" s="2085"/>
      <c r="K34" s="2077"/>
      <c r="L34" s="2077"/>
      <c r="M34" s="2077"/>
      <c r="N34" s="2088"/>
      <c r="O34" s="2077"/>
      <c r="P34" s="2077"/>
      <c r="Q34" s="2077"/>
      <c r="R34" s="2075"/>
      <c r="S34" s="2077"/>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0"/>
      <c r="E35" s="2079"/>
      <c r="F35" s="2092"/>
      <c r="G35" s="2079"/>
      <c r="H35" s="2081"/>
      <c r="I35" s="2083"/>
      <c r="J35" s="2086"/>
      <c r="K35" s="2077"/>
      <c r="L35" s="2077"/>
      <c r="M35" s="2077"/>
      <c r="N35" s="2075"/>
      <c r="O35" s="2077"/>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0"/>
      <c r="E36" s="2079"/>
      <c r="F36" s="2092"/>
      <c r="G36" s="2079"/>
      <c r="H36" s="2081"/>
      <c r="I36" s="2083"/>
      <c r="J36" s="2086"/>
      <c r="K36" s="2077"/>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0"/>
      <c r="E37" s="2079"/>
      <c r="F37" s="2093"/>
      <c r="G37" s="2079"/>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89">
        <v>5</v>
      </c>
      <c r="E38" s="2078" t="s">
        <v>175</v>
      </c>
      <c r="F38" s="2091" t="s">
        <v>19</v>
      </c>
      <c r="G38" s="2078"/>
      <c r="H38" s="2080"/>
      <c r="I38" s="2082"/>
      <c r="J38" s="2084"/>
      <c r="K38" s="2076"/>
      <c r="L38" s="2076"/>
      <c r="M38" s="2076"/>
      <c r="N38" s="2087"/>
      <c r="O38" s="2076"/>
      <c r="P38" s="2076"/>
      <c r="Q38" s="2076"/>
      <c r="R38" s="2074"/>
      <c r="S38" s="2076"/>
      <c r="T38" s="1346"/>
      <c r="U38" s="1346"/>
      <c r="V38" s="1345"/>
      <c r="W38" s="1222"/>
      <c r="X38" s="1193"/>
      <c r="Y38" s="1193"/>
      <c r="Z38" s="1193"/>
      <c r="AA38" s="1193"/>
      <c r="AB38" s="1193"/>
      <c r="AC38" s="1193" t="s">
        <v>176</v>
      </c>
      <c r="AD38" s="1193" t="s">
        <v>177</v>
      </c>
      <c r="AE38" s="1193" t="s">
        <v>178</v>
      </c>
      <c r="AF38" s="1193" t="s">
        <v>179</v>
      </c>
      <c r="AG38" s="1193" t="s">
        <v>180</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89"/>
      <c r="E39" s="2078"/>
      <c r="F39" s="2092"/>
      <c r="G39" s="2078"/>
      <c r="H39" s="2081"/>
      <c r="I39" s="2083"/>
      <c r="J39" s="2085"/>
      <c r="K39" s="2077"/>
      <c r="L39" s="2077"/>
      <c r="M39" s="2077"/>
      <c r="N39" s="2088"/>
      <c r="O39" s="2077"/>
      <c r="P39" s="2077"/>
      <c r="Q39" s="2077"/>
      <c r="R39" s="2075"/>
      <c r="S39" s="2077"/>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0"/>
      <c r="E40" s="2079"/>
      <c r="F40" s="2092"/>
      <c r="G40" s="2079"/>
      <c r="H40" s="2081"/>
      <c r="I40" s="2083"/>
      <c r="J40" s="2086"/>
      <c r="K40" s="2077"/>
      <c r="L40" s="2077"/>
      <c r="M40" s="2077"/>
      <c r="N40" s="2075"/>
      <c r="O40" s="2077"/>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0"/>
      <c r="E41" s="2079"/>
      <c r="F41" s="2092"/>
      <c r="G41" s="2079"/>
      <c r="H41" s="2081"/>
      <c r="I41" s="2083"/>
      <c r="J41" s="2086"/>
      <c r="K41" s="2077"/>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0"/>
      <c r="E42" s="2079"/>
      <c r="F42" s="2093"/>
      <c r="G42" s="2079"/>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89">
        <v>6</v>
      </c>
      <c r="E43" s="2078" t="s">
        <v>181</v>
      </c>
      <c r="F43" s="2091" t="s">
        <v>19</v>
      </c>
      <c r="G43" s="2078"/>
      <c r="H43" s="2080"/>
      <c r="I43" s="2082"/>
      <c r="J43" s="2084"/>
      <c r="K43" s="2076"/>
      <c r="L43" s="2076"/>
      <c r="M43" s="2076"/>
      <c r="N43" s="2087"/>
      <c r="O43" s="2076"/>
      <c r="P43" s="2076"/>
      <c r="Q43" s="2076"/>
      <c r="R43" s="2074"/>
      <c r="S43" s="2076"/>
      <c r="T43" s="1346"/>
      <c r="U43" s="1346"/>
      <c r="V43" s="1345"/>
      <c r="W43" s="1222"/>
      <c r="X43" s="1193"/>
      <c r="Y43" s="1193"/>
      <c r="Z43" s="1193"/>
      <c r="AA43" s="1193"/>
      <c r="AB43" s="1193"/>
      <c r="AC43" s="1193" t="s">
        <v>182</v>
      </c>
      <c r="AD43" s="1193" t="s">
        <v>183</v>
      </c>
      <c r="AE43" s="1193" t="s">
        <v>184</v>
      </c>
      <c r="AF43" s="1193" t="s">
        <v>185</v>
      </c>
      <c r="AG43" s="1193" t="s">
        <v>186</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89"/>
      <c r="E44" s="2078"/>
      <c r="F44" s="2092"/>
      <c r="G44" s="2078"/>
      <c r="H44" s="2081"/>
      <c r="I44" s="2083"/>
      <c r="J44" s="2085"/>
      <c r="K44" s="2077"/>
      <c r="L44" s="2077"/>
      <c r="M44" s="2077"/>
      <c r="N44" s="2088"/>
      <c r="O44" s="2077"/>
      <c r="P44" s="2077"/>
      <c r="Q44" s="2077"/>
      <c r="R44" s="2075"/>
      <c r="S44" s="2077"/>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0"/>
      <c r="E45" s="2079"/>
      <c r="F45" s="2092"/>
      <c r="G45" s="2079"/>
      <c r="H45" s="2081"/>
      <c r="I45" s="2083"/>
      <c r="J45" s="2086"/>
      <c r="K45" s="2077"/>
      <c r="L45" s="2077"/>
      <c r="M45" s="2077"/>
      <c r="N45" s="2075"/>
      <c r="O45" s="2077"/>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0"/>
      <c r="E46" s="2079"/>
      <c r="F46" s="2092"/>
      <c r="G46" s="2079"/>
      <c r="H46" s="2081"/>
      <c r="I46" s="2083"/>
      <c r="J46" s="2086"/>
      <c r="K46" s="2077"/>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0"/>
      <c r="E47" s="2079"/>
      <c r="F47" s="2093"/>
      <c r="G47" s="2079"/>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7">
        <v>7</v>
      </c>
      <c r="E48" s="2100" t="s">
        <v>187</v>
      </c>
      <c r="F48" s="2091" t="s">
        <v>19</v>
      </c>
      <c r="G48" s="2100"/>
      <c r="H48" s="2080"/>
      <c r="I48" s="2082"/>
      <c r="J48" s="2084"/>
      <c r="K48" s="2076"/>
      <c r="L48" s="2076"/>
      <c r="M48" s="2076"/>
      <c r="N48" s="2087"/>
      <c r="O48" s="2076"/>
      <c r="P48" s="2076"/>
      <c r="Q48" s="2076"/>
      <c r="R48" s="2074"/>
      <c r="S48" s="2076"/>
      <c r="T48" s="1346"/>
      <c r="U48" s="1346"/>
      <c r="V48" s="1345"/>
      <c r="W48" s="1222"/>
      <c r="X48" s="1193"/>
      <c r="Y48" s="1193"/>
      <c r="Z48" s="1193"/>
      <c r="AA48" s="1193"/>
      <c r="AB48" s="1193"/>
      <c r="AC48" s="1193" t="s">
        <v>188</v>
      </c>
      <c r="AD48" s="1193" t="s">
        <v>189</v>
      </c>
      <c r="AE48" s="1193" t="s">
        <v>190</v>
      </c>
      <c r="AF48" s="1193" t="s">
        <v>191</v>
      </c>
      <c r="AG48" s="1193" t="s">
        <v>192</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8"/>
      <c r="E49" s="2101"/>
      <c r="F49" s="2092"/>
      <c r="G49" s="2101"/>
      <c r="H49" s="2081"/>
      <c r="I49" s="2083"/>
      <c r="J49" s="2085"/>
      <c r="K49" s="2077"/>
      <c r="L49" s="2077"/>
      <c r="M49" s="2077"/>
      <c r="N49" s="2088"/>
      <c r="O49" s="2077"/>
      <c r="P49" s="2077"/>
      <c r="Q49" s="2077"/>
      <c r="R49" s="2075"/>
      <c r="S49" s="2077"/>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8"/>
      <c r="E50" s="2101"/>
      <c r="F50" s="2092"/>
      <c r="G50" s="2101"/>
      <c r="H50" s="2081"/>
      <c r="I50" s="2083"/>
      <c r="J50" s="2086"/>
      <c r="K50" s="2077"/>
      <c r="L50" s="2077"/>
      <c r="M50" s="2077"/>
      <c r="N50" s="2075"/>
      <c r="O50" s="2077"/>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8"/>
      <c r="E51" s="2101"/>
      <c r="F51" s="2092"/>
      <c r="G51" s="2101"/>
      <c r="H51" s="2081"/>
      <c r="I51" s="2083"/>
      <c r="J51" s="2086"/>
      <c r="K51" s="2077"/>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099"/>
      <c r="E52" s="2102"/>
      <c r="F52" s="2093"/>
      <c r="G52" s="2102"/>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89">
        <v>8</v>
      </c>
      <c r="E53" s="2078" t="s">
        <v>193</v>
      </c>
      <c r="F53" s="2091" t="s">
        <v>19</v>
      </c>
      <c r="G53" s="2078"/>
      <c r="H53" s="2080"/>
      <c r="I53" s="2082"/>
      <c r="J53" s="2084"/>
      <c r="K53" s="2076"/>
      <c r="L53" s="2076"/>
      <c r="M53" s="2076"/>
      <c r="N53" s="2087"/>
      <c r="O53" s="2076"/>
      <c r="P53" s="2076"/>
      <c r="Q53" s="2076"/>
      <c r="R53" s="2074"/>
      <c r="S53" s="2076"/>
      <c r="T53" s="1396"/>
      <c r="U53" s="1396"/>
      <c r="V53" s="1398"/>
      <c r="W53" s="1222"/>
      <c r="X53" s="1193"/>
      <c r="Y53" s="1193"/>
      <c r="Z53" s="1193"/>
      <c r="AA53" s="1193"/>
      <c r="AB53" s="1193"/>
      <c r="AC53" s="1193" t="s">
        <v>194</v>
      </c>
      <c r="AD53" s="1193" t="s">
        <v>195</v>
      </c>
      <c r="AE53" s="1193" t="s">
        <v>196</v>
      </c>
      <c r="AF53" s="1193" t="s">
        <v>197</v>
      </c>
      <c r="AG53" s="1193" t="s">
        <v>198</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89"/>
      <c r="E54" s="2078"/>
      <c r="F54" s="2092"/>
      <c r="G54" s="2078"/>
      <c r="H54" s="2081"/>
      <c r="I54" s="2083"/>
      <c r="J54" s="2085"/>
      <c r="K54" s="2077"/>
      <c r="L54" s="2077"/>
      <c r="M54" s="2077"/>
      <c r="N54" s="2088"/>
      <c r="O54" s="2077"/>
      <c r="P54" s="2077"/>
      <c r="Q54" s="2077"/>
      <c r="R54" s="2075"/>
      <c r="S54" s="2077"/>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0"/>
      <c r="E55" s="2079"/>
      <c r="F55" s="2092"/>
      <c r="G55" s="2079"/>
      <c r="H55" s="2081"/>
      <c r="I55" s="2083"/>
      <c r="J55" s="2086"/>
      <c r="K55" s="2077"/>
      <c r="L55" s="2077"/>
      <c r="M55" s="2077"/>
      <c r="N55" s="2075"/>
      <c r="O55" s="2077"/>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0"/>
      <c r="E56" s="2079"/>
      <c r="F56" s="2092"/>
      <c r="G56" s="2079"/>
      <c r="H56" s="2081"/>
      <c r="I56" s="2083"/>
      <c r="J56" s="2086"/>
      <c r="K56" s="2077"/>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0"/>
      <c r="E57" s="2079"/>
      <c r="F57" s="2093"/>
      <c r="G57" s="2079"/>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89">
        <v>9</v>
      </c>
      <c r="E58" s="2078" t="s">
        <v>199</v>
      </c>
      <c r="F58" s="2091" t="s">
        <v>19</v>
      </c>
      <c r="G58" s="2078"/>
      <c r="H58" s="2080"/>
      <c r="I58" s="2082"/>
      <c r="J58" s="2084"/>
      <c r="K58" s="2076"/>
      <c r="L58" s="2076"/>
      <c r="M58" s="2076"/>
      <c r="N58" s="2087"/>
      <c r="O58" s="2076"/>
      <c r="P58" s="2076"/>
      <c r="Q58" s="2076"/>
      <c r="R58" s="2074"/>
      <c r="S58" s="2076"/>
      <c r="T58" s="1853"/>
      <c r="U58" s="1853"/>
      <c r="V58" s="1855"/>
      <c r="W58" s="1222"/>
      <c r="X58" s="1193"/>
      <c r="Y58" s="1193"/>
      <c r="Z58" s="1193"/>
      <c r="AA58" s="1193"/>
      <c r="AB58" s="1193"/>
      <c r="AC58" s="1193" t="s">
        <v>200</v>
      </c>
      <c r="AD58" s="1193" t="s">
        <v>201</v>
      </c>
      <c r="AE58" s="1193" t="s">
        <v>202</v>
      </c>
      <c r="AF58" s="1193" t="s">
        <v>203</v>
      </c>
      <c r="AG58" s="1193" t="s">
        <v>204</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89"/>
      <c r="E59" s="2078"/>
      <c r="F59" s="2092"/>
      <c r="G59" s="2078"/>
      <c r="H59" s="2081"/>
      <c r="I59" s="2083"/>
      <c r="J59" s="2085"/>
      <c r="K59" s="2077"/>
      <c r="L59" s="2077"/>
      <c r="M59" s="2077"/>
      <c r="N59" s="2088"/>
      <c r="O59" s="2077"/>
      <c r="P59" s="2077"/>
      <c r="Q59" s="2077"/>
      <c r="R59" s="2075"/>
      <c r="S59" s="2077"/>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0"/>
      <c r="E60" s="2079"/>
      <c r="F60" s="2092"/>
      <c r="G60" s="2079"/>
      <c r="H60" s="2081"/>
      <c r="I60" s="2083"/>
      <c r="J60" s="2086"/>
      <c r="K60" s="2077"/>
      <c r="L60" s="2077"/>
      <c r="M60" s="2077"/>
      <c r="N60" s="2075"/>
      <c r="O60" s="2077"/>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0"/>
      <c r="E61" s="2079"/>
      <c r="F61" s="2092"/>
      <c r="G61" s="2079"/>
      <c r="H61" s="2081"/>
      <c r="I61" s="2083"/>
      <c r="J61" s="2086"/>
      <c r="K61" s="2077"/>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0"/>
      <c r="E62" s="2079"/>
      <c r="F62" s="2093"/>
      <c r="G62" s="2079"/>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89">
        <v>10</v>
      </c>
      <c r="E63" s="2078" t="s">
        <v>205</v>
      </c>
      <c r="F63" s="2091" t="s">
        <v>19</v>
      </c>
      <c r="G63" s="2078"/>
      <c r="H63" s="2080"/>
      <c r="I63" s="2082"/>
      <c r="J63" s="2084"/>
      <c r="K63" s="2076"/>
      <c r="L63" s="2076"/>
      <c r="M63" s="2076"/>
      <c r="N63" s="2087"/>
      <c r="O63" s="2076"/>
      <c r="P63" s="2076"/>
      <c r="Q63" s="2076"/>
      <c r="R63" s="2074"/>
      <c r="S63" s="2076"/>
      <c r="T63" s="1853"/>
      <c r="U63" s="1853"/>
      <c r="V63" s="1855"/>
      <c r="W63" s="1222"/>
      <c r="X63" s="1193"/>
      <c r="Y63" s="1193"/>
      <c r="Z63" s="1193"/>
      <c r="AA63" s="1193"/>
      <c r="AB63" s="1193"/>
      <c r="AC63" s="1193" t="s">
        <v>206</v>
      </c>
      <c r="AD63" s="1193" t="s">
        <v>207</v>
      </c>
      <c r="AE63" s="1193" t="s">
        <v>208</v>
      </c>
      <c r="AF63" s="1193" t="s">
        <v>209</v>
      </c>
      <c r="AG63" s="1193" t="s">
        <v>210</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89"/>
      <c r="E64" s="2078"/>
      <c r="F64" s="2092"/>
      <c r="G64" s="2078"/>
      <c r="H64" s="2081"/>
      <c r="I64" s="2083"/>
      <c r="J64" s="2085"/>
      <c r="K64" s="2077"/>
      <c r="L64" s="2077"/>
      <c r="M64" s="2077"/>
      <c r="N64" s="2088"/>
      <c r="O64" s="2077"/>
      <c r="P64" s="2077"/>
      <c r="Q64" s="2077"/>
      <c r="R64" s="2075"/>
      <c r="S64" s="2077"/>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0"/>
      <c r="E65" s="2079"/>
      <c r="F65" s="2092"/>
      <c r="G65" s="2079"/>
      <c r="H65" s="2081"/>
      <c r="I65" s="2083"/>
      <c r="J65" s="2086"/>
      <c r="K65" s="2077"/>
      <c r="L65" s="2077"/>
      <c r="M65" s="2077"/>
      <c r="N65" s="2075"/>
      <c r="O65" s="2077"/>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0"/>
      <c r="E66" s="2079"/>
      <c r="F66" s="2092"/>
      <c r="G66" s="2079"/>
      <c r="H66" s="2081"/>
      <c r="I66" s="2083"/>
      <c r="J66" s="2086"/>
      <c r="K66" s="2077"/>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0"/>
      <c r="E67" s="2079"/>
      <c r="F67" s="2093"/>
      <c r="G67" s="2079"/>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6" t="s">
        <v>211</v>
      </c>
      <c r="F69" s="2096"/>
      <c r="G69" s="2096"/>
      <c r="H69" s="2096"/>
      <c r="I69" s="2096"/>
      <c r="J69" s="2096"/>
      <c r="K69" s="2096"/>
      <c r="L69" s="2096"/>
      <c r="M69" s="2096"/>
      <c r="N69" s="2096"/>
      <c r="O69" s="2096"/>
      <c r="P69" s="2096"/>
      <c r="Q69" s="2096"/>
      <c r="R69" s="2096"/>
      <c r="S69" s="2096"/>
      <c r="T69" s="2096"/>
      <c r="U69" s="2096"/>
      <c r="V69" s="2096"/>
      <c r="W69" s="2096"/>
      <c r="AR69" s="43">
        <v>0</v>
      </c>
    </row>
    <row r="70" spans="1:44" ht="36.75" hidden="1" customHeight="1">
      <c r="E70" s="2094" t="s">
        <v>212</v>
      </c>
      <c r="F70" s="2094"/>
      <c r="G70" s="2095"/>
      <c r="H70" s="2095"/>
      <c r="I70" s="2095"/>
      <c r="J70" s="2095"/>
      <c r="K70" s="2095"/>
      <c r="L70" s="2095"/>
      <c r="M70" s="2095"/>
      <c r="N70" s="2095"/>
      <c r="O70" s="2095"/>
      <c r="P70" s="2095"/>
      <c r="Q70" s="2095"/>
      <c r="R70" s="2095"/>
      <c r="S70" s="2095"/>
      <c r="T70" s="2095"/>
      <c r="U70" s="2095"/>
      <c r="V70" s="2095"/>
      <c r="W70" s="2095"/>
      <c r="AR70" s="43">
        <v>0</v>
      </c>
    </row>
    <row r="71" spans="1:44" ht="28.5" hidden="1" customHeight="1">
      <c r="E71" s="2094" t="s">
        <v>213</v>
      </c>
      <c r="F71" s="2094"/>
      <c r="G71" s="2095"/>
      <c r="H71" s="2095"/>
      <c r="I71" s="2095"/>
      <c r="J71" s="2095"/>
      <c r="K71" s="2095"/>
      <c r="L71" s="2095"/>
      <c r="M71" s="2095"/>
      <c r="N71" s="2095"/>
      <c r="O71" s="2095"/>
      <c r="P71" s="2095"/>
      <c r="Q71" s="2095"/>
      <c r="R71" s="2095"/>
      <c r="S71" s="2095"/>
      <c r="T71" s="2095"/>
      <c r="U71" s="2095"/>
      <c r="V71" s="2095"/>
      <c r="W71" s="2095"/>
      <c r="AR71" s="43">
        <v>0</v>
      </c>
    </row>
    <row r="72" spans="1:44" ht="27" hidden="1" customHeight="1">
      <c r="E72" s="2094" t="s">
        <v>214</v>
      </c>
      <c r="F72" s="2094"/>
      <c r="G72" s="2095"/>
      <c r="H72" s="2095"/>
      <c r="I72" s="2095"/>
      <c r="J72" s="2095"/>
      <c r="K72" s="2095"/>
      <c r="L72" s="2095"/>
      <c r="M72" s="2095"/>
      <c r="N72" s="2095"/>
      <c r="O72" s="2095"/>
      <c r="P72" s="2095"/>
      <c r="Q72" s="2095"/>
      <c r="R72" s="2095"/>
      <c r="S72" s="2095"/>
      <c r="T72" s="2095"/>
      <c r="U72" s="2095"/>
      <c r="V72" s="2095"/>
      <c r="W72" s="2095"/>
      <c r="AR72" s="43">
        <v>0</v>
      </c>
    </row>
    <row r="73" spans="1:44" ht="17.25" hidden="1" customHeight="1">
      <c r="E73" s="2094" t="s">
        <v>215</v>
      </c>
      <c r="F73" s="2094"/>
      <c r="G73" s="2095"/>
      <c r="H73" s="2095"/>
      <c r="I73" s="2095"/>
      <c r="J73" s="2095"/>
      <c r="K73" s="2095"/>
      <c r="L73" s="2095"/>
      <c r="M73" s="2095"/>
      <c r="N73" s="2095"/>
      <c r="O73" s="2095"/>
      <c r="P73" s="2095"/>
      <c r="Q73" s="2095"/>
      <c r="R73" s="2095"/>
      <c r="S73" s="2095"/>
      <c r="T73" s="2095"/>
      <c r="U73" s="2095"/>
      <c r="V73" s="2095"/>
      <c r="W73" s="2095"/>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6" t="s">
        <v>216</v>
      </c>
      <c r="F75" s="2096"/>
      <c r="G75" s="2096"/>
      <c r="H75" s="2096"/>
      <c r="I75" s="2096"/>
      <c r="J75" s="2096"/>
      <c r="K75" s="2096"/>
      <c r="L75" s="2096"/>
      <c r="M75" s="2096"/>
      <c r="N75" s="2096"/>
      <c r="O75" s="2096"/>
      <c r="P75" s="2096"/>
      <c r="Q75" s="2096"/>
      <c r="R75" s="2096"/>
      <c r="S75" s="2096"/>
      <c r="T75" s="2096"/>
      <c r="U75" s="2096"/>
      <c r="V75" s="2096"/>
      <c r="W75" s="2096"/>
      <c r="AR75" s="43">
        <v>0</v>
      </c>
    </row>
    <row r="76" spans="1:44" ht="17.25" hidden="1" customHeight="1">
      <c r="E76" s="2094" t="s">
        <v>217</v>
      </c>
      <c r="F76" s="2094"/>
      <c r="G76" s="2095"/>
      <c r="H76" s="2095"/>
      <c r="I76" s="2095"/>
      <c r="J76" s="2095"/>
      <c r="K76" s="2095"/>
      <c r="L76" s="2095"/>
      <c r="M76" s="2095"/>
      <c r="N76" s="2095"/>
      <c r="O76" s="2095"/>
      <c r="P76" s="2095"/>
      <c r="Q76" s="2095"/>
      <c r="R76" s="2095"/>
      <c r="S76" s="2095"/>
      <c r="T76" s="2095"/>
      <c r="U76" s="2095"/>
      <c r="V76" s="2095"/>
      <c r="W76" s="2095"/>
      <c r="AR76" s="43">
        <v>0</v>
      </c>
    </row>
    <row r="77" spans="1:44" ht="17.25" hidden="1" customHeight="1">
      <c r="E77" s="2094" t="s">
        <v>218</v>
      </c>
      <c r="F77" s="2094"/>
      <c r="G77" s="2095"/>
      <c r="H77" s="2095"/>
      <c r="I77" s="2095"/>
      <c r="J77" s="2095"/>
      <c r="K77" s="2095"/>
      <c r="L77" s="2095"/>
      <c r="M77" s="2095"/>
      <c r="N77" s="2095"/>
      <c r="O77" s="2095"/>
      <c r="P77" s="2095"/>
      <c r="Q77" s="2095"/>
      <c r="R77" s="2095"/>
      <c r="S77" s="2095"/>
      <c r="T77" s="2095"/>
      <c r="U77" s="2095"/>
      <c r="V77" s="2095"/>
      <c r="W77" s="2095"/>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89">
        <v>1</v>
      </c>
      <c r="E79" s="2078" t="s">
        <v>219</v>
      </c>
      <c r="F79" s="2091" t="s">
        <v>19</v>
      </c>
      <c r="G79" s="2078"/>
      <c r="H79" s="2080"/>
      <c r="I79" s="2082"/>
      <c r="J79" s="2084"/>
      <c r="K79" s="2076"/>
      <c r="L79" s="2076"/>
      <c r="M79" s="2076"/>
      <c r="N79" s="2087"/>
      <c r="O79" s="2076"/>
      <c r="P79" s="2076"/>
      <c r="Q79" s="2076"/>
      <c r="R79" s="2074"/>
      <c r="S79" s="2076"/>
      <c r="T79" s="1396"/>
      <c r="U79" s="1396"/>
      <c r="V79" s="1398"/>
      <c r="W79" s="1222"/>
      <c r="Y79" s="1193"/>
      <c r="Z79" s="1193"/>
      <c r="AA79" s="1193"/>
      <c r="AB79" s="1193"/>
      <c r="AC79" s="1193" t="s">
        <v>220</v>
      </c>
      <c r="AD79" s="1193" t="s">
        <v>221</v>
      </c>
      <c r="AE79" s="1193" t="s">
        <v>222</v>
      </c>
      <c r="AF79" s="1193" t="s">
        <v>223</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89"/>
      <c r="E80" s="2078"/>
      <c r="F80" s="2092"/>
      <c r="G80" s="2078"/>
      <c r="H80" s="2081"/>
      <c r="I80" s="2083"/>
      <c r="J80" s="2085"/>
      <c r="K80" s="2077"/>
      <c r="L80" s="2077"/>
      <c r="M80" s="2077"/>
      <c r="N80" s="2088"/>
      <c r="O80" s="2077"/>
      <c r="P80" s="2077"/>
      <c r="Q80" s="2077"/>
      <c r="R80" s="2075"/>
      <c r="S80" s="2077"/>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89"/>
      <c r="E81" s="2078"/>
      <c r="F81" s="2092"/>
      <c r="G81" s="2078"/>
      <c r="H81" s="2081"/>
      <c r="I81" s="2083"/>
      <c r="J81" s="2086"/>
      <c r="K81" s="2077"/>
      <c r="L81" s="2077"/>
      <c r="M81" s="2077"/>
      <c r="N81" s="2075"/>
      <c r="O81" s="2077"/>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89"/>
      <c r="E82" s="2078"/>
      <c r="F82" s="2092"/>
      <c r="G82" s="2078"/>
      <c r="H82" s="2081"/>
      <c r="I82" s="2083"/>
      <c r="J82" s="2086"/>
      <c r="K82" s="2077"/>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0"/>
      <c r="E83" s="2079"/>
      <c r="F83" s="2093"/>
      <c r="G83" s="2079"/>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89">
        <v>2</v>
      </c>
      <c r="E84" s="2078" t="s">
        <v>224</v>
      </c>
      <c r="F84" s="2091" t="s">
        <v>19</v>
      </c>
      <c r="G84" s="2078"/>
      <c r="H84" s="2080"/>
      <c r="I84" s="2082"/>
      <c r="J84" s="2084"/>
      <c r="K84" s="2076"/>
      <c r="L84" s="2076"/>
      <c r="M84" s="2076"/>
      <c r="N84" s="2087"/>
      <c r="O84" s="2076"/>
      <c r="P84" s="2076"/>
      <c r="Q84" s="2076"/>
      <c r="R84" s="2074"/>
      <c r="S84" s="2076"/>
      <c r="T84" s="1369"/>
      <c r="U84" s="1369"/>
      <c r="V84" s="1371"/>
      <c r="W84" s="1222"/>
      <c r="X84" s="1193"/>
      <c r="Y84" s="1193"/>
      <c r="Z84" s="1193"/>
      <c r="AA84" s="1193"/>
      <c r="AB84" s="1193"/>
      <c r="AC84" s="1193" t="s">
        <v>225</v>
      </c>
      <c r="AD84" s="1193" t="s">
        <v>226</v>
      </c>
      <c r="AE84" s="1193" t="s">
        <v>227</v>
      </c>
      <c r="AF84" s="1193" t="s">
        <v>228</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89"/>
      <c r="E85" s="2078"/>
      <c r="F85" s="2092"/>
      <c r="G85" s="2078"/>
      <c r="H85" s="2081"/>
      <c r="I85" s="2083"/>
      <c r="J85" s="2085"/>
      <c r="K85" s="2077"/>
      <c r="L85" s="2077"/>
      <c r="M85" s="2077"/>
      <c r="N85" s="2088"/>
      <c r="O85" s="2077"/>
      <c r="P85" s="2077"/>
      <c r="Q85" s="2077"/>
      <c r="R85" s="2075"/>
      <c r="S85" s="2077"/>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0"/>
      <c r="E86" s="2079"/>
      <c r="F86" s="2092"/>
      <c r="G86" s="2079"/>
      <c r="H86" s="2081"/>
      <c r="I86" s="2083"/>
      <c r="J86" s="2086"/>
      <c r="K86" s="2077"/>
      <c r="L86" s="2077"/>
      <c r="M86" s="2077"/>
      <c r="N86" s="2075"/>
      <c r="O86" s="2077"/>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0"/>
      <c r="E87" s="2079"/>
      <c r="F87" s="2092"/>
      <c r="G87" s="2079"/>
      <c r="H87" s="2081"/>
      <c r="I87" s="2083"/>
      <c r="J87" s="2086"/>
      <c r="K87" s="2077"/>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0"/>
      <c r="E88" s="2079"/>
      <c r="F88" s="2093"/>
      <c r="G88" s="2079"/>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89">
        <v>3</v>
      </c>
      <c r="E89" s="2078" t="s">
        <v>229</v>
      </c>
      <c r="F89" s="2091" t="s">
        <v>19</v>
      </c>
      <c r="G89" s="2078"/>
      <c r="H89" s="2080"/>
      <c r="I89" s="2082"/>
      <c r="J89" s="2084"/>
      <c r="K89" s="2076"/>
      <c r="L89" s="2076"/>
      <c r="M89" s="2076"/>
      <c r="N89" s="2087"/>
      <c r="O89" s="2076"/>
      <c r="P89" s="2076"/>
      <c r="Q89" s="2076"/>
      <c r="R89" s="2074"/>
      <c r="S89" s="2076"/>
      <c r="T89" s="1369"/>
      <c r="U89" s="1369"/>
      <c r="V89" s="1371"/>
      <c r="W89" s="1222"/>
      <c r="X89" s="1193"/>
      <c r="Y89" s="1193"/>
      <c r="Z89" s="1193"/>
      <c r="AA89" s="1193"/>
      <c r="AB89" s="1193"/>
      <c r="AC89" s="1193" t="s">
        <v>230</v>
      </c>
      <c r="AD89" s="1193" t="s">
        <v>231</v>
      </c>
      <c r="AE89" s="1193" t="s">
        <v>232</v>
      </c>
      <c r="AF89" s="1193" t="s">
        <v>233</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89"/>
      <c r="E90" s="2078"/>
      <c r="F90" s="2092"/>
      <c r="G90" s="2078"/>
      <c r="H90" s="2081"/>
      <c r="I90" s="2083"/>
      <c r="J90" s="2085"/>
      <c r="K90" s="2077"/>
      <c r="L90" s="2077"/>
      <c r="M90" s="2077"/>
      <c r="N90" s="2088"/>
      <c r="O90" s="2077"/>
      <c r="P90" s="2077"/>
      <c r="Q90" s="2077"/>
      <c r="R90" s="2075"/>
      <c r="S90" s="2077"/>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0"/>
      <c r="E91" s="2079"/>
      <c r="F91" s="2092"/>
      <c r="G91" s="2079"/>
      <c r="H91" s="2081"/>
      <c r="I91" s="2083"/>
      <c r="J91" s="2086"/>
      <c r="K91" s="2077"/>
      <c r="L91" s="2077"/>
      <c r="M91" s="2077"/>
      <c r="N91" s="2075"/>
      <c r="O91" s="2077"/>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0"/>
      <c r="E92" s="2079"/>
      <c r="F92" s="2092"/>
      <c r="G92" s="2079"/>
      <c r="H92" s="2081"/>
      <c r="I92" s="2083"/>
      <c r="J92" s="2086"/>
      <c r="K92" s="2077"/>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0"/>
      <c r="E93" s="2079"/>
      <c r="F93" s="2093"/>
      <c r="G93" s="2079"/>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89">
        <v>4</v>
      </c>
      <c r="E94" s="2078" t="s">
        <v>234</v>
      </c>
      <c r="F94" s="2091" t="s">
        <v>19</v>
      </c>
      <c r="G94" s="2078"/>
      <c r="H94" s="2080"/>
      <c r="I94" s="2082"/>
      <c r="J94" s="2084"/>
      <c r="K94" s="2076"/>
      <c r="L94" s="2076"/>
      <c r="M94" s="2076"/>
      <c r="N94" s="2087"/>
      <c r="O94" s="2076"/>
      <c r="P94" s="2076"/>
      <c r="Q94" s="2076"/>
      <c r="R94" s="2074"/>
      <c r="S94" s="2076"/>
      <c r="T94" s="1369"/>
      <c r="U94" s="1369"/>
      <c r="V94" s="1371"/>
      <c r="W94" s="1222"/>
      <c r="X94" s="1193"/>
      <c r="Y94" s="1193"/>
      <c r="Z94" s="1193"/>
      <c r="AA94" s="1193"/>
      <c r="AB94" s="1193"/>
      <c r="AC94" s="1193" t="s">
        <v>235</v>
      </c>
      <c r="AD94" s="1193" t="s">
        <v>236</v>
      </c>
      <c r="AE94" s="1193" t="s">
        <v>237</v>
      </c>
      <c r="AF94" s="1193" t="s">
        <v>238</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89"/>
      <c r="E95" s="2078"/>
      <c r="F95" s="2092"/>
      <c r="G95" s="2078"/>
      <c r="H95" s="2081"/>
      <c r="I95" s="2083"/>
      <c r="J95" s="2085"/>
      <c r="K95" s="2077"/>
      <c r="L95" s="2077"/>
      <c r="M95" s="2077"/>
      <c r="N95" s="2088"/>
      <c r="O95" s="2077"/>
      <c r="P95" s="2077"/>
      <c r="Q95" s="2077"/>
      <c r="R95" s="2075"/>
      <c r="S95" s="2077"/>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0"/>
      <c r="E96" s="2079"/>
      <c r="F96" s="2092"/>
      <c r="G96" s="2079"/>
      <c r="H96" s="2081"/>
      <c r="I96" s="2083"/>
      <c r="J96" s="2086"/>
      <c r="K96" s="2077"/>
      <c r="L96" s="2077"/>
      <c r="M96" s="2077"/>
      <c r="N96" s="2075"/>
      <c r="O96" s="2077"/>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0"/>
      <c r="E97" s="2079"/>
      <c r="F97" s="2092"/>
      <c r="G97" s="2079"/>
      <c r="H97" s="2081"/>
      <c r="I97" s="2083"/>
      <c r="J97" s="2086"/>
      <c r="K97" s="2077"/>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0"/>
      <c r="E98" s="2079"/>
      <c r="F98" s="2093"/>
      <c r="G98" s="2079"/>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89">
        <v>5</v>
      </c>
      <c r="E99" s="2078" t="s">
        <v>239</v>
      </c>
      <c r="F99" s="2091" t="s">
        <v>19</v>
      </c>
      <c r="G99" s="2078"/>
      <c r="H99" s="2080"/>
      <c r="I99" s="2082"/>
      <c r="J99" s="2084"/>
      <c r="K99" s="2076"/>
      <c r="L99" s="2076"/>
      <c r="M99" s="2076"/>
      <c r="N99" s="2087"/>
      <c r="O99" s="2076"/>
      <c r="P99" s="2076"/>
      <c r="Q99" s="2076"/>
      <c r="R99" s="2074"/>
      <c r="S99" s="2076"/>
      <c r="T99" s="1865"/>
      <c r="U99" s="1865"/>
      <c r="V99" s="1867"/>
      <c r="W99" s="1222"/>
      <c r="X99" s="1193"/>
      <c r="Y99" s="1193"/>
      <c r="Z99" s="1193"/>
      <c r="AA99" s="1193"/>
      <c r="AB99" s="1193"/>
      <c r="AC99" s="1193" t="s">
        <v>240</v>
      </c>
      <c r="AD99" s="1193" t="s">
        <v>241</v>
      </c>
      <c r="AE99" s="1193" t="s">
        <v>242</v>
      </c>
      <c r="AF99" s="1193" t="s">
        <v>243</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89"/>
      <c r="E100" s="2078"/>
      <c r="F100" s="2092"/>
      <c r="G100" s="2078"/>
      <c r="H100" s="2081"/>
      <c r="I100" s="2083"/>
      <c r="J100" s="2085"/>
      <c r="K100" s="2077"/>
      <c r="L100" s="2077"/>
      <c r="M100" s="2077"/>
      <c r="N100" s="2088"/>
      <c r="O100" s="2077"/>
      <c r="P100" s="2077"/>
      <c r="Q100" s="2077"/>
      <c r="R100" s="2075"/>
      <c r="S100" s="2077"/>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0"/>
      <c r="E101" s="2079"/>
      <c r="F101" s="2092"/>
      <c r="G101" s="2079"/>
      <c r="H101" s="2081"/>
      <c r="I101" s="2083"/>
      <c r="J101" s="2086"/>
      <c r="K101" s="2077"/>
      <c r="L101" s="2077"/>
      <c r="M101" s="2077"/>
      <c r="N101" s="2075"/>
      <c r="O101" s="2077"/>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0"/>
      <c r="E102" s="2079"/>
      <c r="F102" s="2092"/>
      <c r="G102" s="2079"/>
      <c r="H102" s="2081"/>
      <c r="I102" s="2083"/>
      <c r="J102" s="2086"/>
      <c r="K102" s="2077"/>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0"/>
      <c r="E103" s="2079"/>
      <c r="F103" s="2093"/>
      <c r="G103" s="2079"/>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89">
        <v>1</v>
      </c>
      <c r="E105" s="2078" t="s">
        <v>244</v>
      </c>
      <c r="F105" s="2091" t="s">
        <v>19</v>
      </c>
      <c r="G105" s="2078"/>
      <c r="H105" s="2080"/>
      <c r="I105" s="2082"/>
      <c r="J105" s="2084"/>
      <c r="K105" s="2076"/>
      <c r="L105" s="2076"/>
      <c r="M105" s="2076"/>
      <c r="N105" s="2087"/>
      <c r="O105" s="2076"/>
      <c r="P105" s="2076"/>
      <c r="Q105" s="2076"/>
      <c r="R105" s="2074"/>
      <c r="S105" s="2076"/>
      <c r="T105" s="1396"/>
      <c r="U105" s="1396"/>
      <c r="V105" s="1398"/>
      <c r="W105" s="1222"/>
      <c r="Y105" s="1193"/>
      <c r="Z105" s="1193"/>
      <c r="AA105" s="1193"/>
      <c r="AB105" s="1193"/>
      <c r="AC105" s="1193" t="s">
        <v>245</v>
      </c>
      <c r="AD105" s="1193" t="s">
        <v>246</v>
      </c>
      <c r="AE105" s="1193" t="s">
        <v>247</v>
      </c>
      <c r="AF105" s="1193" t="s">
        <v>248</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89"/>
      <c r="E106" s="2078"/>
      <c r="F106" s="2092"/>
      <c r="G106" s="2078"/>
      <c r="H106" s="2081"/>
      <c r="I106" s="2083"/>
      <c r="J106" s="2085"/>
      <c r="K106" s="2077"/>
      <c r="L106" s="2077"/>
      <c r="M106" s="2077"/>
      <c r="N106" s="2088"/>
      <c r="O106" s="2077"/>
      <c r="P106" s="2077"/>
      <c r="Q106" s="2077"/>
      <c r="R106" s="2075"/>
      <c r="S106" s="2077"/>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89"/>
      <c r="E107" s="2078"/>
      <c r="F107" s="2092"/>
      <c r="G107" s="2078"/>
      <c r="H107" s="2081"/>
      <c r="I107" s="2083"/>
      <c r="J107" s="2086"/>
      <c r="K107" s="2077"/>
      <c r="L107" s="2077"/>
      <c r="M107" s="2077"/>
      <c r="N107" s="2075"/>
      <c r="O107" s="2077"/>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89"/>
      <c r="E108" s="2078"/>
      <c r="F108" s="2092"/>
      <c r="G108" s="2078"/>
      <c r="H108" s="2081"/>
      <c r="I108" s="2083"/>
      <c r="J108" s="2086"/>
      <c r="K108" s="2077"/>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0"/>
      <c r="E109" s="2079"/>
      <c r="F109" s="2093"/>
      <c r="G109" s="2079"/>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89">
        <v>2</v>
      </c>
      <c r="E110" s="2078" t="s">
        <v>249</v>
      </c>
      <c r="F110" s="2091" t="s">
        <v>19</v>
      </c>
      <c r="G110" s="2078"/>
      <c r="H110" s="2080"/>
      <c r="I110" s="2082"/>
      <c r="J110" s="2084"/>
      <c r="K110" s="2076"/>
      <c r="L110" s="2076"/>
      <c r="M110" s="2076"/>
      <c r="N110" s="2087"/>
      <c r="O110" s="2076"/>
      <c r="P110" s="2076"/>
      <c r="Q110" s="2076"/>
      <c r="R110" s="2074"/>
      <c r="S110" s="2076"/>
      <c r="T110" s="1396"/>
      <c r="U110" s="1396"/>
      <c r="V110" s="1398"/>
      <c r="W110" s="1222"/>
      <c r="X110" s="1193"/>
      <c r="Y110" s="1193"/>
      <c r="Z110" s="1193"/>
      <c r="AA110" s="1193"/>
      <c r="AB110" s="1193"/>
      <c r="AC110" s="1193" t="s">
        <v>250</v>
      </c>
      <c r="AD110" s="1193" t="s">
        <v>251</v>
      </c>
      <c r="AE110" s="1193" t="s">
        <v>252</v>
      </c>
      <c r="AF110" s="1193" t="s">
        <v>253</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89"/>
      <c r="E111" s="2078"/>
      <c r="F111" s="2092"/>
      <c r="G111" s="2078"/>
      <c r="H111" s="2081"/>
      <c r="I111" s="2083"/>
      <c r="J111" s="2085"/>
      <c r="K111" s="2077"/>
      <c r="L111" s="2077"/>
      <c r="M111" s="2077"/>
      <c r="N111" s="2088"/>
      <c r="O111" s="2077"/>
      <c r="P111" s="2077"/>
      <c r="Q111" s="2077"/>
      <c r="R111" s="2075"/>
      <c r="S111" s="2077"/>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0"/>
      <c r="E112" s="2079"/>
      <c r="F112" s="2092"/>
      <c r="G112" s="2079"/>
      <c r="H112" s="2081"/>
      <c r="I112" s="2083"/>
      <c r="J112" s="2086"/>
      <c r="K112" s="2077"/>
      <c r="L112" s="2077"/>
      <c r="M112" s="2077"/>
      <c r="N112" s="2075"/>
      <c r="O112" s="2077"/>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0"/>
      <c r="E113" s="2079"/>
      <c r="F113" s="2092"/>
      <c r="G113" s="2079"/>
      <c r="H113" s="2081"/>
      <c r="I113" s="2083"/>
      <c r="J113" s="2086"/>
      <c r="K113" s="2077"/>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0"/>
      <c r="E114" s="2079"/>
      <c r="F114" s="2093"/>
      <c r="G114" s="2079"/>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89">
        <v>3</v>
      </c>
      <c r="E115" s="2078" t="s">
        <v>254</v>
      </c>
      <c r="F115" s="2091" t="s">
        <v>19</v>
      </c>
      <c r="G115" s="2078"/>
      <c r="H115" s="2080"/>
      <c r="I115" s="2082"/>
      <c r="J115" s="2084"/>
      <c r="K115" s="2076"/>
      <c r="L115" s="2076"/>
      <c r="M115" s="2076"/>
      <c r="N115" s="2087"/>
      <c r="O115" s="2076"/>
      <c r="P115" s="2076"/>
      <c r="Q115" s="2076"/>
      <c r="R115" s="2074"/>
      <c r="S115" s="2076"/>
      <c r="T115" s="1865"/>
      <c r="U115" s="1865"/>
      <c r="V115" s="1867"/>
      <c r="W115" s="1222"/>
      <c r="X115" s="1193"/>
      <c r="Y115" s="1193"/>
      <c r="Z115" s="1193"/>
      <c r="AA115" s="1193"/>
      <c r="AB115" s="1193"/>
      <c r="AC115" s="1193" t="s">
        <v>255</v>
      </c>
      <c r="AD115" s="1193" t="s">
        <v>256</v>
      </c>
      <c r="AE115" s="1193" t="s">
        <v>257</v>
      </c>
      <c r="AF115" s="1193" t="s">
        <v>258</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89"/>
      <c r="E116" s="2078"/>
      <c r="F116" s="2092"/>
      <c r="G116" s="2078"/>
      <c r="H116" s="2081"/>
      <c r="I116" s="2083"/>
      <c r="J116" s="2085"/>
      <c r="K116" s="2077"/>
      <c r="L116" s="2077"/>
      <c r="M116" s="2077"/>
      <c r="N116" s="2088"/>
      <c r="O116" s="2077"/>
      <c r="P116" s="2077"/>
      <c r="Q116" s="2077"/>
      <c r="R116" s="2075"/>
      <c r="S116" s="2077"/>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0"/>
      <c r="E117" s="2079"/>
      <c r="F117" s="2092"/>
      <c r="G117" s="2079"/>
      <c r="H117" s="2081"/>
      <c r="I117" s="2083"/>
      <c r="J117" s="2086"/>
      <c r="K117" s="2077"/>
      <c r="L117" s="2077"/>
      <c r="M117" s="2077"/>
      <c r="N117" s="2075"/>
      <c r="O117" s="2077"/>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0"/>
      <c r="E118" s="2079"/>
      <c r="F118" s="2092"/>
      <c r="G118" s="2079"/>
      <c r="H118" s="2081"/>
      <c r="I118" s="2083"/>
      <c r="J118" s="2086"/>
      <c r="K118" s="2077"/>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0"/>
      <c r="E119" s="2079"/>
      <c r="F119" s="2093"/>
      <c r="G119" s="2079"/>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89">
        <v>1</v>
      </c>
      <c r="E121" s="2078" t="s">
        <v>259</v>
      </c>
      <c r="F121" s="2091" t="s">
        <v>19</v>
      </c>
      <c r="G121" s="2078"/>
      <c r="H121" s="2080"/>
      <c r="I121" s="2082"/>
      <c r="J121" s="2084"/>
      <c r="K121" s="2076"/>
      <c r="L121" s="2076"/>
      <c r="M121" s="2076"/>
      <c r="N121" s="2087"/>
      <c r="O121" s="2076"/>
      <c r="P121" s="2076"/>
      <c r="Q121" s="2076"/>
      <c r="R121" s="2074"/>
      <c r="S121" s="2076"/>
      <c r="T121" s="1396"/>
      <c r="U121" s="1396"/>
      <c r="V121" s="1398"/>
      <c r="W121" s="1222"/>
      <c r="Y121" s="1193"/>
      <c r="Z121" s="1193"/>
      <c r="AA121" s="1193"/>
      <c r="AB121" s="1193"/>
      <c r="AC121" s="1193" t="s">
        <v>260</v>
      </c>
      <c r="AD121" s="1193" t="s">
        <v>261</v>
      </c>
      <c r="AE121" s="1193" t="s">
        <v>262</v>
      </c>
      <c r="AF121" s="1193" t="s">
        <v>263</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89"/>
      <c r="E122" s="2078"/>
      <c r="F122" s="2092"/>
      <c r="G122" s="2078"/>
      <c r="H122" s="2081"/>
      <c r="I122" s="2083"/>
      <c r="J122" s="2085"/>
      <c r="K122" s="2077"/>
      <c r="L122" s="2077"/>
      <c r="M122" s="2077"/>
      <c r="N122" s="2088"/>
      <c r="O122" s="2077"/>
      <c r="P122" s="2077"/>
      <c r="Q122" s="2077"/>
      <c r="R122" s="2075"/>
      <c r="S122" s="2077"/>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89"/>
      <c r="E123" s="2078"/>
      <c r="F123" s="2092"/>
      <c r="G123" s="2078"/>
      <c r="H123" s="2081"/>
      <c r="I123" s="2083"/>
      <c r="J123" s="2086"/>
      <c r="K123" s="2077"/>
      <c r="L123" s="2077"/>
      <c r="M123" s="2077"/>
      <c r="N123" s="2075"/>
      <c r="O123" s="2077"/>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89"/>
      <c r="E124" s="2078"/>
      <c r="F124" s="2092"/>
      <c r="G124" s="2078"/>
      <c r="H124" s="2081"/>
      <c r="I124" s="2083"/>
      <c r="J124" s="2086"/>
      <c r="K124" s="2077"/>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0"/>
      <c r="E125" s="2079"/>
      <c r="F125" s="2093"/>
      <c r="G125" s="2079"/>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89">
        <v>2</v>
      </c>
      <c r="E126" s="2078" t="s">
        <v>264</v>
      </c>
      <c r="F126" s="2091" t="s">
        <v>19</v>
      </c>
      <c r="G126" s="2078"/>
      <c r="H126" s="2080"/>
      <c r="I126" s="2082"/>
      <c r="J126" s="2084"/>
      <c r="K126" s="2076"/>
      <c r="L126" s="2076"/>
      <c r="M126" s="2076"/>
      <c r="N126" s="2087"/>
      <c r="O126" s="2076"/>
      <c r="P126" s="2076"/>
      <c r="Q126" s="2076"/>
      <c r="R126" s="2074"/>
      <c r="S126" s="2076"/>
      <c r="T126" s="1396"/>
      <c r="U126" s="1396"/>
      <c r="V126" s="1398"/>
      <c r="W126" s="1222"/>
      <c r="X126" s="1193"/>
      <c r="Y126" s="1193"/>
      <c r="Z126" s="1193"/>
      <c r="AA126" s="1193"/>
      <c r="AB126" s="1193"/>
      <c r="AC126" s="1193" t="s">
        <v>265</v>
      </c>
      <c r="AD126" s="1193" t="s">
        <v>266</v>
      </c>
      <c r="AE126" s="1193" t="s">
        <v>267</v>
      </c>
      <c r="AF126" s="1193" t="s">
        <v>268</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89"/>
      <c r="E127" s="2078"/>
      <c r="F127" s="2092"/>
      <c r="G127" s="2078"/>
      <c r="H127" s="2081"/>
      <c r="I127" s="2083"/>
      <c r="J127" s="2085"/>
      <c r="K127" s="2077"/>
      <c r="L127" s="2077"/>
      <c r="M127" s="2077"/>
      <c r="N127" s="2088"/>
      <c r="O127" s="2077"/>
      <c r="P127" s="2077"/>
      <c r="Q127" s="2077"/>
      <c r="R127" s="2075"/>
      <c r="S127" s="2077"/>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0"/>
      <c r="E128" s="2079"/>
      <c r="F128" s="2092"/>
      <c r="G128" s="2079"/>
      <c r="H128" s="2081"/>
      <c r="I128" s="2083"/>
      <c r="J128" s="2086"/>
      <c r="K128" s="2077"/>
      <c r="L128" s="2077"/>
      <c r="M128" s="2077"/>
      <c r="N128" s="2075"/>
      <c r="O128" s="2077"/>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0"/>
      <c r="E129" s="2079"/>
      <c r="F129" s="2092"/>
      <c r="G129" s="2079"/>
      <c r="H129" s="2081"/>
      <c r="I129" s="2083"/>
      <c r="J129" s="2086"/>
      <c r="K129" s="2077"/>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0"/>
      <c r="E130" s="2079"/>
      <c r="F130" s="2093"/>
      <c r="G130" s="2079"/>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89">
        <v>3</v>
      </c>
      <c r="E131" s="2078" t="s">
        <v>269</v>
      </c>
      <c r="F131" s="2091" t="s">
        <v>19</v>
      </c>
      <c r="G131" s="2078"/>
      <c r="H131" s="2080"/>
      <c r="I131" s="2082"/>
      <c r="J131" s="2084"/>
      <c r="K131" s="2076"/>
      <c r="L131" s="2076"/>
      <c r="M131" s="2076"/>
      <c r="N131" s="2087"/>
      <c r="O131" s="2076"/>
      <c r="P131" s="2076"/>
      <c r="Q131" s="2076"/>
      <c r="R131" s="2074"/>
      <c r="S131" s="2076"/>
      <c r="T131" s="1865"/>
      <c r="U131" s="1865"/>
      <c r="V131" s="1867"/>
      <c r="W131" s="1222"/>
      <c r="X131" s="1193"/>
      <c r="Y131" s="1193"/>
      <c r="Z131" s="1193"/>
      <c r="AA131" s="1193"/>
      <c r="AB131" s="1193"/>
      <c r="AC131" s="1193" t="s">
        <v>270</v>
      </c>
      <c r="AD131" s="1193" t="s">
        <v>271</v>
      </c>
      <c r="AE131" s="1193" t="s">
        <v>272</v>
      </c>
      <c r="AF131" s="1193" t="s">
        <v>273</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89"/>
      <c r="E132" s="2078"/>
      <c r="F132" s="2092"/>
      <c r="G132" s="2078"/>
      <c r="H132" s="2081"/>
      <c r="I132" s="2083"/>
      <c r="J132" s="2085"/>
      <c r="K132" s="2077"/>
      <c r="L132" s="2077"/>
      <c r="M132" s="2077"/>
      <c r="N132" s="2088"/>
      <c r="O132" s="2077"/>
      <c r="P132" s="2077"/>
      <c r="Q132" s="2077"/>
      <c r="R132" s="2075"/>
      <c r="S132" s="2077"/>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0"/>
      <c r="E133" s="2079"/>
      <c r="F133" s="2092"/>
      <c r="G133" s="2079"/>
      <c r="H133" s="2081"/>
      <c r="I133" s="2083"/>
      <c r="J133" s="2086"/>
      <c r="K133" s="2077"/>
      <c r="L133" s="2077"/>
      <c r="M133" s="2077"/>
      <c r="N133" s="2075"/>
      <c r="O133" s="2077"/>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0"/>
      <c r="E134" s="2079"/>
      <c r="F134" s="2092"/>
      <c r="G134" s="2079"/>
      <c r="H134" s="2081"/>
      <c r="I134" s="2083"/>
      <c r="J134" s="2086"/>
      <c r="K134" s="2077"/>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0"/>
      <c r="E135" s="2079"/>
      <c r="F135" s="2093"/>
      <c r="G135" s="2079"/>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78</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5" t="s">
        <v>1153</v>
      </c>
      <c r="E5" s="2165"/>
      <c r="F5" s="2165"/>
      <c r="G5" s="2165"/>
      <c r="H5" s="2165"/>
      <c r="I5" s="2165"/>
      <c r="J5" s="2165"/>
      <c r="V5" s="441">
        <v>63</v>
      </c>
    </row>
    <row r="6" spans="1:22" ht="15.75" customHeight="1">
      <c r="C6" s="113"/>
      <c r="D6" s="2137" t="str">
        <f>IF(org=0,"Не определено",org)</f>
        <v>ОП АО "Байкалэнерго" - "Саяногорские тепловые сети"</v>
      </c>
      <c r="E6" s="2137"/>
      <c r="F6" s="2137"/>
      <c r="G6" s="2137"/>
      <c r="H6" s="2137"/>
      <c r="I6" s="2137"/>
      <c r="J6" s="2137"/>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113</v>
      </c>
      <c r="J8" s="688"/>
      <c r="K8" s="353"/>
      <c r="U8" s="611"/>
      <c r="V8" s="692">
        <v>1</v>
      </c>
    </row>
    <row r="9" spans="1:22" ht="15.75" customHeight="1">
      <c r="C9" s="113"/>
      <c r="D9" s="647"/>
      <c r="E9" s="2271" t="s">
        <v>101</v>
      </c>
      <c r="F9" s="2272"/>
      <c r="G9" s="2296" t="str">
        <f>IF(G8="","",INDEX(DIFFERENTIATION_UNMERGE_VD,MATCH(G8,DIFFERENTIATION_ID_DIFF,0)))</f>
        <v/>
      </c>
      <c r="H9" s="2297"/>
      <c r="I9" s="2296" t="str">
        <f>IF(I8="","",INDEX(DIFFERENTIATION_UNMERGE_VD,MATCH(I8,DIFFERENTIATION_ID_DIFF,0)))</f>
        <v>Подключение (технологическое присоединение) к системе теплоснабжения</v>
      </c>
      <c r="J9" s="2297"/>
      <c r="K9" s="2115" t="s">
        <v>296</v>
      </c>
      <c r="V9" s="441">
        <v>15</v>
      </c>
    </row>
    <row r="10" spans="1:22" s="1561" customFormat="1" ht="15.75" customHeight="1">
      <c r="A10" s="693"/>
      <c r="C10" s="113"/>
      <c r="D10" s="647"/>
      <c r="E10" s="2271" t="s">
        <v>559</v>
      </c>
      <c r="F10" s="2272"/>
      <c r="G10" s="2296" t="str">
        <f>IF(G8="","",INDEX(DIFFERENTIATION_UNMERGE_AREA,MATCH(G8,DIFFERENTIATION_ID_DIFF,0)))</f>
        <v/>
      </c>
      <c r="H10" s="2297"/>
      <c r="I10" s="2296" t="str">
        <f>IF(I8="","",INDEX(DIFFERENTIATION_UNMERGE_AREA,MATCH(I8,DIFFERENTIATION_ID_DIFF,0)))</f>
        <v>Территория 1</v>
      </c>
      <c r="J10" s="2297"/>
      <c r="K10" s="2120"/>
      <c r="U10" s="611"/>
      <c r="V10" s="692">
        <v>15</v>
      </c>
    </row>
    <row r="11" spans="1:22" s="1561" customFormat="1" ht="15.75" customHeight="1">
      <c r="A11" s="693"/>
      <c r="C11" s="113"/>
      <c r="D11" s="647"/>
      <c r="E11" s="2271" t="s">
        <v>560</v>
      </c>
      <c r="F11" s="2272"/>
      <c r="G11" s="2296" t="str">
        <f>IF(G8="","",INDEX(DIFFERENTIATION_UNMERGE_SYSTEM,MATCH(G8,DIFFERENTIATION_ID_DIFF,0)))</f>
        <v/>
      </c>
      <c r="H11" s="2297"/>
      <c r="I11" s="2296" t="str">
        <f>IF(I8="","",INDEX(DIFFERENTIATION_UNMERGE_SYSTEM,MATCH(I8,DIFFERENTIATION_ID_DIFF,0)))</f>
        <v>без дифференциации</v>
      </c>
      <c r="J11" s="2297"/>
      <c r="K11" s="2120"/>
      <c r="U11" s="611"/>
      <c r="V11" s="692">
        <v>15</v>
      </c>
    </row>
    <row r="12" spans="1:22" s="1561" customFormat="1" ht="15.75" customHeight="1">
      <c r="A12" s="693"/>
      <c r="C12" s="113"/>
      <c r="D12" s="2273" t="s">
        <v>295</v>
      </c>
      <c r="E12" s="2274"/>
      <c r="F12" s="2274"/>
      <c r="G12" s="816"/>
      <c r="H12" s="816"/>
      <c r="I12" s="816"/>
      <c r="J12" s="816"/>
      <c r="K12" s="2120"/>
      <c r="U12" s="611"/>
      <c r="V12" s="692">
        <v>15</v>
      </c>
    </row>
    <row r="13" spans="1:22" ht="35.65" customHeight="1">
      <c r="C13" s="113"/>
      <c r="D13" s="735" t="s">
        <v>84</v>
      </c>
      <c r="E13" s="737" t="s">
        <v>297</v>
      </c>
      <c r="F13" s="737" t="s">
        <v>561</v>
      </c>
      <c r="G13" s="738" t="s">
        <v>298</v>
      </c>
      <c r="H13" s="737" t="s">
        <v>385</v>
      </c>
      <c r="I13" s="738" t="s">
        <v>298</v>
      </c>
      <c r="J13" s="737" t="s">
        <v>385</v>
      </c>
      <c r="K13" s="2170"/>
      <c r="V13" s="441">
        <v>34</v>
      </c>
    </row>
    <row r="14" spans="1:22" ht="15" hidden="1" customHeight="1">
      <c r="C14" s="113"/>
      <c r="D14" s="529" t="s">
        <v>105</v>
      </c>
      <c r="E14" s="529" t="s">
        <v>106</v>
      </c>
      <c r="F14" s="529" t="s">
        <v>86</v>
      </c>
      <c r="G14" s="595" t="str">
        <f>G1&amp;".1"</f>
        <v>4.1</v>
      </c>
      <c r="H14" s="595"/>
      <c r="I14" s="595" t="str">
        <f>I1&amp;".1"</f>
        <v>4.1</v>
      </c>
      <c r="J14" s="595"/>
      <c r="K14" s="226"/>
      <c r="V14" s="441">
        <v>0</v>
      </c>
    </row>
    <row r="15" spans="1:22" ht="22.5" hidden="1" customHeight="1">
      <c r="A15" s="441"/>
      <c r="C15" s="462"/>
      <c r="D15" s="457">
        <v>1</v>
      </c>
      <c r="E15" s="613" t="s">
        <v>804</v>
      </c>
      <c r="F15" s="457" t="s">
        <v>805</v>
      </c>
      <c r="G15" s="614"/>
      <c r="H15" s="614"/>
      <c r="I15" s="614"/>
      <c r="J15" s="614"/>
      <c r="K15" s="226" t="s">
        <v>806</v>
      </c>
      <c r="V15" s="441">
        <v>0</v>
      </c>
    </row>
    <row r="16" spans="1:22" ht="22.5" hidden="1" customHeight="1">
      <c r="A16" s="441"/>
      <c r="C16" s="462"/>
      <c r="D16" s="457">
        <v>2</v>
      </c>
      <c r="E16" s="216" t="s">
        <v>807</v>
      </c>
      <c r="F16" s="457" t="s">
        <v>808</v>
      </c>
      <c r="G16" s="614"/>
      <c r="H16" s="614"/>
      <c r="I16" s="614"/>
      <c r="J16" s="614"/>
      <c r="K16" s="226" t="s">
        <v>809</v>
      </c>
      <c r="V16" s="441">
        <v>0</v>
      </c>
    </row>
    <row r="17" spans="1:22" ht="123.75" hidden="1" customHeight="1">
      <c r="A17" s="441"/>
      <c r="C17" s="462"/>
      <c r="D17" s="457">
        <v>3</v>
      </c>
      <c r="E17" s="216" t="s">
        <v>1154</v>
      </c>
      <c r="F17" s="457" t="s">
        <v>301</v>
      </c>
      <c r="G17" s="614"/>
      <c r="H17" s="614"/>
      <c r="I17" s="614"/>
      <c r="J17" s="614"/>
      <c r="K17" s="226" t="s">
        <v>1155</v>
      </c>
      <c r="V17" s="441">
        <v>0</v>
      </c>
    </row>
    <row r="18" spans="1:22" ht="48.2" customHeight="1">
      <c r="A18" s="441"/>
      <c r="C18" s="462"/>
      <c r="D18" s="457">
        <v>3</v>
      </c>
      <c r="E18" s="216" t="s">
        <v>810</v>
      </c>
      <c r="F18" s="457" t="s">
        <v>301</v>
      </c>
      <c r="G18" s="739" t="s">
        <v>301</v>
      </c>
      <c r="H18" s="740" t="s">
        <v>301</v>
      </c>
      <c r="I18" s="457" t="s">
        <v>301</v>
      </c>
      <c r="J18" s="514" t="s">
        <v>301</v>
      </c>
      <c r="K18" s="226" t="s">
        <v>1156</v>
      </c>
      <c r="V18" s="441">
        <v>46</v>
      </c>
    </row>
    <row r="19" spans="1:22" ht="35.65" customHeight="1">
      <c r="A19" s="441"/>
      <c r="C19" s="462"/>
      <c r="D19" s="475" t="s">
        <v>319</v>
      </c>
      <c r="E19" s="495" t="s">
        <v>812</v>
      </c>
      <c r="F19" s="457" t="s">
        <v>813</v>
      </c>
      <c r="G19" s="747"/>
      <c r="H19" s="45"/>
      <c r="I19" s="747"/>
      <c r="J19" s="748"/>
      <c r="K19" s="615"/>
      <c r="V19" s="441">
        <v>34</v>
      </c>
    </row>
    <row r="20" spans="1:22" ht="35.65" customHeight="1">
      <c r="A20" s="441"/>
      <c r="C20" s="462"/>
      <c r="D20" s="1815" t="s">
        <v>327</v>
      </c>
      <c r="E20" s="495" t="s">
        <v>814</v>
      </c>
      <c r="F20" s="457" t="s">
        <v>815</v>
      </c>
      <c r="G20" s="747"/>
      <c r="H20" s="45"/>
      <c r="I20" s="747"/>
      <c r="J20" s="45"/>
      <c r="K20" s="615"/>
      <c r="V20" s="441">
        <v>34</v>
      </c>
    </row>
    <row r="21" spans="1:22" ht="48.2" customHeight="1">
      <c r="A21" s="441"/>
      <c r="C21" s="462"/>
      <c r="D21" s="1815" t="s">
        <v>329</v>
      </c>
      <c r="E21" s="495" t="s">
        <v>816</v>
      </c>
      <c r="F21" s="457" t="s">
        <v>566</v>
      </c>
      <c r="G21" s="616"/>
      <c r="H21" s="45"/>
      <c r="I21" s="616"/>
      <c r="J21" s="45"/>
      <c r="K21" s="615"/>
      <c r="V21" s="441">
        <v>46</v>
      </c>
    </row>
    <row r="22" spans="1:22" ht="67.5" hidden="1" customHeight="1">
      <c r="A22" s="441"/>
      <c r="C22" s="462"/>
      <c r="D22" s="457">
        <v>5</v>
      </c>
      <c r="E22" s="216" t="s">
        <v>1157</v>
      </c>
      <c r="F22" s="457" t="s">
        <v>553</v>
      </c>
      <c r="G22" s="617"/>
      <c r="H22" s="618"/>
      <c r="I22" s="617"/>
      <c r="J22" s="618"/>
      <c r="K22" s="226" t="s">
        <v>1158</v>
      </c>
      <c r="V22" s="441">
        <v>0</v>
      </c>
    </row>
    <row r="23" spans="1:22" ht="33.75" hidden="1" customHeight="1">
      <c r="C23" s="387"/>
      <c r="D23" s="457">
        <v>6</v>
      </c>
      <c r="E23" s="216" t="s">
        <v>1159</v>
      </c>
      <c r="F23" s="457" t="s">
        <v>1160</v>
      </c>
      <c r="G23" s="617"/>
      <c r="H23" s="617"/>
      <c r="I23" s="617"/>
      <c r="J23" s="617"/>
      <c r="K23" s="226" t="s">
        <v>1161</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78</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1162</v>
      </c>
      <c r="B1" s="996" t="s">
        <v>1163</v>
      </c>
      <c r="C1" s="996" t="s">
        <v>1164</v>
      </c>
      <c r="D1" s="996" t="s">
        <v>1165</v>
      </c>
      <c r="E1" s="996" t="s">
        <v>1166</v>
      </c>
      <c r="F1" s="996" t="s">
        <v>1167</v>
      </c>
      <c r="G1" s="996" t="s">
        <v>1168</v>
      </c>
      <c r="H1" s="996" t="s">
        <v>1169</v>
      </c>
      <c r="I1" s="996" t="s">
        <v>1170</v>
      </c>
      <c r="J1" s="996" t="s">
        <v>1171</v>
      </c>
      <c r="K1" s="996" t="s">
        <v>1172</v>
      </c>
      <c r="L1" s="996" t="s">
        <v>1173</v>
      </c>
      <c r="M1" s="996"/>
      <c r="N1" s="996" t="s">
        <v>1174</v>
      </c>
      <c r="O1" s="996" t="s">
        <v>1175</v>
      </c>
      <c r="P1" s="996" t="s">
        <v>1176</v>
      </c>
      <c r="Q1" s="996" t="s">
        <v>1177</v>
      </c>
      <c r="R1" s="996" t="s">
        <v>1178</v>
      </c>
      <c r="S1" s="996" t="s">
        <v>1179</v>
      </c>
      <c r="T1" s="996" t="s">
        <v>1180</v>
      </c>
      <c r="U1" s="996" t="s">
        <v>1181</v>
      </c>
      <c r="V1" s="996"/>
      <c r="W1" s="727" t="s">
        <v>1182</v>
      </c>
      <c r="X1" s="996" t="s">
        <v>1183</v>
      </c>
      <c r="Y1" s="996" t="s">
        <v>1184</v>
      </c>
      <c r="Z1" s="996"/>
      <c r="AA1" s="996" t="s">
        <v>1185</v>
      </c>
      <c r="AB1" s="996"/>
      <c r="AC1" s="996" t="s">
        <v>1186</v>
      </c>
      <c r="AD1" s="996"/>
      <c r="AF1" s="996" t="s">
        <v>1187</v>
      </c>
      <c r="AH1" s="996" t="s">
        <v>1188</v>
      </c>
      <c r="AI1" s="996" t="s">
        <v>1189</v>
      </c>
      <c r="AK1" s="996" t="s">
        <v>1190</v>
      </c>
      <c r="AM1" s="996" t="s">
        <v>1191</v>
      </c>
      <c r="AP1" s="996" t="s">
        <v>1192</v>
      </c>
      <c r="AQ1" s="996" t="s">
        <v>1193</v>
      </c>
      <c r="AS1" s="996" t="s">
        <v>1194</v>
      </c>
      <c r="AU1" s="996" t="s">
        <v>1195</v>
      </c>
      <c r="AW1" s="996" t="s">
        <v>1196</v>
      </c>
      <c r="AX1" s="996" t="s">
        <v>1197</v>
      </c>
      <c r="AZ1" s="1078" t="s">
        <v>1198</v>
      </c>
      <c r="BB1" s="996" t="s">
        <v>1199</v>
      </c>
      <c r="BC1" s="996"/>
      <c r="BE1" s="996" t="s">
        <v>1200</v>
      </c>
      <c r="BF1" s="996" t="s">
        <v>1201</v>
      </c>
      <c r="BH1" s="998" t="s">
        <v>803</v>
      </c>
      <c r="BI1" s="999"/>
      <c r="BJ1" s="1000" t="s">
        <v>1202</v>
      </c>
      <c r="BK1" s="999"/>
      <c r="BL1" s="1001" t="s">
        <v>902</v>
      </c>
      <c r="BM1" s="999"/>
      <c r="BN1" s="1002" t="s">
        <v>1203</v>
      </c>
    </row>
    <row r="2" spans="1:79" ht="11.25" customHeight="1">
      <c r="A2" s="1003" t="s">
        <v>1204</v>
      </c>
      <c r="B2" s="1004">
        <v>2000</v>
      </c>
      <c r="C2" s="1004">
        <v>2022</v>
      </c>
      <c r="D2" s="1004" t="s">
        <v>66</v>
      </c>
      <c r="E2" s="1005" t="s">
        <v>1205</v>
      </c>
      <c r="F2" s="1005" t="s">
        <v>1206</v>
      </c>
      <c r="G2" s="1005" t="s">
        <v>1207</v>
      </c>
      <c r="H2" s="1006" t="s">
        <v>55</v>
      </c>
      <c r="I2" s="1005" t="s">
        <v>105</v>
      </c>
      <c r="J2" s="1005" t="s">
        <v>1208</v>
      </c>
      <c r="K2" s="1007" t="s">
        <v>1209</v>
      </c>
      <c r="L2" s="1008"/>
      <c r="M2" s="1007">
        <v>1</v>
      </c>
      <c r="N2" s="1088" t="s">
        <v>1210</v>
      </c>
      <c r="O2" s="1006" t="s">
        <v>1211</v>
      </c>
      <c r="P2" s="1009" t="s">
        <v>38</v>
      </c>
      <c r="Q2" s="1010" t="s">
        <v>1212</v>
      </c>
      <c r="R2" s="81" t="s">
        <v>1213</v>
      </c>
      <c r="S2" s="81" t="s">
        <v>1214</v>
      </c>
      <c r="T2" s="1011" t="s">
        <v>1215</v>
      </c>
      <c r="U2" s="1008" t="s">
        <v>1216</v>
      </c>
      <c r="V2" s="1012">
        <v>1</v>
      </c>
      <c r="W2" s="1013"/>
      <c r="X2" s="1013" t="s">
        <v>1217</v>
      </c>
      <c r="Y2" s="1004" t="s">
        <v>1218</v>
      </c>
      <c r="Z2" s="1014"/>
      <c r="AA2" s="1004" t="s">
        <v>1219</v>
      </c>
      <c r="AB2" s="1015" t="s">
        <v>1219</v>
      </c>
      <c r="AC2" s="1004" t="s">
        <v>1220</v>
      </c>
      <c r="AD2" s="1015" t="s">
        <v>1220</v>
      </c>
      <c r="AF2" s="1006" t="s">
        <v>1216</v>
      </c>
      <c r="AH2" s="1005" t="s">
        <v>1221</v>
      </c>
      <c r="AI2" s="1005" t="s">
        <v>1221</v>
      </c>
      <c r="AK2" s="1005" t="s">
        <v>1222</v>
      </c>
      <c r="AM2" s="1005" t="s">
        <v>1223</v>
      </c>
      <c r="AP2" s="1016" t="s">
        <v>1217</v>
      </c>
      <c r="AQ2" s="1017" t="s">
        <v>1217</v>
      </c>
      <c r="AS2" s="1004" t="s">
        <v>1224</v>
      </c>
      <c r="AU2" s="1046" t="s">
        <v>1225</v>
      </c>
      <c r="AW2" s="1046" t="s">
        <v>1226</v>
      </c>
      <c r="AX2" s="1046" t="s">
        <v>1226</v>
      </c>
      <c r="AZ2" s="1046" t="s">
        <v>53</v>
      </c>
      <c r="BB2" s="1046" t="s">
        <v>1227</v>
      </c>
      <c r="BC2" s="1046" t="s">
        <v>1228</v>
      </c>
      <c r="BE2" s="1046">
        <v>2000</v>
      </c>
      <c r="BF2" s="1046" t="s">
        <v>1229</v>
      </c>
    </row>
    <row r="3" spans="1:79" ht="11.25" customHeight="1">
      <c r="A3" s="1003" t="s">
        <v>1230</v>
      </c>
      <c r="B3" s="1004">
        <v>2001</v>
      </c>
      <c r="C3" s="1004">
        <v>2023</v>
      </c>
      <c r="D3" s="1004" t="s">
        <v>19</v>
      </c>
      <c r="E3" s="1005" t="s">
        <v>1231</v>
      </c>
      <c r="F3" s="1005" t="s">
        <v>1232</v>
      </c>
      <c r="G3" s="1005" t="s">
        <v>1233</v>
      </c>
      <c r="H3" s="1006" t="s">
        <v>1234</v>
      </c>
      <c r="I3" s="1005" t="s">
        <v>106</v>
      </c>
      <c r="J3" s="1005" t="s">
        <v>551</v>
      </c>
      <c r="K3" s="1007" t="s">
        <v>1235</v>
      </c>
      <c r="L3" s="1008">
        <f>IFERROR(MATCH(K3,OFFER_METHOD,0),0)</f>
        <v>0</v>
      </c>
      <c r="M3" s="1007">
        <v>2</v>
      </c>
      <c r="N3" s="1088" t="s">
        <v>1236</v>
      </c>
      <c r="O3" s="1006" t="s">
        <v>1237</v>
      </c>
      <c r="P3" s="1009" t="s">
        <v>1238</v>
      </c>
      <c r="Q3" s="1010" t="s">
        <v>1239</v>
      </c>
      <c r="R3" s="81" t="s">
        <v>1240</v>
      </c>
      <c r="S3" s="81" t="s">
        <v>1241</v>
      </c>
      <c r="T3" s="1011" t="s">
        <v>1242</v>
      </c>
      <c r="U3" s="1008" t="s">
        <v>1243</v>
      </c>
      <c r="V3" s="1012">
        <v>2</v>
      </c>
      <c r="W3" s="1013"/>
      <c r="X3" s="1013" t="s">
        <v>1244</v>
      </c>
      <c r="Y3" s="1004" t="s">
        <v>1218</v>
      </c>
      <c r="Z3" s="1014"/>
      <c r="AA3" s="1004" t="s">
        <v>1245</v>
      </c>
      <c r="AB3" s="1015" t="s">
        <v>1245</v>
      </c>
      <c r="AC3" s="1004" t="s">
        <v>1246</v>
      </c>
      <c r="AD3" s="1015" t="s">
        <v>1246</v>
      </c>
      <c r="AF3" s="1006" t="s">
        <v>1243</v>
      </c>
      <c r="AH3" s="1005" t="s">
        <v>1247</v>
      </c>
      <c r="AI3" s="1005" t="s">
        <v>1248</v>
      </c>
      <c r="AK3" s="1005" t="s">
        <v>1249</v>
      </c>
      <c r="AM3" s="1005" t="s">
        <v>1250</v>
      </c>
      <c r="AP3" s="1016" t="s">
        <v>1251</v>
      </c>
      <c r="AQ3" s="1017" t="s">
        <v>1251</v>
      </c>
      <c r="AS3" s="1004" t="s">
        <v>1252</v>
      </c>
      <c r="AU3" s="1046" t="s">
        <v>1253</v>
      </c>
      <c r="AW3" s="1046" t="s">
        <v>1254</v>
      </c>
      <c r="AX3" s="1046" t="s">
        <v>1254</v>
      </c>
      <c r="AZ3" s="1046" t="s">
        <v>1255</v>
      </c>
      <c r="BB3" s="1046" t="s">
        <v>1256</v>
      </c>
      <c r="BC3" s="1046" t="s">
        <v>1228</v>
      </c>
      <c r="BE3" s="1046">
        <v>2001</v>
      </c>
      <c r="BF3" s="1046" t="s">
        <v>1257</v>
      </c>
      <c r="BH3" s="996" t="s">
        <v>1258</v>
      </c>
      <c r="BJ3" s="996" t="s">
        <v>1259</v>
      </c>
      <c r="BL3" s="996" t="s">
        <v>1260</v>
      </c>
      <c r="BN3" s="996" t="s">
        <v>1261</v>
      </c>
      <c r="BR3" s="996" t="s">
        <v>1262</v>
      </c>
      <c r="BS3" s="1354"/>
      <c r="BT3" s="999"/>
      <c r="BU3" s="996" t="s">
        <v>1263</v>
      </c>
      <c r="BV3" s="999"/>
      <c r="BW3" s="1616"/>
      <c r="BX3" s="1618" t="s">
        <v>1264</v>
      </c>
      <c r="CA3" s="996" t="s">
        <v>1265</v>
      </c>
    </row>
    <row r="4" spans="1:79" ht="11.25" customHeight="1">
      <c r="A4" s="1003" t="s">
        <v>1266</v>
      </c>
      <c r="B4" s="1004">
        <v>2002</v>
      </c>
      <c r="C4" s="1004">
        <v>2024</v>
      </c>
      <c r="E4" s="1005" t="s">
        <v>1267</v>
      </c>
      <c r="F4" s="1005" t="s">
        <v>1268</v>
      </c>
      <c r="H4" s="1006" t="s">
        <v>1269</v>
      </c>
      <c r="I4" s="1005" t="s">
        <v>86</v>
      </c>
      <c r="J4" s="1005" t="s">
        <v>1270</v>
      </c>
      <c r="K4" s="1007" t="s">
        <v>1271</v>
      </c>
      <c r="L4" s="1008">
        <f>IFERROR(MATCH(K4,OFFER_METHOD,0),0)</f>
        <v>0</v>
      </c>
      <c r="M4" s="1007">
        <v>3</v>
      </c>
      <c r="N4" s="1088" t="s">
        <v>1272</v>
      </c>
      <c r="O4" s="1005" t="s">
        <v>1273</v>
      </c>
      <c r="Q4" s="1010" t="s">
        <v>1274</v>
      </c>
      <c r="R4" s="81" t="s">
        <v>1275</v>
      </c>
      <c r="S4" s="81" t="s">
        <v>1276</v>
      </c>
      <c r="T4" s="1011" t="s">
        <v>1277</v>
      </c>
      <c r="U4" s="1008" t="s">
        <v>1278</v>
      </c>
      <c r="V4" s="1012">
        <v>3</v>
      </c>
      <c r="W4" s="1013"/>
      <c r="X4" s="1013" t="s">
        <v>1279</v>
      </c>
      <c r="Y4" s="1004" t="s">
        <v>1218</v>
      </c>
      <c r="Z4" s="1019"/>
      <c r="AC4" s="1004" t="s">
        <v>1280</v>
      </c>
      <c r="AD4" s="1015" t="s">
        <v>1280</v>
      </c>
      <c r="AF4" s="1006" t="s">
        <v>1278</v>
      </c>
      <c r="AH4" s="1006" t="s">
        <v>1281</v>
      </c>
      <c r="AK4" s="1005" t="s">
        <v>1282</v>
      </c>
      <c r="AM4" s="1005" t="s">
        <v>1283</v>
      </c>
      <c r="AP4" s="1016" t="s">
        <v>1244</v>
      </c>
      <c r="AQ4" s="1017" t="s">
        <v>1244</v>
      </c>
      <c r="AS4" s="1004" t="s">
        <v>1284</v>
      </c>
      <c r="AU4" s="1046" t="s">
        <v>1285</v>
      </c>
      <c r="AW4" s="1046" t="s">
        <v>1286</v>
      </c>
      <c r="AX4" s="1046" t="s">
        <v>1286</v>
      </c>
      <c r="AZ4" s="1046" t="s">
        <v>1287</v>
      </c>
      <c r="BB4" s="1046" t="s">
        <v>1288</v>
      </c>
      <c r="BC4" s="1046" t="s">
        <v>1289</v>
      </c>
      <c r="BE4" s="1046">
        <v>2002</v>
      </c>
      <c r="BF4" s="1046" t="s">
        <v>1290</v>
      </c>
      <c r="BH4" s="997" t="s">
        <v>1291</v>
      </c>
      <c r="BJ4" s="997" t="s">
        <v>1291</v>
      </c>
      <c r="BL4" s="997" t="s">
        <v>1291</v>
      </c>
      <c r="BN4" s="997" t="s">
        <v>1291</v>
      </c>
      <c r="BQ4" s="1358" t="s">
        <v>1292</v>
      </c>
      <c r="BR4" s="1085" t="s">
        <v>1293</v>
      </c>
      <c r="BS4" s="211"/>
      <c r="BT4" s="1358" t="s">
        <v>1294</v>
      </c>
      <c r="BU4" s="1085" t="s">
        <v>1295</v>
      </c>
      <c r="BV4" s="999"/>
      <c r="BW4" s="1623" t="s">
        <v>1296</v>
      </c>
      <c r="BX4" s="1617" t="s">
        <v>1297</v>
      </c>
      <c r="BZ4" s="1358" t="s">
        <v>1298</v>
      </c>
      <c r="CA4" s="1085" t="s">
        <v>1299</v>
      </c>
    </row>
    <row r="5" spans="1:79" ht="11.25" customHeight="1">
      <c r="A5" s="1003" t="s">
        <v>1300</v>
      </c>
      <c r="B5" s="1004">
        <v>2003</v>
      </c>
      <c r="C5" s="1004">
        <v>2025</v>
      </c>
      <c r="E5" s="1005" t="s">
        <v>1301</v>
      </c>
      <c r="F5" s="1005" t="s">
        <v>35</v>
      </c>
      <c r="H5" s="1006" t="s">
        <v>1302</v>
      </c>
      <c r="I5" s="1005" t="s">
        <v>87</v>
      </c>
      <c r="K5" s="1007" t="s">
        <v>1303</v>
      </c>
      <c r="L5" s="1008">
        <f>IFERROR(MATCH(K5,OFFER_METHOD,0),0)</f>
        <v>0</v>
      </c>
      <c r="M5" s="1007">
        <v>4</v>
      </c>
      <c r="N5" s="1020" t="s">
        <v>1304</v>
      </c>
      <c r="O5" s="1005" t="s">
        <v>1305</v>
      </c>
      <c r="Q5" s="1010" t="s">
        <v>1306</v>
      </c>
      <c r="R5" s="81" t="s">
        <v>1307</v>
      </c>
      <c r="T5" s="1006" t="s">
        <v>1308</v>
      </c>
      <c r="U5" s="1008" t="s">
        <v>1309</v>
      </c>
      <c r="V5" s="1012">
        <v>4</v>
      </c>
      <c r="W5" s="1013"/>
      <c r="X5" s="1013" t="s">
        <v>163</v>
      </c>
      <c r="Y5" s="1004" t="s">
        <v>1310</v>
      </c>
      <c r="Z5" s="1019">
        <v>1</v>
      </c>
      <c r="AF5" s="1006" t="s">
        <v>1311</v>
      </c>
      <c r="AH5" s="1005" t="s">
        <v>1312</v>
      </c>
      <c r="AK5" s="1005" t="s">
        <v>1313</v>
      </c>
      <c r="AM5" s="1005" t="s">
        <v>1314</v>
      </c>
      <c r="AP5" s="1016" t="s">
        <v>163</v>
      </c>
      <c r="AQ5" s="1017" t="s">
        <v>163</v>
      </c>
      <c r="AU5" s="1046" t="s">
        <v>1315</v>
      </c>
      <c r="AW5" s="1046" t="s">
        <v>1316</v>
      </c>
      <c r="AX5" s="1046" t="s">
        <v>1316</v>
      </c>
      <c r="AZ5" s="1046" t="s">
        <v>1317</v>
      </c>
      <c r="BB5" s="1046" t="s">
        <v>1318</v>
      </c>
      <c r="BC5" s="1046" t="s">
        <v>1319</v>
      </c>
      <c r="BE5" s="1046">
        <v>2003</v>
      </c>
      <c r="BF5" s="1046" t="s">
        <v>1320</v>
      </c>
      <c r="BH5" s="997" t="s">
        <v>1321</v>
      </c>
      <c r="BJ5" s="997" t="s">
        <v>1321</v>
      </c>
      <c r="BL5" s="997" t="s">
        <v>1321</v>
      </c>
      <c r="BN5" s="997" t="s">
        <v>1322</v>
      </c>
      <c r="BQ5" s="1207">
        <v>4213775</v>
      </c>
      <c r="BR5" s="997" t="s">
        <v>1217</v>
      </c>
      <c r="BS5" s="1355"/>
      <c r="BT5" s="1207">
        <v>64236871</v>
      </c>
      <c r="BU5" s="997" t="s">
        <v>224</v>
      </c>
      <c r="BV5" s="999"/>
      <c r="BW5" s="1621">
        <v>4213767</v>
      </c>
      <c r="BX5" s="1619" t="s">
        <v>1323</v>
      </c>
      <c r="BZ5" s="1207">
        <v>64237509</v>
      </c>
      <c r="CA5" s="1221" t="s">
        <v>1324</v>
      </c>
    </row>
    <row r="6" spans="1:79" ht="11.25" customHeight="1">
      <c r="A6" s="1003" t="s">
        <v>1325</v>
      </c>
      <c r="B6" s="1004">
        <v>2004</v>
      </c>
      <c r="C6" s="1004">
        <v>2026</v>
      </c>
      <c r="E6" s="1005" t="s">
        <v>1326</v>
      </c>
      <c r="F6" s="1021"/>
      <c r="H6" s="1006" t="s">
        <v>1327</v>
      </c>
      <c r="I6" s="1005" t="s">
        <v>107</v>
      </c>
      <c r="J6" s="996" t="s">
        <v>1328</v>
      </c>
      <c r="L6" s="1008">
        <f>SUM(kind_of_control_method_filter)</f>
        <v>0</v>
      </c>
      <c r="N6" s="1020" t="s">
        <v>1329</v>
      </c>
      <c r="O6" s="1005" t="s">
        <v>1330</v>
      </c>
      <c r="R6" s="81" t="s">
        <v>1212</v>
      </c>
      <c r="T6" s="1006" t="s">
        <v>1331</v>
      </c>
      <c r="U6" s="1008" t="s">
        <v>1311</v>
      </c>
      <c r="V6" s="1012">
        <v>5</v>
      </c>
      <c r="W6" s="1013"/>
      <c r="X6" s="1004" t="s">
        <v>169</v>
      </c>
      <c r="Y6" s="1004" t="s">
        <v>1332</v>
      </c>
      <c r="Z6" s="1019"/>
      <c r="AA6" s="1022"/>
      <c r="AH6" s="1005" t="s">
        <v>1333</v>
      </c>
      <c r="AK6" s="1005" t="s">
        <v>1334</v>
      </c>
      <c r="AM6" s="1005" t="s">
        <v>1335</v>
      </c>
      <c r="AP6" s="1016" t="s">
        <v>169</v>
      </c>
      <c r="AQ6" s="1017" t="s">
        <v>169</v>
      </c>
      <c r="AU6" s="1046" t="s">
        <v>1336</v>
      </c>
      <c r="AW6" s="1046" t="s">
        <v>1337</v>
      </c>
      <c r="AX6" s="1046" t="s">
        <v>1337</v>
      </c>
      <c r="BB6" s="1046" t="s">
        <v>1338</v>
      </c>
      <c r="BC6" s="1046" t="s">
        <v>1319</v>
      </c>
      <c r="BE6" s="1046">
        <v>2004</v>
      </c>
      <c r="BF6" s="1046" t="s">
        <v>1339</v>
      </c>
      <c r="BH6" s="997" t="s">
        <v>1340</v>
      </c>
      <c r="BJ6" s="997" t="s">
        <v>1341</v>
      </c>
      <c r="BL6" s="997" t="s">
        <v>1341</v>
      </c>
      <c r="BN6" s="997" t="s">
        <v>1342</v>
      </c>
      <c r="BQ6" s="1207">
        <v>4213784</v>
      </c>
      <c r="BR6" s="1221" t="s">
        <v>1251</v>
      </c>
      <c r="BS6" s="1356"/>
      <c r="BT6" s="1207">
        <v>64236872</v>
      </c>
      <c r="BU6" s="997" t="s">
        <v>229</v>
      </c>
      <c r="BV6" s="999"/>
      <c r="BW6" s="1621">
        <v>4213768</v>
      </c>
      <c r="BX6" s="1619" t="s">
        <v>249</v>
      </c>
      <c r="BZ6" s="1207">
        <v>64237510</v>
      </c>
      <c r="CA6" s="997" t="s">
        <v>1343</v>
      </c>
    </row>
    <row r="7" spans="1:79" ht="11.25" customHeight="1">
      <c r="A7" s="1003" t="s">
        <v>1344</v>
      </c>
      <c r="B7" s="1004">
        <v>2005</v>
      </c>
      <c r="E7" s="1005" t="s">
        <v>1345</v>
      </c>
      <c r="F7" s="1021"/>
      <c r="H7" s="1006" t="s">
        <v>1346</v>
      </c>
      <c r="I7" s="1005" t="s">
        <v>88</v>
      </c>
      <c r="J7" s="1005" t="s">
        <v>1347</v>
      </c>
      <c r="N7" s="1024" t="s">
        <v>1348</v>
      </c>
      <c r="O7" s="1005" t="s">
        <v>1349</v>
      </c>
      <c r="U7" s="1008" t="s">
        <v>19</v>
      </c>
      <c r="V7" s="306" t="s">
        <v>88</v>
      </c>
      <c r="W7" s="1013"/>
      <c r="X7" s="1004" t="s">
        <v>175</v>
      </c>
      <c r="Y7" s="1004" t="s">
        <v>1310</v>
      </c>
      <c r="Z7" s="1019"/>
      <c r="AA7" s="1022"/>
      <c r="AH7" s="1005" t="s">
        <v>1350</v>
      </c>
      <c r="AK7" s="1005" t="s">
        <v>1351</v>
      </c>
      <c r="AM7" s="1005" t="s">
        <v>1352</v>
      </c>
      <c r="AP7" s="1016" t="s">
        <v>175</v>
      </c>
      <c r="AQ7" s="1017" t="s">
        <v>175</v>
      </c>
      <c r="AU7" s="1046" t="s">
        <v>1353</v>
      </c>
      <c r="AW7" s="1046" t="s">
        <v>1354</v>
      </c>
      <c r="AX7" s="1046" t="s">
        <v>1354</v>
      </c>
      <c r="AZ7" s="996" t="s">
        <v>1355</v>
      </c>
      <c r="BB7" s="1046" t="s">
        <v>1356</v>
      </c>
      <c r="BC7" s="1046" t="s">
        <v>1319</v>
      </c>
      <c r="BE7" s="1046">
        <v>2005</v>
      </c>
      <c r="BF7" s="1046" t="s">
        <v>1357</v>
      </c>
      <c r="BH7" s="997" t="s">
        <v>1358</v>
      </c>
      <c r="BJ7" s="997" t="s">
        <v>1340</v>
      </c>
      <c r="BL7" s="997" t="s">
        <v>1340</v>
      </c>
      <c r="BN7" s="997" t="s">
        <v>1359</v>
      </c>
      <c r="BQ7" s="1207">
        <v>4213781</v>
      </c>
      <c r="BR7" s="997" t="s">
        <v>1244</v>
      </c>
      <c r="BS7" s="1355"/>
      <c r="BT7" s="1207">
        <v>64236873</v>
      </c>
      <c r="BU7" s="997" t="s">
        <v>234</v>
      </c>
      <c r="BV7" s="999"/>
      <c r="BW7" s="1621">
        <v>4213769</v>
      </c>
      <c r="BX7" s="1619" t="s">
        <v>1360</v>
      </c>
      <c r="BZ7" s="1207">
        <v>64237511</v>
      </c>
      <c r="CA7" s="997" t="s">
        <v>264</v>
      </c>
    </row>
    <row r="8" spans="1:79" ht="11.25" customHeight="1">
      <c r="A8" s="1003" t="s">
        <v>1361</v>
      </c>
      <c r="B8" s="1004">
        <v>2006</v>
      </c>
      <c r="E8" s="1005" t="s">
        <v>1362</v>
      </c>
      <c r="F8" s="1021"/>
      <c r="H8" s="1006" t="s">
        <v>1363</v>
      </c>
      <c r="I8" s="1005" t="s">
        <v>89</v>
      </c>
      <c r="J8" s="1005" t="s">
        <v>1364</v>
      </c>
      <c r="N8" s="1089" t="s">
        <v>1365</v>
      </c>
      <c r="O8" s="1005" t="s">
        <v>1366</v>
      </c>
      <c r="V8" s="306" t="s">
        <v>89</v>
      </c>
      <c r="W8" s="1013"/>
      <c r="X8" s="1004" t="s">
        <v>181</v>
      </c>
      <c r="Y8" s="1004" t="s">
        <v>1310</v>
      </c>
      <c r="Z8" s="1019"/>
      <c r="AA8" s="1022"/>
      <c r="AK8" s="1005" t="s">
        <v>1367</v>
      </c>
      <c r="AP8" s="1016" t="s">
        <v>181</v>
      </c>
      <c r="AQ8" s="1017" t="s">
        <v>181</v>
      </c>
      <c r="AU8" s="1046" t="s">
        <v>1368</v>
      </c>
      <c r="AW8" s="1046" t="s">
        <v>1369</v>
      </c>
      <c r="AX8" s="1046" t="s">
        <v>1369</v>
      </c>
      <c r="AZ8" s="1046" t="s">
        <v>1370</v>
      </c>
      <c r="BB8" s="1046" t="s">
        <v>1371</v>
      </c>
      <c r="BC8" s="1046" t="s">
        <v>1319</v>
      </c>
      <c r="BE8" s="1046">
        <v>2006</v>
      </c>
      <c r="BF8" s="1046" t="s">
        <v>1372</v>
      </c>
      <c r="BH8" s="997" t="s">
        <v>1373</v>
      </c>
      <c r="BJ8" s="997" t="s">
        <v>1374</v>
      </c>
      <c r="BL8" s="997" t="s">
        <v>1374</v>
      </c>
      <c r="BN8" s="997" t="s">
        <v>1375</v>
      </c>
      <c r="BQ8" s="1207">
        <v>4213776</v>
      </c>
      <c r="BR8" s="997" t="s">
        <v>163</v>
      </c>
      <c r="BS8" s="1355"/>
      <c r="BT8" s="1207">
        <v>64236874</v>
      </c>
      <c r="BU8" s="1221" t="s">
        <v>1376</v>
      </c>
      <c r="BV8" s="999"/>
      <c r="BW8" s="1621">
        <v>4213770</v>
      </c>
      <c r="BX8" s="1622" t="s">
        <v>1377</v>
      </c>
      <c r="BZ8" s="1207">
        <v>64237512</v>
      </c>
      <c r="CA8" s="997" t="s">
        <v>259</v>
      </c>
    </row>
    <row r="9" spans="1:79" ht="11.25" customHeight="1">
      <c r="A9" s="1003" t="s">
        <v>1378</v>
      </c>
      <c r="B9" s="1004">
        <v>2007</v>
      </c>
      <c r="E9" s="1005" t="s">
        <v>1379</v>
      </c>
      <c r="F9" s="1021"/>
      <c r="G9" s="996" t="s">
        <v>1380</v>
      </c>
      <c r="H9" s="996" t="s">
        <v>1381</v>
      </c>
      <c r="I9" s="1005" t="s">
        <v>108</v>
      </c>
      <c r="O9" s="1005" t="s">
        <v>1382</v>
      </c>
      <c r="V9" s="306" t="s">
        <v>108</v>
      </c>
      <c r="W9" s="1013"/>
      <c r="X9" s="1004" t="s">
        <v>187</v>
      </c>
      <c r="Y9" s="1004" t="s">
        <v>1218</v>
      </c>
      <c r="Z9" s="1019">
        <v>1</v>
      </c>
      <c r="AA9" s="1022"/>
      <c r="AK9" s="1005" t="s">
        <v>1383</v>
      </c>
      <c r="AP9" s="1016" t="s">
        <v>1384</v>
      </c>
      <c r="AQ9" s="1017" t="s">
        <v>1384</v>
      </c>
      <c r="AW9" s="1046" t="s">
        <v>1385</v>
      </c>
      <c r="AX9" s="1046" t="s">
        <v>1385</v>
      </c>
      <c r="AZ9" s="1046" t="s">
        <v>1386</v>
      </c>
      <c r="BB9" s="1046" t="s">
        <v>1387</v>
      </c>
      <c r="BC9" s="1046" t="s">
        <v>1319</v>
      </c>
      <c r="BE9" s="1046">
        <v>2007</v>
      </c>
      <c r="BF9" s="1046" t="s">
        <v>1388</v>
      </c>
      <c r="BH9" s="997" t="s">
        <v>1389</v>
      </c>
      <c r="BJ9" s="997" t="s">
        <v>1390</v>
      </c>
      <c r="BL9" s="997" t="s">
        <v>1390</v>
      </c>
      <c r="BN9" s="997" t="s">
        <v>1391</v>
      </c>
      <c r="BQ9" s="1207">
        <v>4213777</v>
      </c>
      <c r="BR9" s="997" t="s">
        <v>169</v>
      </c>
      <c r="BS9" s="1355"/>
      <c r="BT9" s="1207">
        <v>64236875</v>
      </c>
      <c r="BU9" s="997" t="s">
        <v>239</v>
      </c>
      <c r="BV9" s="999"/>
      <c r="BW9" s="1616"/>
      <c r="BX9" s="1616"/>
    </row>
    <row r="10" spans="1:79" ht="11.25" customHeight="1">
      <c r="A10" s="1003" t="s">
        <v>1392</v>
      </c>
      <c r="B10" s="1004">
        <v>2008</v>
      </c>
      <c r="E10" s="1005" t="s">
        <v>1393</v>
      </c>
      <c r="F10" s="1021"/>
      <c r="G10" s="1005" t="s">
        <v>1394</v>
      </c>
      <c r="H10" s="1005" t="s">
        <v>1395</v>
      </c>
      <c r="I10" s="1005" t="s">
        <v>145</v>
      </c>
      <c r="J10" s="996" t="s">
        <v>1396</v>
      </c>
      <c r="K10" s="996" t="s">
        <v>1397</v>
      </c>
      <c r="O10" s="1005" t="s">
        <v>1398</v>
      </c>
      <c r="V10" s="307" t="s">
        <v>145</v>
      </c>
      <c r="W10" s="1025"/>
      <c r="X10" s="1025" t="s">
        <v>1399</v>
      </c>
      <c r="Y10" s="1026" t="s">
        <v>1400</v>
      </c>
      <c r="Z10" s="1019"/>
      <c r="AP10" s="1016" t="s">
        <v>1399</v>
      </c>
      <c r="AQ10" s="1017" t="s">
        <v>1399</v>
      </c>
      <c r="AW10" s="1046" t="s">
        <v>1401</v>
      </c>
      <c r="AX10" s="1046" t="s">
        <v>1401</v>
      </c>
      <c r="AZ10" s="1046" t="s">
        <v>1402</v>
      </c>
      <c r="BB10" s="1046" t="s">
        <v>1403</v>
      </c>
      <c r="BC10" s="1046" t="s">
        <v>1319</v>
      </c>
      <c r="BE10" s="1046">
        <v>2008</v>
      </c>
      <c r="BF10" s="1046" t="s">
        <v>1404</v>
      </c>
      <c r="BH10" s="997" t="s">
        <v>1405</v>
      </c>
      <c r="BJ10" s="997" t="s">
        <v>1406</v>
      </c>
      <c r="BL10" s="997" t="s">
        <v>1406</v>
      </c>
      <c r="BN10" s="997" t="s">
        <v>1407</v>
      </c>
      <c r="BQ10" s="1207">
        <v>4213778</v>
      </c>
      <c r="BR10" s="997" t="s">
        <v>175</v>
      </c>
      <c r="BS10" s="1355"/>
      <c r="BT10" s="1207">
        <v>64236876</v>
      </c>
      <c r="BU10" s="997" t="s">
        <v>219</v>
      </c>
      <c r="BV10" s="999"/>
      <c r="BW10" s="1616"/>
      <c r="BX10" s="1616"/>
    </row>
    <row r="11" spans="1:79" ht="11.25" customHeight="1">
      <c r="A11" s="1003" t="s">
        <v>1408</v>
      </c>
      <c r="B11" s="1004">
        <v>2009</v>
      </c>
      <c r="E11" s="1005" t="s">
        <v>1409</v>
      </c>
      <c r="F11" s="1021"/>
      <c r="G11" s="1005" t="s">
        <v>1410</v>
      </c>
      <c r="H11" s="1005" t="s">
        <v>1411</v>
      </c>
      <c r="I11" s="1005" t="s">
        <v>146</v>
      </c>
      <c r="J11" s="1006" t="s">
        <v>1412</v>
      </c>
      <c r="K11" s="1027" t="s">
        <v>1413</v>
      </c>
      <c r="O11" s="1006" t="s">
        <v>1414</v>
      </c>
      <c r="V11" s="306" t="s">
        <v>146</v>
      </c>
      <c r="W11" s="212"/>
      <c r="X11" s="1013" t="s">
        <v>1384</v>
      </c>
      <c r="Y11" s="1004" t="s">
        <v>1415</v>
      </c>
      <c r="Z11" s="1019"/>
      <c r="AP11" s="1016" t="s">
        <v>187</v>
      </c>
      <c r="AQ11" s="1018" t="s">
        <v>187</v>
      </c>
      <c r="AW11" s="1046" t="s">
        <v>1416</v>
      </c>
      <c r="AX11" s="1046" t="s">
        <v>1416</v>
      </c>
      <c r="AZ11" s="1046" t="s">
        <v>1417</v>
      </c>
      <c r="BB11" s="1046" t="s">
        <v>1418</v>
      </c>
      <c r="BC11" s="1046" t="s">
        <v>1319</v>
      </c>
      <c r="BE11" s="1046">
        <v>2009</v>
      </c>
      <c r="BF11" s="1046" t="s">
        <v>1419</v>
      </c>
      <c r="BH11" s="997" t="s">
        <v>1420</v>
      </c>
      <c r="BJ11" s="997" t="s">
        <v>1389</v>
      </c>
      <c r="BL11" s="997" t="s">
        <v>1389</v>
      </c>
      <c r="BN11" s="997" t="s">
        <v>1421</v>
      </c>
      <c r="BQ11" s="1207">
        <v>4213780</v>
      </c>
      <c r="BR11" s="997" t="s">
        <v>181</v>
      </c>
      <c r="BS11" s="1355"/>
      <c r="BW11" s="1616"/>
      <c r="BX11" s="1616"/>
    </row>
    <row r="12" spans="1:79" ht="11.25" customHeight="1">
      <c r="A12" s="1003" t="s">
        <v>1422</v>
      </c>
      <c r="B12" s="1004">
        <v>2010</v>
      </c>
      <c r="E12" s="1005" t="s">
        <v>1423</v>
      </c>
      <c r="F12" s="1021"/>
      <c r="G12" s="1005" t="s">
        <v>1411</v>
      </c>
      <c r="I12" s="1005" t="s">
        <v>147</v>
      </c>
      <c r="J12" s="1006" t="s">
        <v>1424</v>
      </c>
      <c r="K12" s="1027" t="s">
        <v>1425</v>
      </c>
      <c r="O12" s="1006" t="s">
        <v>1212</v>
      </c>
      <c r="V12" s="306" t="s">
        <v>147</v>
      </c>
      <c r="W12" s="1018"/>
      <c r="X12" s="1013" t="s">
        <v>1426</v>
      </c>
      <c r="Y12" s="1004" t="s">
        <v>1218</v>
      </c>
      <c r="AP12" s="1016"/>
      <c r="AW12" s="1046" t="s">
        <v>146</v>
      </c>
      <c r="AX12" s="1046" t="s">
        <v>146</v>
      </c>
      <c r="AZ12" s="1046" t="s">
        <v>1427</v>
      </c>
      <c r="BB12" s="1046" t="s">
        <v>1428</v>
      </c>
      <c r="BC12" s="1046" t="s">
        <v>1319</v>
      </c>
      <c r="BE12" s="1046">
        <v>2010</v>
      </c>
      <c r="BF12" s="1046" t="s">
        <v>1429</v>
      </c>
      <c r="BH12" s="997" t="s">
        <v>1430</v>
      </c>
      <c r="BJ12" s="997" t="s">
        <v>1431</v>
      </c>
      <c r="BL12" s="997" t="s">
        <v>1431</v>
      </c>
      <c r="BN12" s="997" t="s">
        <v>1432</v>
      </c>
      <c r="BQ12" s="1207">
        <v>4213779</v>
      </c>
      <c r="BR12" s="997" t="s">
        <v>1384</v>
      </c>
      <c r="BS12" s="1355"/>
      <c r="BT12" s="999"/>
      <c r="BU12" s="999"/>
      <c r="BV12" s="999"/>
      <c r="BW12" s="1616"/>
      <c r="BX12" s="1616"/>
    </row>
    <row r="13" spans="1:79" ht="11.25" customHeight="1">
      <c r="A13" s="1003" t="s">
        <v>1433</v>
      </c>
      <c r="B13" s="1004">
        <v>2011</v>
      </c>
      <c r="E13" s="1005" t="s">
        <v>1434</v>
      </c>
      <c r="F13" s="1021"/>
      <c r="I13" s="1005" t="s">
        <v>148</v>
      </c>
      <c r="K13" s="1027" t="s">
        <v>1383</v>
      </c>
      <c r="V13" s="306" t="s">
        <v>148</v>
      </c>
      <c r="W13" s="1018"/>
      <c r="X13" s="1018"/>
      <c r="Y13" s="1018"/>
      <c r="AW13" s="1046" t="s">
        <v>147</v>
      </c>
      <c r="AX13" s="1046" t="s">
        <v>147</v>
      </c>
      <c r="BB13" s="1046" t="s">
        <v>1435</v>
      </c>
      <c r="BC13" s="1046" t="s">
        <v>1436</v>
      </c>
      <c r="BE13" s="1046">
        <v>2011</v>
      </c>
      <c r="BF13" s="1046" t="s">
        <v>1437</v>
      </c>
      <c r="BH13" s="997" t="s">
        <v>1438</v>
      </c>
      <c r="BJ13" s="997" t="s">
        <v>1420</v>
      </c>
      <c r="BL13" s="997" t="s">
        <v>1420</v>
      </c>
      <c r="BN13" s="997" t="s">
        <v>1439</v>
      </c>
      <c r="BQ13" s="1207">
        <v>4213783</v>
      </c>
      <c r="BR13" s="997" t="s">
        <v>1399</v>
      </c>
      <c r="BS13" s="1355"/>
      <c r="BT13" s="999"/>
      <c r="BU13" s="999"/>
      <c r="BV13" s="999"/>
      <c r="BW13" s="1620"/>
      <c r="BX13" s="1616"/>
    </row>
    <row r="14" spans="1:79" ht="11.25" customHeight="1">
      <c r="A14" s="1003" t="s">
        <v>1440</v>
      </c>
      <c r="B14" s="1004">
        <v>2012</v>
      </c>
      <c r="I14" s="1005" t="s">
        <v>149</v>
      </c>
      <c r="J14" s="996" t="s">
        <v>1441</v>
      </c>
      <c r="N14" s="996" t="s">
        <v>1442</v>
      </c>
      <c r="V14" s="1012">
        <v>13</v>
      </c>
      <c r="W14" s="1013"/>
      <c r="X14" s="1013" t="s">
        <v>1251</v>
      </c>
      <c r="Y14" s="1004" t="s">
        <v>1218</v>
      </c>
      <c r="AW14" s="1046" t="s">
        <v>148</v>
      </c>
      <c r="AX14" s="1046" t="s">
        <v>148</v>
      </c>
      <c r="AZ14" s="996" t="s">
        <v>1443</v>
      </c>
      <c r="BB14" s="1046" t="s">
        <v>1444</v>
      </c>
      <c r="BC14" s="1046" t="s">
        <v>1436</v>
      </c>
      <c r="BE14" s="1046">
        <v>2012</v>
      </c>
      <c r="BH14" s="997" t="s">
        <v>1359</v>
      </c>
      <c r="BJ14" s="1143" t="s">
        <v>1445</v>
      </c>
      <c r="BL14" s="1143" t="s">
        <v>1445</v>
      </c>
      <c r="BN14" s="997" t="s">
        <v>1446</v>
      </c>
      <c r="BQ14" s="1207">
        <v>4213782</v>
      </c>
      <c r="BR14" s="997" t="s">
        <v>187</v>
      </c>
      <c r="BS14" s="1355"/>
      <c r="BT14" s="999"/>
      <c r="BU14" s="999"/>
      <c r="BV14" s="999"/>
      <c r="BW14" s="1620"/>
      <c r="BX14" s="1616"/>
    </row>
    <row r="15" spans="1:79" ht="19.5" customHeight="1">
      <c r="A15" s="1003" t="s">
        <v>1447</v>
      </c>
      <c r="B15" s="1004">
        <v>2013</v>
      </c>
      <c r="E15" s="1624" t="s">
        <v>1448</v>
      </c>
      <c r="G15" s="996" t="s">
        <v>1449</v>
      </c>
      <c r="H15" s="996" t="s">
        <v>1450</v>
      </c>
      <c r="I15" s="1007" t="s">
        <v>150</v>
      </c>
      <c r="J15" s="1018" t="s">
        <v>578</v>
      </c>
      <c r="N15" s="1084" t="s">
        <v>1451</v>
      </c>
      <c r="X15" s="1016"/>
      <c r="AW15" s="1046" t="s">
        <v>149</v>
      </c>
      <c r="AX15" s="1046" t="s">
        <v>149</v>
      </c>
      <c r="AZ15" s="1046" t="s">
        <v>1370</v>
      </c>
      <c r="BB15" s="1046" t="s">
        <v>1452</v>
      </c>
      <c r="BC15" s="1046" t="s">
        <v>1436</v>
      </c>
      <c r="BE15" s="1046">
        <v>2013</v>
      </c>
      <c r="BH15" s="997" t="s">
        <v>1375</v>
      </c>
      <c r="BJ15" s="1143" t="s">
        <v>1453</v>
      </c>
      <c r="BL15" s="1143" t="s">
        <v>1453</v>
      </c>
      <c r="BN15" s="997" t="s">
        <v>1454</v>
      </c>
      <c r="BR15" s="999"/>
      <c r="BS15" s="1357"/>
      <c r="BT15" s="999"/>
      <c r="BU15" s="999"/>
      <c r="BV15" s="999"/>
      <c r="BW15" s="1620"/>
      <c r="BX15" s="1616"/>
    </row>
    <row r="16" spans="1:79" ht="21" customHeight="1">
      <c r="A16" s="1795" t="s">
        <v>1455</v>
      </c>
      <c r="B16" s="1004">
        <v>2014</v>
      </c>
      <c r="E16" s="1625" t="s">
        <v>1456</v>
      </c>
      <c r="G16" s="1005" t="s">
        <v>1457</v>
      </c>
      <c r="H16" s="1005" t="s">
        <v>1458</v>
      </c>
      <c r="I16" s="1007" t="s">
        <v>1459</v>
      </c>
      <c r="J16" s="1018" t="s">
        <v>551</v>
      </c>
      <c r="N16" s="1084" t="s">
        <v>1460</v>
      </c>
      <c r="AW16" s="1046" t="s">
        <v>150</v>
      </c>
      <c r="AX16" s="1046" t="s">
        <v>150</v>
      </c>
      <c r="AZ16" s="1046" t="s">
        <v>1386</v>
      </c>
      <c r="BB16" s="1046" t="s">
        <v>1461</v>
      </c>
      <c r="BC16" s="1046" t="s">
        <v>1436</v>
      </c>
      <c r="BE16" s="1046">
        <v>2014</v>
      </c>
      <c r="BH16" s="997" t="s">
        <v>1391</v>
      </c>
      <c r="BJ16" s="1143" t="s">
        <v>1462</v>
      </c>
      <c r="BL16" s="1143" t="s">
        <v>1462</v>
      </c>
      <c r="BN16" s="997" t="s">
        <v>1463</v>
      </c>
      <c r="BR16" s="999"/>
      <c r="BS16" s="1357"/>
      <c r="BT16" s="999"/>
      <c r="BU16" s="999"/>
      <c r="BV16" s="999"/>
      <c r="BW16" s="1620"/>
      <c r="BX16" s="1616"/>
    </row>
    <row r="17" spans="1:82" ht="21" customHeight="1">
      <c r="A17" s="1003" t="s">
        <v>1464</v>
      </c>
      <c r="B17" s="1004">
        <v>2015</v>
      </c>
      <c r="G17" s="1005" t="s">
        <v>1411</v>
      </c>
      <c r="H17" s="1005" t="s">
        <v>1411</v>
      </c>
      <c r="I17" s="1005" t="s">
        <v>1465</v>
      </c>
      <c r="N17" s="1084" t="s">
        <v>1466</v>
      </c>
      <c r="X17" s="1016"/>
      <c r="AW17" s="1046" t="s">
        <v>1459</v>
      </c>
      <c r="AX17" s="1046" t="s">
        <v>1459</v>
      </c>
      <c r="AZ17" s="1046" t="s">
        <v>1467</v>
      </c>
      <c r="BB17" s="1046" t="s">
        <v>1468</v>
      </c>
      <c r="BC17" s="1046" t="s">
        <v>1319</v>
      </c>
      <c r="BE17" s="1046">
        <v>2015</v>
      </c>
      <c r="BH17" s="997" t="s">
        <v>1407</v>
      </c>
      <c r="BJ17" s="1143" t="s">
        <v>1469</v>
      </c>
      <c r="BL17" s="1143" t="s">
        <v>1469</v>
      </c>
      <c r="BN17" s="997" t="s">
        <v>1470</v>
      </c>
      <c r="BR17" s="996" t="s">
        <v>1262</v>
      </c>
      <c r="BS17" s="1354"/>
      <c r="BU17" s="996" t="s">
        <v>1471</v>
      </c>
      <c r="BV17" s="999"/>
      <c r="BW17" s="1616"/>
      <c r="BX17" s="1618" t="s">
        <v>1472</v>
      </c>
      <c r="CA17" s="996" t="s">
        <v>1473</v>
      </c>
      <c r="CD17" s="996" t="s">
        <v>1474</v>
      </c>
    </row>
    <row r="18" spans="1:82" ht="21" customHeight="1">
      <c r="A18" s="1003" t="s">
        <v>1475</v>
      </c>
      <c r="B18" s="1004">
        <v>2016</v>
      </c>
      <c r="E18" s="1927" t="s">
        <v>1476</v>
      </c>
      <c r="I18" s="1005" t="s">
        <v>1477</v>
      </c>
      <c r="N18" s="1084" t="s">
        <v>1478</v>
      </c>
      <c r="X18" s="1016"/>
      <c r="AW18" s="1046" t="s">
        <v>1465</v>
      </c>
      <c r="AX18" s="1046" t="s">
        <v>1465</v>
      </c>
      <c r="BB18" s="1046" t="s">
        <v>1479</v>
      </c>
      <c r="BC18" s="1046" t="s">
        <v>1319</v>
      </c>
      <c r="BE18" s="1046">
        <v>2016</v>
      </c>
      <c r="BH18" s="997" t="s">
        <v>1421</v>
      </c>
      <c r="BJ18" s="1143" t="s">
        <v>1480</v>
      </c>
      <c r="BL18" s="1143" t="s">
        <v>1480</v>
      </c>
      <c r="BN18" s="997" t="s">
        <v>1481</v>
      </c>
      <c r="BQ18" s="1358" t="s">
        <v>1292</v>
      </c>
      <c r="BR18" s="1085" t="s">
        <v>1293</v>
      </c>
      <c r="BS18" s="211"/>
      <c r="BT18" s="1358" t="s">
        <v>1482</v>
      </c>
      <c r="BU18" s="1085" t="s">
        <v>1483</v>
      </c>
      <c r="BV18" s="999"/>
      <c r="BW18" s="1623" t="s">
        <v>1484</v>
      </c>
      <c r="BX18" s="1617" t="s">
        <v>1485</v>
      </c>
      <c r="BZ18" s="1358" t="s">
        <v>1486</v>
      </c>
      <c r="CA18" s="1085" t="s">
        <v>1487</v>
      </c>
      <c r="CC18" s="1358" t="s">
        <v>1488</v>
      </c>
      <c r="CD18" s="1085" t="s">
        <v>1489</v>
      </c>
    </row>
    <row r="19" spans="1:82" ht="21" customHeight="1">
      <c r="A19" s="1795" t="s">
        <v>1490</v>
      </c>
      <c r="B19" s="1004">
        <v>2017</v>
      </c>
      <c r="E19" s="1003" t="s">
        <v>162</v>
      </c>
      <c r="I19" s="1005" t="s">
        <v>1491</v>
      </c>
      <c r="N19" s="1084" t="s">
        <v>1492</v>
      </c>
      <c r="X19" s="1016"/>
      <c r="AW19" s="1046" t="s">
        <v>1477</v>
      </c>
      <c r="AX19" s="1046" t="s">
        <v>1477</v>
      </c>
      <c r="AZ19" s="996" t="s">
        <v>1493</v>
      </c>
      <c r="BB19" s="1046" t="s">
        <v>1494</v>
      </c>
      <c r="BC19" s="1046" t="s">
        <v>1319</v>
      </c>
      <c r="BE19" s="1046">
        <v>2017</v>
      </c>
      <c r="BH19" s="997" t="s">
        <v>1495</v>
      </c>
      <c r="BJ19" s="1143" t="s">
        <v>1496</v>
      </c>
      <c r="BL19" s="1143" t="s">
        <v>1496</v>
      </c>
      <c r="BQ19" s="1207">
        <v>4190064</v>
      </c>
      <c r="BR19" s="997" t="s">
        <v>1497</v>
      </c>
      <c r="BS19" s="1355"/>
      <c r="BT19" s="1207">
        <v>4189671</v>
      </c>
      <c r="BU19" s="997" t="s">
        <v>1498</v>
      </c>
      <c r="BV19" s="999"/>
      <c r="BW19" s="1621">
        <v>4189706</v>
      </c>
      <c r="BX19" s="1619" t="s">
        <v>1499</v>
      </c>
      <c r="BZ19" s="1207">
        <v>4189714</v>
      </c>
      <c r="CA19" s="997" t="s">
        <v>1500</v>
      </c>
      <c r="CC19" s="1207">
        <v>4189708</v>
      </c>
      <c r="CD19" s="997" t="s">
        <v>1501</v>
      </c>
    </row>
    <row r="20" spans="1:82" ht="21" customHeight="1">
      <c r="A20" s="1003" t="s">
        <v>1502</v>
      </c>
      <c r="B20" s="1004">
        <v>2018</v>
      </c>
      <c r="E20" s="1003" t="s">
        <v>1251</v>
      </c>
      <c r="I20" s="1005" t="s">
        <v>1503</v>
      </c>
      <c r="N20" s="1084" t="s">
        <v>1504</v>
      </c>
      <c r="AW20" s="1046" t="s">
        <v>1491</v>
      </c>
      <c r="AX20" s="1046" t="s">
        <v>1491</v>
      </c>
      <c r="AZ20" s="1046" t="s">
        <v>1505</v>
      </c>
      <c r="BB20" s="1046" t="s">
        <v>1506</v>
      </c>
      <c r="BC20" s="1046" t="s">
        <v>1436</v>
      </c>
      <c r="BE20" s="1046">
        <v>2018</v>
      </c>
      <c r="BH20" s="997" t="s">
        <v>1432</v>
      </c>
      <c r="BJ20" s="997" t="s">
        <v>1359</v>
      </c>
      <c r="BL20" s="997" t="s">
        <v>1359</v>
      </c>
      <c r="BQ20" s="1207">
        <v>4190065</v>
      </c>
      <c r="BR20" s="997" t="s">
        <v>1507</v>
      </c>
      <c r="BS20" s="1355"/>
      <c r="BT20" s="1207">
        <v>4189672</v>
      </c>
      <c r="BU20" s="997" t="s">
        <v>1508</v>
      </c>
      <c r="BV20" s="999"/>
      <c r="BW20" s="1621">
        <v>4189705</v>
      </c>
      <c r="BX20" s="1619" t="s">
        <v>1509</v>
      </c>
      <c r="BZ20" s="1207">
        <v>4189713</v>
      </c>
      <c r="CA20" s="997" t="s">
        <v>1509</v>
      </c>
      <c r="CC20" s="1207">
        <v>4189709</v>
      </c>
      <c r="CD20" s="997" t="s">
        <v>1510</v>
      </c>
    </row>
    <row r="21" spans="1:82" ht="21" customHeight="1">
      <c r="A21" s="1003" t="s">
        <v>1511</v>
      </c>
      <c r="B21" s="1004">
        <v>2019</v>
      </c>
      <c r="I21" s="1005" t="s">
        <v>1512</v>
      </c>
      <c r="N21" s="1084" t="s">
        <v>1513</v>
      </c>
      <c r="AW21" s="1046" t="s">
        <v>1503</v>
      </c>
      <c r="AX21" s="1046" t="s">
        <v>1503</v>
      </c>
      <c r="AZ21" s="1046" t="s">
        <v>1514</v>
      </c>
      <c r="BB21" s="1046" t="s">
        <v>1515</v>
      </c>
      <c r="BC21" s="1046" t="s">
        <v>1319</v>
      </c>
      <c r="BE21" s="1046">
        <v>2019</v>
      </c>
      <c r="BH21" s="997" t="s">
        <v>1439</v>
      </c>
      <c r="BJ21" s="997" t="s">
        <v>1375</v>
      </c>
      <c r="BL21" s="997" t="s">
        <v>1375</v>
      </c>
      <c r="BQ21" s="1207">
        <v>4190066</v>
      </c>
      <c r="BR21" s="997" t="s">
        <v>1516</v>
      </c>
      <c r="BS21" s="1355"/>
      <c r="BT21" s="1207">
        <v>4189673</v>
      </c>
      <c r="BU21" s="997" t="s">
        <v>1517</v>
      </c>
      <c r="BV21" s="999"/>
      <c r="BW21" s="1621">
        <v>4189707</v>
      </c>
      <c r="BX21" s="1619" t="s">
        <v>1518</v>
      </c>
      <c r="BZ21" s="1207">
        <v>4189712</v>
      </c>
      <c r="CA21" s="997" t="s">
        <v>1519</v>
      </c>
      <c r="CC21" s="1207">
        <v>4189710</v>
      </c>
      <c r="CD21" s="997" t="s">
        <v>1520</v>
      </c>
    </row>
    <row r="22" spans="1:82" ht="21" customHeight="1">
      <c r="A22" s="1003" t="s">
        <v>1521</v>
      </c>
      <c r="B22" s="1004">
        <v>2020</v>
      </c>
      <c r="N22" s="1084" t="s">
        <v>1522</v>
      </c>
      <c r="AW22" s="1046" t="s">
        <v>1512</v>
      </c>
      <c r="AX22" s="1046" t="s">
        <v>1512</v>
      </c>
      <c r="AZ22" s="1046" t="s">
        <v>1523</v>
      </c>
      <c r="BB22" s="1046" t="s">
        <v>1524</v>
      </c>
      <c r="BC22" s="1046" t="s">
        <v>1319</v>
      </c>
      <c r="BE22" s="1046">
        <v>2020</v>
      </c>
      <c r="BH22" s="997" t="s">
        <v>1446</v>
      </c>
      <c r="BJ22" s="997" t="s">
        <v>1391</v>
      </c>
      <c r="BL22" s="997" t="s">
        <v>1391</v>
      </c>
      <c r="BQ22" s="1207">
        <v>4190067</v>
      </c>
      <c r="BR22" s="997" t="s">
        <v>1525</v>
      </c>
      <c r="BS22" s="1355"/>
      <c r="BT22" s="1207">
        <v>4189674</v>
      </c>
      <c r="BU22" s="997" t="s">
        <v>1526</v>
      </c>
      <c r="BV22" s="999"/>
      <c r="BW22" s="999"/>
      <c r="CC22" s="1207">
        <v>4189711</v>
      </c>
      <c r="CD22" s="997" t="s">
        <v>288</v>
      </c>
    </row>
    <row r="23" spans="1:82" ht="21" customHeight="1">
      <c r="A23" s="1003" t="s">
        <v>1527</v>
      </c>
      <c r="B23" s="1004">
        <v>2021</v>
      </c>
      <c r="AW23" s="1046" t="s">
        <v>1528</v>
      </c>
      <c r="AX23" s="1046" t="s">
        <v>1528</v>
      </c>
      <c r="AZ23" s="1046" t="s">
        <v>1529</v>
      </c>
      <c r="BB23" s="1046" t="s">
        <v>1530</v>
      </c>
      <c r="BC23" s="1046" t="s">
        <v>1228</v>
      </c>
      <c r="BE23" s="1046">
        <v>2021</v>
      </c>
      <c r="BH23" s="997" t="s">
        <v>1454</v>
      </c>
      <c r="BJ23" s="997" t="s">
        <v>1407</v>
      </c>
      <c r="BL23" s="997" t="s">
        <v>1407</v>
      </c>
      <c r="BQ23" s="1207">
        <v>4190068</v>
      </c>
      <c r="BR23" s="997" t="s">
        <v>1531</v>
      </c>
      <c r="BS23" s="1355"/>
      <c r="BT23" s="1207">
        <v>4189675</v>
      </c>
      <c r="BU23" s="997" t="s">
        <v>1532</v>
      </c>
      <c r="BV23" s="999"/>
      <c r="BW23" s="999"/>
      <c r="CC23" s="1207">
        <v>5110778</v>
      </c>
      <c r="CD23" s="997" t="s">
        <v>1533</v>
      </c>
    </row>
    <row r="24" spans="1:82" ht="21" customHeight="1">
      <c r="A24" s="1003" t="s">
        <v>1534</v>
      </c>
      <c r="B24" s="1004">
        <v>2022</v>
      </c>
      <c r="AW24" s="1046" t="s">
        <v>1535</v>
      </c>
      <c r="AX24" s="1046" t="s">
        <v>1535</v>
      </c>
      <c r="AZ24" s="1046" t="s">
        <v>1536</v>
      </c>
      <c r="BB24" s="1046" t="s">
        <v>1537</v>
      </c>
      <c r="BC24" s="1046" t="s">
        <v>1538</v>
      </c>
      <c r="BE24" s="1046">
        <v>2022</v>
      </c>
      <c r="BH24" s="997" t="s">
        <v>1463</v>
      </c>
      <c r="BJ24" s="997" t="s">
        <v>1421</v>
      </c>
      <c r="BL24" s="997" t="s">
        <v>1421</v>
      </c>
      <c r="BQ24" s="1207">
        <v>4190069</v>
      </c>
      <c r="BR24" s="997" t="s">
        <v>1539</v>
      </c>
      <c r="BS24" s="1355"/>
      <c r="BT24" s="1207">
        <v>4189676</v>
      </c>
      <c r="BU24" s="997" t="s">
        <v>1540</v>
      </c>
      <c r="BV24" s="999"/>
      <c r="BW24" s="999"/>
      <c r="CC24" s="1207">
        <v>25575374</v>
      </c>
      <c r="CD24" s="997" t="s">
        <v>1541</v>
      </c>
    </row>
    <row r="25" spans="1:82" ht="11.25" customHeight="1">
      <c r="A25" s="1003" t="s">
        <v>1542</v>
      </c>
      <c r="B25" s="1004">
        <v>2023</v>
      </c>
      <c r="AW25" s="1046" t="s">
        <v>1543</v>
      </c>
      <c r="AX25" s="1046" t="s">
        <v>1543</v>
      </c>
      <c r="AZ25" s="1046" t="s">
        <v>1544</v>
      </c>
      <c r="BB25" s="1046" t="s">
        <v>1545</v>
      </c>
      <c r="BC25" s="1046" t="s">
        <v>1538</v>
      </c>
      <c r="BE25" s="1046">
        <v>2023</v>
      </c>
      <c r="BH25" s="997" t="s">
        <v>1470</v>
      </c>
      <c r="BJ25" s="997" t="s">
        <v>1495</v>
      </c>
      <c r="BL25" s="997" t="s">
        <v>1495</v>
      </c>
      <c r="BQ25" s="1207">
        <v>4190070</v>
      </c>
      <c r="BR25" s="997" t="s">
        <v>1546</v>
      </c>
      <c r="BS25" s="1355"/>
      <c r="BT25" s="1207">
        <v>4189677</v>
      </c>
      <c r="BU25" s="997" t="s">
        <v>1547</v>
      </c>
      <c r="BV25" s="999"/>
      <c r="BW25" s="999"/>
    </row>
    <row r="26" spans="1:82" ht="11.25" customHeight="1">
      <c r="A26" s="1003" t="s">
        <v>1548</v>
      </c>
      <c r="B26" s="1004">
        <v>2024</v>
      </c>
      <c r="J26" s="1657" t="s">
        <v>1549</v>
      </c>
      <c r="AX26" s="1046" t="s">
        <v>1550</v>
      </c>
      <c r="AZ26" s="1046" t="s">
        <v>1414</v>
      </c>
      <c r="BB26" s="1046" t="s">
        <v>1551</v>
      </c>
      <c r="BC26" s="1046" t="s">
        <v>1538</v>
      </c>
      <c r="BE26" s="1046">
        <v>2024</v>
      </c>
      <c r="BH26" s="997" t="s">
        <v>1481</v>
      </c>
      <c r="BJ26" s="997" t="s">
        <v>1432</v>
      </c>
      <c r="BL26" s="997" t="s">
        <v>1432</v>
      </c>
      <c r="BQ26" s="1207">
        <v>4190071</v>
      </c>
      <c r="BR26" s="997" t="s">
        <v>1552</v>
      </c>
      <c r="BS26" s="1355"/>
      <c r="BV26" s="999"/>
      <c r="BW26" s="999"/>
    </row>
    <row r="27" spans="1:82" ht="11.25" customHeight="1">
      <c r="A27" s="1003" t="s">
        <v>1553</v>
      </c>
      <c r="B27" s="1004">
        <v>2025</v>
      </c>
      <c r="J27" s="113" t="s">
        <v>684</v>
      </c>
      <c r="AX27" s="1046" t="s">
        <v>1554</v>
      </c>
      <c r="BB27" s="1046" t="s">
        <v>1555</v>
      </c>
      <c r="BC27" s="1046" t="s">
        <v>1538</v>
      </c>
      <c r="BE27" s="1046">
        <v>2025</v>
      </c>
      <c r="BH27" s="999" t="s">
        <v>22</v>
      </c>
      <c r="BJ27" s="997" t="s">
        <v>1439</v>
      </c>
      <c r="BL27" s="997" t="s">
        <v>1439</v>
      </c>
      <c r="BN27" s="999" t="s">
        <v>22</v>
      </c>
      <c r="BQ27" s="1207">
        <v>4190072</v>
      </c>
      <c r="BR27" s="997" t="s">
        <v>1556</v>
      </c>
      <c r="BS27" s="1355"/>
      <c r="BV27" s="999"/>
      <c r="BW27" s="999"/>
    </row>
    <row r="28" spans="1:82" ht="11.25" customHeight="1">
      <c r="A28" s="1003" t="s">
        <v>1557</v>
      </c>
      <c r="D28" s="1028"/>
      <c r="E28" s="1029"/>
      <c r="F28" s="1029"/>
      <c r="H28" s="1030" t="s">
        <v>1558</v>
      </c>
      <c r="AX28" s="1046" t="s">
        <v>1559</v>
      </c>
      <c r="AZ28" s="996" t="s">
        <v>1560</v>
      </c>
      <c r="BB28" s="1046" t="s">
        <v>1561</v>
      </c>
      <c r="BC28" s="1046" t="s">
        <v>1562</v>
      </c>
      <c r="BE28" s="1046">
        <v>2026</v>
      </c>
      <c r="BH28" s="999" t="s">
        <v>22</v>
      </c>
      <c r="BJ28" s="997" t="s">
        <v>1446</v>
      </c>
      <c r="BL28" s="997" t="s">
        <v>1446</v>
      </c>
      <c r="BN28" s="999" t="s">
        <v>22</v>
      </c>
      <c r="BQ28" s="1207">
        <v>4190073</v>
      </c>
      <c r="BR28" s="997" t="s">
        <v>1563</v>
      </c>
      <c r="BS28" s="1355"/>
      <c r="BV28" s="999"/>
      <c r="BW28" s="999"/>
    </row>
    <row r="29" spans="1:82" ht="11.25" customHeight="1">
      <c r="A29" s="1003" t="s">
        <v>1564</v>
      </c>
      <c r="D29" s="1031" t="s">
        <v>1565</v>
      </c>
      <c r="E29" s="1032" t="str">
        <f>IF(TEMPLATE_GROUP="","",INDEX(StartDateList,MATCH(TEMPLATE_GROUP,CodeTemplateList,0),1))</f>
        <v>01.10.2025</v>
      </c>
      <c r="F29" s="1032" t="str">
        <f>IF(TEMPLATE_GROUP="","",INDEX(EndDateList,MATCH(TEMPLATE_GROUP,CodeTemplateList,0),1))</f>
        <v>31.12.2025</v>
      </c>
      <c r="H29" s="1033" t="s">
        <v>1566</v>
      </c>
      <c r="AX29" s="1046" t="s">
        <v>1567</v>
      </c>
      <c r="AZ29" s="1046" t="s">
        <v>1213</v>
      </c>
      <c r="BB29" s="1046" t="s">
        <v>1414</v>
      </c>
      <c r="BC29" s="1019"/>
      <c r="BE29" s="1046">
        <v>2027</v>
      </c>
      <c r="BJ29" s="997" t="s">
        <v>1454</v>
      </c>
      <c r="BL29" s="997" t="s">
        <v>1454</v>
      </c>
    </row>
    <row r="30" spans="1:82" ht="11.25" customHeight="1">
      <c r="A30" s="1003" t="s">
        <v>1568</v>
      </c>
      <c r="D30" s="1034"/>
      <c r="E30" s="1035"/>
      <c r="F30" s="1035"/>
      <c r="AX30" s="1046" t="s">
        <v>1569</v>
      </c>
      <c r="AZ30" s="1046" t="s">
        <v>1240</v>
      </c>
      <c r="BE30" s="1046">
        <v>2028</v>
      </c>
      <c r="BJ30" s="997" t="s">
        <v>1570</v>
      </c>
      <c r="BL30" s="997" t="s">
        <v>1570</v>
      </c>
    </row>
    <row r="31" spans="1:82" ht="12.75" customHeight="1">
      <c r="A31" s="1003" t="s">
        <v>1571</v>
      </c>
      <c r="D31" s="1028"/>
      <c r="E31" s="1029"/>
      <c r="F31" s="1029"/>
      <c r="H31" s="1036"/>
      <c r="AX31" s="1046" t="s">
        <v>1572</v>
      </c>
      <c r="AZ31" s="1046" t="s">
        <v>1573</v>
      </c>
      <c r="BE31" s="1046">
        <v>2029</v>
      </c>
      <c r="BJ31" s="997" t="s">
        <v>1574</v>
      </c>
      <c r="BL31" s="997" t="s">
        <v>1574</v>
      </c>
    </row>
    <row r="32" spans="1:82" ht="11.25" customHeight="1">
      <c r="A32" s="1003" t="s">
        <v>1575</v>
      </c>
      <c r="D32" s="1031" t="s">
        <v>1576</v>
      </c>
      <c r="E32" s="1032" t="str">
        <f>IF(TEMPLATE_GROUP="","",INDEX(StartDateList,MATCH(TEMPLATE_GROUP,CodeTemplateList,0),1))</f>
        <v>01.10.2025</v>
      </c>
      <c r="F32" s="1032" t="str">
        <f>IF(TEMPLATE_GROUP="","",INDEX(EndDateList,MATCH(TEMPLATE_GROUP,CodeTemplateList,0),1))</f>
        <v>31.12.2025</v>
      </c>
      <c r="H32" s="1037" t="s">
        <v>1577</v>
      </c>
      <c r="O32" s="1003" t="s">
        <v>1211</v>
      </c>
      <c r="AX32" s="1046" t="s">
        <v>1578</v>
      </c>
      <c r="AZ32" s="1046" t="s">
        <v>1307</v>
      </c>
      <c r="BE32" s="1046">
        <v>2030</v>
      </c>
      <c r="BJ32" s="997" t="s">
        <v>1463</v>
      </c>
      <c r="BL32" s="997" t="s">
        <v>1463</v>
      </c>
    </row>
    <row r="33" spans="1:66" ht="11.25" customHeight="1">
      <c r="A33" s="1003" t="s">
        <v>1579</v>
      </c>
      <c r="O33" s="1003" t="s">
        <v>1237</v>
      </c>
      <c r="AX33" s="1046" t="s">
        <v>1580</v>
      </c>
      <c r="AZ33" s="1046" t="s">
        <v>1212</v>
      </c>
      <c r="BE33" s="1046">
        <v>2031</v>
      </c>
      <c r="BJ33" s="997" t="s">
        <v>1470</v>
      </c>
      <c r="BL33" s="997" t="s">
        <v>1470</v>
      </c>
    </row>
    <row r="34" spans="1:66" ht="11.25" customHeight="1">
      <c r="A34" s="1003" t="s">
        <v>1581</v>
      </c>
      <c r="O34" s="1003" t="s">
        <v>1273</v>
      </c>
      <c r="AX34" s="1046" t="s">
        <v>1582</v>
      </c>
      <c r="BE34" s="1046">
        <v>2032</v>
      </c>
      <c r="BJ34" s="997" t="s">
        <v>1481</v>
      </c>
      <c r="BL34" s="997" t="s">
        <v>1481</v>
      </c>
    </row>
    <row r="35" spans="1:66" ht="11.25" customHeight="1">
      <c r="A35" s="1003" t="s">
        <v>1583</v>
      </c>
      <c r="O35" s="1003" t="s">
        <v>1305</v>
      </c>
      <c r="AX35" s="1046" t="s">
        <v>1584</v>
      </c>
      <c r="AZ35" s="996" t="s">
        <v>1585</v>
      </c>
      <c r="BE35" s="1046">
        <v>2033</v>
      </c>
      <c r="BL35" s="997" t="s">
        <v>1586</v>
      </c>
    </row>
    <row r="36" spans="1:66" ht="11.25" customHeight="1">
      <c r="A36" s="1795" t="s">
        <v>1587</v>
      </c>
      <c r="D36" s="1038" t="s">
        <v>1588</v>
      </c>
      <c r="E36" s="1039" t="s">
        <v>803</v>
      </c>
      <c r="F36" s="1040" t="str">
        <f>INDEX(E37:E41,MATCH(TEMPLATE_SPHERE,F37:F41,0))</f>
        <v>теплоснабжения</v>
      </c>
      <c r="G36" s="1040" t="str">
        <f>INDEX(G37:G41,MATCH(TEMPLATE_SPHERE,F37:F41,0))</f>
        <v>теплоснабжение</v>
      </c>
      <c r="O36" s="1003" t="s">
        <v>1330</v>
      </c>
      <c r="AX36" s="1046" t="s">
        <v>1589</v>
      </c>
      <c r="AZ36" s="1046" t="s">
        <v>1212</v>
      </c>
      <c r="BE36" s="1046">
        <v>2034</v>
      </c>
      <c r="BL36" s="997" t="s">
        <v>1590</v>
      </c>
    </row>
    <row r="37" spans="1:66" ht="11.25" customHeight="1">
      <c r="A37" s="1003" t="s">
        <v>1591</v>
      </c>
      <c r="E37" s="343" t="s">
        <v>1592</v>
      </c>
      <c r="F37" s="1041" t="s">
        <v>803</v>
      </c>
      <c r="G37" s="343" t="s">
        <v>1593</v>
      </c>
      <c r="O37" s="1003" t="s">
        <v>1349</v>
      </c>
      <c r="AX37" s="1046" t="s">
        <v>1594</v>
      </c>
      <c r="AZ37" s="1046" t="s">
        <v>1239</v>
      </c>
      <c r="BE37" s="1046">
        <v>2035</v>
      </c>
    </row>
    <row r="38" spans="1:66" ht="11.25" customHeight="1">
      <c r="A38" s="1003" t="s">
        <v>1595</v>
      </c>
      <c r="E38" s="343" t="s">
        <v>1596</v>
      </c>
      <c r="F38" s="1042" t="s">
        <v>849</v>
      </c>
      <c r="G38" s="343" t="s">
        <v>1597</v>
      </c>
      <c r="O38" s="1003" t="s">
        <v>1366</v>
      </c>
      <c r="AX38" s="1046" t="s">
        <v>1598</v>
      </c>
      <c r="AZ38" s="1046" t="s">
        <v>1274</v>
      </c>
      <c r="BE38" s="1046">
        <v>2036</v>
      </c>
      <c r="BH38" s="996" t="s">
        <v>1599</v>
      </c>
      <c r="BJ38" s="996" t="s">
        <v>1600</v>
      </c>
      <c r="BL38" s="996" t="s">
        <v>1601</v>
      </c>
      <c r="BN38" s="996" t="s">
        <v>1602</v>
      </c>
    </row>
    <row r="39" spans="1:66" ht="11.25" customHeight="1">
      <c r="A39" s="1003" t="s">
        <v>1603</v>
      </c>
      <c r="E39" s="343" t="s">
        <v>1604</v>
      </c>
      <c r="F39" s="1042" t="s">
        <v>902</v>
      </c>
      <c r="G39" s="343" t="s">
        <v>1605</v>
      </c>
      <c r="O39" s="1003" t="s">
        <v>1382</v>
      </c>
      <c r="AX39" s="1046" t="s">
        <v>1606</v>
      </c>
      <c r="AZ39" s="1046" t="s">
        <v>1306</v>
      </c>
      <c r="BE39" s="1046">
        <v>2037</v>
      </c>
      <c r="BH39" s="997" t="s">
        <v>1607</v>
      </c>
      <c r="BJ39" s="1143" t="s">
        <v>1607</v>
      </c>
      <c r="BL39" s="1143" t="s">
        <v>1607</v>
      </c>
      <c r="BN39" s="997" t="s">
        <v>1608</v>
      </c>
    </row>
    <row r="40" spans="1:66" ht="11.25" customHeight="1">
      <c r="A40" s="1003" t="s">
        <v>1609</v>
      </c>
      <c r="E40" s="343" t="s">
        <v>1610</v>
      </c>
      <c r="F40" s="1042" t="s">
        <v>889</v>
      </c>
      <c r="G40" s="343" t="s">
        <v>1611</v>
      </c>
      <c r="O40" s="1003" t="s">
        <v>1398</v>
      </c>
      <c r="AX40" s="1046" t="s">
        <v>1612</v>
      </c>
      <c r="BE40" s="1046">
        <v>2038</v>
      </c>
      <c r="BH40" s="997" t="s">
        <v>1613</v>
      </c>
      <c r="BJ40" s="1143" t="s">
        <v>1023</v>
      </c>
      <c r="BL40" s="1143" t="s">
        <v>1023</v>
      </c>
      <c r="BN40" s="997" t="s">
        <v>1057</v>
      </c>
    </row>
    <row r="41" spans="1:66" ht="11.25" customHeight="1">
      <c r="A41" s="1003" t="s">
        <v>1614</v>
      </c>
      <c r="E41" s="343" t="s">
        <v>1615</v>
      </c>
      <c r="F41" s="1042" t="s">
        <v>1616</v>
      </c>
      <c r="G41" s="343" t="s">
        <v>1615</v>
      </c>
      <c r="O41" s="1003" t="s">
        <v>1414</v>
      </c>
      <c r="AX41" s="1046" t="s">
        <v>1617</v>
      </c>
      <c r="AZ41" s="996" t="s">
        <v>1618</v>
      </c>
      <c r="BE41" s="1046">
        <v>2039</v>
      </c>
      <c r="BH41" s="997" t="s">
        <v>1619</v>
      </c>
      <c r="BJ41" s="1143" t="s">
        <v>1019</v>
      </c>
      <c r="BL41" s="1143" t="s">
        <v>1019</v>
      </c>
      <c r="BN41" s="997" t="s">
        <v>1044</v>
      </c>
    </row>
    <row r="42" spans="1:66" ht="11.25" customHeight="1">
      <c r="A42" s="1003" t="s">
        <v>1620</v>
      </c>
      <c r="AX42" s="1046" t="s">
        <v>1621</v>
      </c>
      <c r="AZ42" s="1046" t="s">
        <v>1211</v>
      </c>
      <c r="BE42" s="1046">
        <v>2040</v>
      </c>
      <c r="BH42" s="997" t="s">
        <v>1041</v>
      </c>
      <c r="BJ42" s="1143" t="s">
        <v>1021</v>
      </c>
      <c r="BL42" s="1143" t="s">
        <v>1021</v>
      </c>
      <c r="BN42" s="997" t="s">
        <v>1622</v>
      </c>
    </row>
    <row r="43" spans="1:66" ht="11.25" customHeight="1">
      <c r="A43" s="1003" t="s">
        <v>1623</v>
      </c>
      <c r="AX43" s="1046" t="s">
        <v>1624</v>
      </c>
      <c r="AZ43" s="1046" t="s">
        <v>1237</v>
      </c>
      <c r="BE43" s="1046">
        <v>2041</v>
      </c>
      <c r="BH43" s="997" t="s">
        <v>1625</v>
      </c>
      <c r="BJ43" s="1143" t="s">
        <v>1619</v>
      </c>
      <c r="BL43" s="1143" t="s">
        <v>1619</v>
      </c>
      <c r="BN43" s="997" t="s">
        <v>1626</v>
      </c>
    </row>
    <row r="44" spans="1:66" ht="11.25" customHeight="1">
      <c r="A44" s="1003" t="s">
        <v>1627</v>
      </c>
      <c r="G44" s="1022">
        <f ca="1">YEAR(TODAY())</f>
        <v>2026</v>
      </c>
      <c r="I44" s="729" t="s">
        <v>1628</v>
      </c>
      <c r="J44" s="1018" t="s">
        <v>1629</v>
      </c>
      <c r="K44" s="1018" t="s">
        <v>1630</v>
      </c>
      <c r="AX44" s="1046" t="s">
        <v>1631</v>
      </c>
      <c r="AZ44" s="1046" t="s">
        <v>1273</v>
      </c>
      <c r="BE44" s="1046">
        <v>2042</v>
      </c>
      <c r="BH44" s="997" t="s">
        <v>1632</v>
      </c>
      <c r="BJ44" s="1143" t="s">
        <v>1041</v>
      </c>
      <c r="BL44" s="1143" t="s">
        <v>1041</v>
      </c>
      <c r="BN44" s="997" t="s">
        <v>1633</v>
      </c>
    </row>
    <row r="45" spans="1:66" ht="11.25" customHeight="1">
      <c r="A45" s="1003" t="s">
        <v>1634</v>
      </c>
      <c r="D45" s="1038" t="s">
        <v>1635</v>
      </c>
      <c r="E45" s="1039" t="s">
        <v>1636</v>
      </c>
      <c r="F45" s="727" t="s">
        <v>1637</v>
      </c>
      <c r="G45" s="726" t="s">
        <v>1638</v>
      </c>
      <c r="H45" s="729" t="s">
        <v>1639</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1640</v>
      </c>
      <c r="AZ45" s="1046" t="s">
        <v>1305</v>
      </c>
      <c r="BE45" s="1046">
        <v>2043</v>
      </c>
      <c r="BH45" s="997" t="s">
        <v>1641</v>
      </c>
      <c r="BJ45" s="1143" t="s">
        <v>1035</v>
      </c>
      <c r="BL45" s="1143" t="s">
        <v>1035</v>
      </c>
      <c r="BN45" s="997" t="s">
        <v>1642</v>
      </c>
    </row>
    <row r="46" spans="1:66" ht="11.25" customHeight="1">
      <c r="A46" s="1003" t="s">
        <v>1643</v>
      </c>
      <c r="E46" s="343" t="s">
        <v>27</v>
      </c>
      <c r="F46" s="1041" t="s">
        <v>1644</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1645</v>
      </c>
      <c r="AZ46" s="1046" t="s">
        <v>1330</v>
      </c>
      <c r="BE46" s="1046">
        <v>2044</v>
      </c>
      <c r="BH46" s="997" t="s">
        <v>1044</v>
      </c>
      <c r="BJ46" s="1143" t="s">
        <v>1025</v>
      </c>
      <c r="BL46" s="1143" t="s">
        <v>1025</v>
      </c>
      <c r="BN46" s="997" t="s">
        <v>1646</v>
      </c>
    </row>
    <row r="47" spans="1:66" ht="11.25" customHeight="1">
      <c r="A47" s="1003" t="s">
        <v>1647</v>
      </c>
      <c r="E47" s="343" t="s">
        <v>33</v>
      </c>
      <c r="F47" s="1042" t="s">
        <v>1636</v>
      </c>
      <c r="G47" s="1043" t="str">
        <f>IFERROR(IF(f_year="","01.01."&amp;CURRENT_YEAR,IF(LEN(f_quart)=0,"01.01."&amp;f_year,IF(f_quart="I квартал","01.01."&amp;f_year,IF(f_quart="II квартал","01.04."&amp;f_year,(IF(f_quart="III квартал","01.07."&amp;f_year,"01.10."&amp;f_year)))))),"01.01."&amp;CURRENT_YEAR)</f>
        <v>01.10.2025</v>
      </c>
      <c r="H47" s="1043" t="str">
        <f>IFERROR(IF(f_year="","31.12."&amp;CURRENT_YEAR,IF(LEN(f_quart)=0,"31.12."&amp;f_year,IF(f_quart="I квартал","31.03."&amp;f_year,IF(f_quart="II квартал","30.06."&amp;f_year,(IF(f_quart="III квартал","30.09."&amp;f_year,"31.12."&amp;f_year)))))),"31.12."&amp;CURRENT_YEAR)</f>
        <v>31.12.2025</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1648</v>
      </c>
      <c r="AZ47" s="1046" t="s">
        <v>1349</v>
      </c>
      <c r="BE47" s="1046">
        <v>2045</v>
      </c>
      <c r="BH47" s="997" t="s">
        <v>1622</v>
      </c>
      <c r="BJ47" s="1143" t="s">
        <v>1027</v>
      </c>
      <c r="BL47" s="1143" t="s">
        <v>1027</v>
      </c>
      <c r="BN47" s="997" t="s">
        <v>1649</v>
      </c>
    </row>
    <row r="48" spans="1:66" ht="11.25" customHeight="1">
      <c r="A48" s="1003" t="s">
        <v>1650</v>
      </c>
      <c r="E48" s="343" t="s">
        <v>1651</v>
      </c>
      <c r="F48" s="1042" t="s">
        <v>1652</v>
      </c>
      <c r="G48" s="1043" t="str">
        <f>IFERROR(IF(f_year="","01.01."&amp;CURRENT_YEAR,"01.01."&amp;f_year),"01.01."&amp;CURRENT_YEAR)</f>
        <v>01.01.2025</v>
      </c>
      <c r="H48" s="1043" t="str">
        <f>IFERROR(IF(f_year="","31.12."&amp;CURRENT_YEAR,"31.12."&amp;f_year),"31.12."&amp;CURRENT_YEAR)</f>
        <v>31.12.2025</v>
      </c>
      <c r="I48" s="1668" t="b">
        <f>IF(f_year="",TRUE,FALSE)</f>
        <v>0</v>
      </c>
      <c r="J48" s="1671" t="s">
        <v>1653</v>
      </c>
      <c r="K48" s="1672"/>
      <c r="AX48" s="1046" t="s">
        <v>1654</v>
      </c>
      <c r="AZ48" s="1046" t="s">
        <v>1366</v>
      </c>
      <c r="BE48" s="1046">
        <v>2046</v>
      </c>
      <c r="BH48" s="997" t="s">
        <v>1626</v>
      </c>
      <c r="BJ48" s="1143" t="s">
        <v>1029</v>
      </c>
      <c r="BL48" s="1143" t="s">
        <v>1029</v>
      </c>
      <c r="BN48" s="997" t="s">
        <v>1655</v>
      </c>
    </row>
    <row r="49" spans="1:64" ht="11.25" customHeight="1">
      <c r="A49" s="1003" t="s">
        <v>1656</v>
      </c>
      <c r="E49" s="343" t="s">
        <v>1657</v>
      </c>
      <c r="F49" s="1042" t="s">
        <v>1658</v>
      </c>
      <c r="G49" s="1043" t="str">
        <f>IFERROR(IF(f_year="","01.01."&amp;CURRENT_YEAR,"01.01."&amp;f_year),"01.01."&amp;CURRENT_YEAR)</f>
        <v>01.01.2025</v>
      </c>
      <c r="H49" s="1043"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1659</v>
      </c>
      <c r="AZ49" s="1046" t="s">
        <v>1382</v>
      </c>
      <c r="BE49" s="1046">
        <v>2047</v>
      </c>
      <c r="BH49" s="997" t="s">
        <v>1045</v>
      </c>
      <c r="BJ49" s="1143" t="s">
        <v>1031</v>
      </c>
      <c r="BL49" s="1143" t="s">
        <v>1031</v>
      </c>
    </row>
    <row r="50" spans="1:64" ht="11.25" customHeight="1">
      <c r="A50" s="1003" t="s">
        <v>1660</v>
      </c>
      <c r="E50" s="343" t="s">
        <v>1661</v>
      </c>
      <c r="F50" s="1042" t="s">
        <v>1015</v>
      </c>
      <c r="G50" s="1043" t="str">
        <f>IFERROR(IF(f_year="","01.01."&amp;CURRENT_YEAR,"01.01."&amp;f_year),"01.01."&amp;CURRENT_YEAR)</f>
        <v>01.01.2025</v>
      </c>
      <c r="H50" s="1043"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1662</v>
      </c>
      <c r="AZ50" s="1046" t="s">
        <v>1398</v>
      </c>
      <c r="BE50" s="1046">
        <v>2048</v>
      </c>
      <c r="BH50" s="997" t="s">
        <v>1633</v>
      </c>
      <c r="BJ50" s="1143" t="s">
        <v>1033</v>
      </c>
      <c r="BL50" s="1143" t="s">
        <v>1033</v>
      </c>
    </row>
    <row r="51" spans="1:64" ht="11.25" customHeight="1">
      <c r="A51" s="1003" t="s">
        <v>1663</v>
      </c>
      <c r="E51" s="343" t="s">
        <v>1664</v>
      </c>
      <c r="F51" s="1042" t="s">
        <v>1665</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1666</v>
      </c>
      <c r="AZ51" s="1046" t="s">
        <v>1414</v>
      </c>
      <c r="BE51" s="1046">
        <v>2049</v>
      </c>
      <c r="BH51" s="997" t="s">
        <v>1642</v>
      </c>
      <c r="BJ51" s="1143" t="s">
        <v>1667</v>
      </c>
      <c r="BL51" s="1143" t="s">
        <v>1667</v>
      </c>
    </row>
    <row r="52" spans="1:64" ht="11.25" customHeight="1">
      <c r="A52" s="1003" t="s">
        <v>1668</v>
      </c>
      <c r="E52" s="343" t="s">
        <v>1669</v>
      </c>
      <c r="F52" s="1042" t="s">
        <v>1670</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1671</v>
      </c>
      <c r="AZ52" s="1046" t="s">
        <v>1212</v>
      </c>
      <c r="BE52" s="1046">
        <v>2050</v>
      </c>
      <c r="BH52" s="997" t="s">
        <v>1646</v>
      </c>
      <c r="BJ52" s="1143" t="s">
        <v>1044</v>
      </c>
      <c r="BL52" s="1143" t="s">
        <v>1044</v>
      </c>
    </row>
    <row r="53" spans="1:64" ht="11.25" customHeight="1">
      <c r="A53" s="1003" t="s">
        <v>1672</v>
      </c>
      <c r="E53" s="343" t="s">
        <v>1673</v>
      </c>
      <c r="F53" s="1042" t="s">
        <v>1673</v>
      </c>
      <c r="G53" s="1043" t="str">
        <f>IFERROR(IF(f_year="","01.01."&amp;CURRENT_YEAR,"01.01."&amp;f_year),"01.01."&amp;CURRENT_YEAR)</f>
        <v>01.01.2025</v>
      </c>
      <c r="H53" s="1043" t="str">
        <f>IFERROR(IF(f_year="","31.12."&amp;CURRENT_YEAR,"31.12."&amp;f_year),"31.12."&amp;CURRENT_YEAR)</f>
        <v>31.12.2025</v>
      </c>
      <c r="I53" s="1668" t="b">
        <f>IF(AND(f_year="",TITLE_DATE_FIL=""),TRUE,FALSE)</f>
        <v>0</v>
      </c>
      <c r="J53" s="1671" t="s">
        <v>1674</v>
      </c>
      <c r="K53" s="1672"/>
      <c r="AX53" s="1046" t="s">
        <v>1675</v>
      </c>
      <c r="BE53" s="1046">
        <v>2051</v>
      </c>
      <c r="BH53" s="997" t="s">
        <v>1649</v>
      </c>
      <c r="BJ53" s="1143" t="s">
        <v>1622</v>
      </c>
      <c r="BL53" s="1143" t="s">
        <v>1622</v>
      </c>
    </row>
    <row r="54" spans="1:64" ht="11.25" customHeight="1">
      <c r="A54" s="1003" t="s">
        <v>1676</v>
      </c>
      <c r="AX54" s="1046" t="s">
        <v>1677</v>
      </c>
      <c r="AZ54" s="996" t="s">
        <v>1678</v>
      </c>
      <c r="BE54" s="1046">
        <v>2052</v>
      </c>
      <c r="BH54" s="997" t="s">
        <v>1655</v>
      </c>
      <c r="BJ54" s="1143" t="s">
        <v>1626</v>
      </c>
      <c r="BL54" s="1143" t="s">
        <v>1626</v>
      </c>
    </row>
    <row r="55" spans="1:64" ht="11.25" customHeight="1">
      <c r="A55" s="1003" t="s">
        <v>1679</v>
      </c>
      <c r="AX55" s="1046" t="s">
        <v>1680</v>
      </c>
      <c r="AZ55" s="1046" t="s">
        <v>1214</v>
      </c>
      <c r="BE55" s="1046">
        <v>2053</v>
      </c>
      <c r="BH55" s="999" t="s">
        <v>22</v>
      </c>
      <c r="BJ55" s="1143" t="s">
        <v>1045</v>
      </c>
      <c r="BL55" s="1143" t="s">
        <v>1045</v>
      </c>
    </row>
    <row r="56" spans="1:64" ht="11.25" customHeight="1">
      <c r="A56" s="1003" t="s">
        <v>1681</v>
      </c>
      <c r="D56" s="1045" t="s">
        <v>1682</v>
      </c>
      <c r="E56" s="1023" t="s">
        <v>107</v>
      </c>
      <c r="F56" s="1003" t="s">
        <v>1683</v>
      </c>
      <c r="AX56" s="1046" t="s">
        <v>1684</v>
      </c>
      <c r="AZ56" s="1046" t="s">
        <v>1241</v>
      </c>
      <c r="BE56" s="1046">
        <v>2054</v>
      </c>
      <c r="BH56" s="999" t="s">
        <v>22</v>
      </c>
      <c r="BJ56" s="1143" t="s">
        <v>1633</v>
      </c>
      <c r="BL56" s="1143" t="s">
        <v>1633</v>
      </c>
    </row>
    <row r="57" spans="1:64" ht="11.25" customHeight="1">
      <c r="A57" s="1003" t="s">
        <v>1685</v>
      </c>
      <c r="D57" s="1045" t="s">
        <v>1686</v>
      </c>
      <c r="E57" s="1023" t="s">
        <v>107</v>
      </c>
      <c r="F57" s="1003" t="s">
        <v>1683</v>
      </c>
      <c r="AX57" s="1046" t="s">
        <v>1687</v>
      </c>
      <c r="AZ57" s="1046" t="s">
        <v>1276</v>
      </c>
      <c r="BE57" s="1046">
        <v>2055</v>
      </c>
      <c r="BJ57" s="1143" t="s">
        <v>1642</v>
      </c>
      <c r="BL57" s="1143" t="s">
        <v>1642</v>
      </c>
    </row>
    <row r="58" spans="1:64" ht="11.25" customHeight="1">
      <c r="A58" s="1003" t="s">
        <v>1688</v>
      </c>
      <c r="D58" s="1045" t="s">
        <v>1689</v>
      </c>
      <c r="E58" s="1023" t="s">
        <v>107</v>
      </c>
      <c r="F58" s="1003" t="s">
        <v>1683</v>
      </c>
      <c r="AX58" s="1046" t="s">
        <v>1690</v>
      </c>
      <c r="BE58" s="1046">
        <v>2056</v>
      </c>
      <c r="BJ58" s="1143" t="s">
        <v>1646</v>
      </c>
      <c r="BL58" s="1143" t="s">
        <v>1646</v>
      </c>
    </row>
    <row r="59" spans="1:64" ht="11.25" customHeight="1">
      <c r="A59" s="1003" t="s">
        <v>1691</v>
      </c>
      <c r="D59" s="1045" t="s">
        <v>128</v>
      </c>
      <c r="E59" s="1023" t="s">
        <v>1578</v>
      </c>
      <c r="F59" s="1003" t="s">
        <v>1692</v>
      </c>
      <c r="AX59" s="1046" t="s">
        <v>1693</v>
      </c>
      <c r="AZ59" s="996" t="s">
        <v>1694</v>
      </c>
      <c r="BE59" s="1046">
        <v>2057</v>
      </c>
      <c r="BJ59" s="1143" t="s">
        <v>1649</v>
      </c>
      <c r="BL59" s="1143" t="s">
        <v>1649</v>
      </c>
    </row>
    <row r="60" spans="1:64" ht="11.25" customHeight="1">
      <c r="A60" s="1003" t="s">
        <v>1695</v>
      </c>
      <c r="D60" s="1045" t="s">
        <v>1696</v>
      </c>
      <c r="E60" s="1023" t="s">
        <v>1578</v>
      </c>
      <c r="F60" s="1003" t="s">
        <v>1692</v>
      </c>
      <c r="AX60" s="1046" t="s">
        <v>1697</v>
      </c>
      <c r="AZ60" s="1046" t="s">
        <v>1215</v>
      </c>
      <c r="BE60" s="1046">
        <v>2058</v>
      </c>
      <c r="BJ60" s="1143" t="s">
        <v>1655</v>
      </c>
      <c r="BL60" s="1143" t="s">
        <v>1655</v>
      </c>
    </row>
    <row r="61" spans="1:64" ht="11.25" customHeight="1">
      <c r="A61" s="1003" t="s">
        <v>1698</v>
      </c>
      <c r="D61" s="1045" t="s">
        <v>1699</v>
      </c>
      <c r="E61" s="1023" t="s">
        <v>1578</v>
      </c>
      <c r="F61" s="1003" t="s">
        <v>1692</v>
      </c>
      <c r="AX61" s="1046" t="s">
        <v>1700</v>
      </c>
      <c r="AZ61" s="1046" t="s">
        <v>1242</v>
      </c>
      <c r="BE61" s="1046">
        <v>2059</v>
      </c>
      <c r="BL61" s="1143" t="s">
        <v>1037</v>
      </c>
    </row>
    <row r="62" spans="1:64" ht="11.25" customHeight="1">
      <c r="A62" s="1003" t="s">
        <v>1701</v>
      </c>
      <c r="D62" s="1045" t="s">
        <v>127</v>
      </c>
      <c r="E62" s="1023">
        <v>30</v>
      </c>
      <c r="F62" s="1003" t="s">
        <v>1692</v>
      </c>
      <c r="AZ62" s="1046" t="s">
        <v>1277</v>
      </c>
      <c r="BE62" s="1046">
        <v>2060</v>
      </c>
      <c r="BL62" s="1143" t="s">
        <v>1039</v>
      </c>
    </row>
    <row r="63" spans="1:64" ht="11.25" customHeight="1">
      <c r="A63" s="1003" t="s">
        <v>1702</v>
      </c>
      <c r="D63" s="1045" t="s">
        <v>1703</v>
      </c>
      <c r="E63" s="1023">
        <v>30</v>
      </c>
      <c r="F63" s="1003" t="s">
        <v>1692</v>
      </c>
      <c r="AZ63" s="1046" t="s">
        <v>1308</v>
      </c>
      <c r="BE63" s="1046">
        <v>2061</v>
      </c>
    </row>
    <row r="64" spans="1:64" ht="11.25" customHeight="1">
      <c r="A64" s="1003" t="s">
        <v>1704</v>
      </c>
      <c r="D64" s="1045" t="s">
        <v>1705</v>
      </c>
      <c r="E64" s="1023">
        <v>30</v>
      </c>
      <c r="F64" s="1003" t="s">
        <v>1692</v>
      </c>
      <c r="AZ64" s="1046" t="s">
        <v>1331</v>
      </c>
      <c r="BE64" s="1046">
        <v>2062</v>
      </c>
    </row>
    <row r="65" spans="1:66" ht="11.25" customHeight="1">
      <c r="A65" s="1003" t="s">
        <v>1706</v>
      </c>
      <c r="D65" s="1003"/>
      <c r="BE65" s="1046">
        <v>2063</v>
      </c>
    </row>
    <row r="66" spans="1:66" ht="11.25" customHeight="1">
      <c r="A66" s="1003" t="s">
        <v>1707</v>
      </c>
      <c r="AZ66" s="996" t="s">
        <v>1708</v>
      </c>
      <c r="BE66" s="1046">
        <v>2064</v>
      </c>
    </row>
    <row r="67" spans="1:66" ht="11.25" customHeight="1">
      <c r="A67" s="1003" t="s">
        <v>16</v>
      </c>
      <c r="AZ67" s="1046" t="s">
        <v>1216</v>
      </c>
      <c r="BE67" s="1046">
        <v>2065</v>
      </c>
    </row>
    <row r="68" spans="1:66" ht="11.25" customHeight="1">
      <c r="A68" s="1003" t="s">
        <v>1709</v>
      </c>
      <c r="AZ68" s="1046" t="s">
        <v>1243</v>
      </c>
      <c r="BE68" s="1046">
        <v>2066</v>
      </c>
      <c r="BH68" s="996" t="s">
        <v>1710</v>
      </c>
      <c r="BJ68" s="996" t="s">
        <v>1711</v>
      </c>
      <c r="BL68" s="996" t="s">
        <v>1712</v>
      </c>
      <c r="BN68" s="996" t="s">
        <v>1713</v>
      </c>
    </row>
    <row r="69" spans="1:66" ht="11.25" customHeight="1">
      <c r="A69" s="1003" t="s">
        <v>1714</v>
      </c>
      <c r="AZ69" s="1046" t="s">
        <v>1278</v>
      </c>
      <c r="BE69" s="1046">
        <v>2067</v>
      </c>
      <c r="BH69" s="997" t="s">
        <v>1715</v>
      </c>
      <c r="BI69" s="1044" t="s">
        <v>105</v>
      </c>
      <c r="BJ69" s="997" t="s">
        <v>1716</v>
      </c>
      <c r="BK69" s="1044" t="s">
        <v>105</v>
      </c>
      <c r="BL69" s="997" t="s">
        <v>1717</v>
      </c>
      <c r="BM69" s="999" t="s">
        <v>105</v>
      </c>
      <c r="BN69" s="997" t="s">
        <v>1718</v>
      </c>
    </row>
    <row r="70" spans="1:66" ht="11.25" customHeight="1">
      <c r="A70" s="1003" t="s">
        <v>1719</v>
      </c>
      <c r="AZ70" s="1046" t="s">
        <v>1309</v>
      </c>
      <c r="BE70" s="1046">
        <v>2068</v>
      </c>
      <c r="BH70" s="997" t="s">
        <v>1720</v>
      </c>
      <c r="BJ70" s="997" t="s">
        <v>1721</v>
      </c>
      <c r="BL70" s="997" t="s">
        <v>1722</v>
      </c>
      <c r="BN70" s="997" t="s">
        <v>1723</v>
      </c>
    </row>
    <row r="71" spans="1:66" ht="11.25" customHeight="1">
      <c r="A71" s="1003" t="s">
        <v>1724</v>
      </c>
      <c r="AZ71" s="1046" t="s">
        <v>1311</v>
      </c>
      <c r="BE71" s="1046">
        <v>2069</v>
      </c>
      <c r="BH71" s="997" t="s">
        <v>1725</v>
      </c>
      <c r="BI71" s="1044" t="s">
        <v>86</v>
      </c>
      <c r="BJ71" s="997" t="s">
        <v>1726</v>
      </c>
      <c r="BK71" s="1044" t="s">
        <v>86</v>
      </c>
      <c r="BL71" s="997" t="s">
        <v>1727</v>
      </c>
      <c r="BM71" s="999" t="s">
        <v>86</v>
      </c>
      <c r="BN71" s="997" t="s">
        <v>1728</v>
      </c>
    </row>
    <row r="72" spans="1:66" ht="11.25" customHeight="1">
      <c r="A72" s="1003" t="s">
        <v>1729</v>
      </c>
      <c r="AZ72" s="1046" t="s">
        <v>19</v>
      </c>
      <c r="BE72" s="1046">
        <v>2070</v>
      </c>
      <c r="BH72" s="997" t="s">
        <v>1730</v>
      </c>
      <c r="BJ72" s="997" t="s">
        <v>1730</v>
      </c>
      <c r="BL72" s="997" t="s">
        <v>1730</v>
      </c>
      <c r="BN72" s="997" t="s">
        <v>1731</v>
      </c>
    </row>
    <row r="73" spans="1:66" ht="11.25" customHeight="1">
      <c r="A73" s="1003" t="s">
        <v>1732</v>
      </c>
      <c r="BH73" s="997" t="s">
        <v>1733</v>
      </c>
      <c r="BI73" s="1044" t="s">
        <v>107</v>
      </c>
      <c r="BJ73" s="997" t="s">
        <v>1734</v>
      </c>
      <c r="BK73" s="1044" t="s">
        <v>107</v>
      </c>
      <c r="BL73" s="997" t="s">
        <v>1735</v>
      </c>
      <c r="BM73" s="999" t="s">
        <v>107</v>
      </c>
      <c r="BN73" s="997" t="s">
        <v>1736</v>
      </c>
    </row>
    <row r="74" spans="1:66" ht="11.25" customHeight="1">
      <c r="A74" s="1003" t="s">
        <v>1737</v>
      </c>
      <c r="BH74" s="997" t="s">
        <v>1738</v>
      </c>
      <c r="BJ74" s="997" t="s">
        <v>1739</v>
      </c>
      <c r="BL74" s="997" t="s">
        <v>1740</v>
      </c>
      <c r="BN74" s="997" t="s">
        <v>1741</v>
      </c>
    </row>
    <row r="75" spans="1:66" ht="11.25" customHeight="1">
      <c r="A75" s="1003" t="s">
        <v>1742</v>
      </c>
      <c r="AZ75" s="996" t="s">
        <v>1743</v>
      </c>
      <c r="BH75" s="997" t="s">
        <v>1744</v>
      </c>
      <c r="BJ75" s="997" t="s">
        <v>1744</v>
      </c>
      <c r="BL75" s="997" t="s">
        <v>1744</v>
      </c>
    </row>
    <row r="76" spans="1:66" ht="11.25" customHeight="1">
      <c r="A76" s="1003" t="s">
        <v>1745</v>
      </c>
      <c r="AZ76" s="1046" t="s">
        <v>1225</v>
      </c>
      <c r="BH76" s="997" t="s">
        <v>1746</v>
      </c>
      <c r="BJ76" s="997" t="s">
        <v>1747</v>
      </c>
      <c r="BL76" s="997" t="s">
        <v>1748</v>
      </c>
    </row>
    <row r="77" spans="1:66" ht="11.25" customHeight="1">
      <c r="A77" s="1003" t="s">
        <v>1749</v>
      </c>
      <c r="AZ77" s="1046" t="s">
        <v>1253</v>
      </c>
    </row>
    <row r="78" spans="1:66" ht="11.25" customHeight="1">
      <c r="A78" s="1003" t="s">
        <v>1750</v>
      </c>
      <c r="AZ78" s="1046" t="s">
        <v>1285</v>
      </c>
    </row>
    <row r="79" spans="1:66" ht="11.25" customHeight="1">
      <c r="A79" s="1003" t="s">
        <v>1751</v>
      </c>
      <c r="AZ79" s="1046" t="s">
        <v>1315</v>
      </c>
      <c r="BH79" s="996" t="s">
        <v>1752</v>
      </c>
      <c r="BJ79" s="996" t="s">
        <v>1753</v>
      </c>
      <c r="BL79" s="996" t="s">
        <v>1754</v>
      </c>
    </row>
    <row r="80" spans="1:66" ht="11.25" customHeight="1">
      <c r="A80" s="1003" t="s">
        <v>1755</v>
      </c>
      <c r="AZ80" s="1046" t="s">
        <v>1336</v>
      </c>
      <c r="BH80" s="997" t="s">
        <v>1756</v>
      </c>
      <c r="BJ80" s="997" t="s">
        <v>1757</v>
      </c>
      <c r="BL80" s="997" t="s">
        <v>1758</v>
      </c>
    </row>
    <row r="81" spans="1:66" ht="11.25" customHeight="1">
      <c r="A81" s="1003" t="s">
        <v>1759</v>
      </c>
      <c r="AZ81" s="1046" t="s">
        <v>1353</v>
      </c>
      <c r="BH81" s="997" t="s">
        <v>1760</v>
      </c>
      <c r="BJ81" s="997" t="s">
        <v>1761</v>
      </c>
      <c r="BL81" s="997" t="s">
        <v>1762</v>
      </c>
    </row>
    <row r="82" spans="1:66" ht="11.25" customHeight="1">
      <c r="A82" s="1003" t="s">
        <v>1763</v>
      </c>
      <c r="AZ82" s="1046" t="s">
        <v>1368</v>
      </c>
      <c r="BH82" s="997" t="s">
        <v>1764</v>
      </c>
      <c r="BJ82" s="997" t="s">
        <v>1765</v>
      </c>
      <c r="BL82" s="997" t="s">
        <v>1766</v>
      </c>
    </row>
    <row r="83" spans="1:66" ht="11.25" customHeight="1">
      <c r="A83" s="1003" t="s">
        <v>1767</v>
      </c>
      <c r="BH83" s="997" t="s">
        <v>1768</v>
      </c>
      <c r="BJ83" s="997" t="s">
        <v>1769</v>
      </c>
      <c r="BL83" s="997" t="s">
        <v>1770</v>
      </c>
    </row>
    <row r="84" spans="1:66" ht="11.25" customHeight="1">
      <c r="A84" s="1003" t="s">
        <v>1771</v>
      </c>
      <c r="AZ84" s="996" t="s">
        <v>1772</v>
      </c>
    </row>
    <row r="85" spans="1:66" ht="11.25" customHeight="1">
      <c r="A85" s="1795" t="s">
        <v>1773</v>
      </c>
      <c r="AZ85" s="1046" t="s">
        <v>1774</v>
      </c>
    </row>
    <row r="86" spans="1:66" ht="11.25" customHeight="1">
      <c r="A86" s="1003" t="s">
        <v>1775</v>
      </c>
      <c r="AZ86" s="1046" t="s">
        <v>1776</v>
      </c>
      <c r="BH86" s="996" t="s">
        <v>1777</v>
      </c>
      <c r="BJ86" s="996" t="s">
        <v>1778</v>
      </c>
      <c r="BL86" s="996" t="s">
        <v>1779</v>
      </c>
    </row>
    <row r="87" spans="1:66" ht="11.25" customHeight="1">
      <c r="A87" s="1003" t="s">
        <v>1780</v>
      </c>
      <c r="AZ87" s="1046" t="s">
        <v>1781</v>
      </c>
      <c r="BH87" s="997" t="s">
        <v>1782</v>
      </c>
      <c r="BJ87" s="997" t="s">
        <v>1783</v>
      </c>
      <c r="BL87" s="997" t="s">
        <v>1784</v>
      </c>
    </row>
    <row r="88" spans="1:66" ht="11.25" customHeight="1">
      <c r="A88" s="1003" t="s">
        <v>1785</v>
      </c>
      <c r="AZ88" s="1532"/>
      <c r="BH88" s="997" t="s">
        <v>1786</v>
      </c>
      <c r="BJ88" s="997" t="s">
        <v>1787</v>
      </c>
      <c r="BL88" s="997" t="s">
        <v>1788</v>
      </c>
    </row>
    <row r="89" spans="1:66" ht="11.25" customHeight="1">
      <c r="A89" s="1003" t="s">
        <v>1789</v>
      </c>
      <c r="AZ89" s="996" t="s">
        <v>1790</v>
      </c>
    </row>
    <row r="90" spans="1:66" ht="11.25" customHeight="1">
      <c r="A90" s="1003" t="s">
        <v>1791</v>
      </c>
      <c r="AZ90" s="1046" t="s">
        <v>1015</v>
      </c>
    </row>
    <row r="91" spans="1:66" ht="11.25" customHeight="1">
      <c r="A91" s="1003" t="s">
        <v>1792</v>
      </c>
      <c r="AZ91" s="1046" t="s">
        <v>1051</v>
      </c>
      <c r="BH91" s="996" t="s">
        <v>1793</v>
      </c>
      <c r="BJ91" s="996" t="s">
        <v>1794</v>
      </c>
      <c r="BL91" s="996" t="s">
        <v>1795</v>
      </c>
    </row>
    <row r="92" spans="1:66" ht="11.25" customHeight="1">
      <c r="AZ92" s="1046" t="s">
        <v>1796</v>
      </c>
      <c r="BH92" s="997" t="s">
        <v>1797</v>
      </c>
      <c r="BJ92" s="997" t="s">
        <v>1798</v>
      </c>
      <c r="BL92" s="997" t="s">
        <v>1799</v>
      </c>
    </row>
    <row r="93" spans="1:66" ht="11.25" customHeight="1">
      <c r="AZ93" s="1046" t="s">
        <v>1800</v>
      </c>
      <c r="BH93" s="997" t="s">
        <v>1801</v>
      </c>
      <c r="BJ93" s="997" t="s">
        <v>1802</v>
      </c>
      <c r="BL93" s="997" t="s">
        <v>1803</v>
      </c>
    </row>
    <row r="94" spans="1:66" ht="11.25" customHeight="1">
      <c r="AZ94" s="1046" t="s">
        <v>1804</v>
      </c>
    </row>
    <row r="96" spans="1:66" ht="11.25" customHeight="1">
      <c r="AZ96" s="996" t="s">
        <v>1805</v>
      </c>
      <c r="BH96" s="996" t="s">
        <v>1806</v>
      </c>
      <c r="BJ96" s="996" t="s">
        <v>1807</v>
      </c>
      <c r="BL96" s="996" t="s">
        <v>1808</v>
      </c>
      <c r="BN96" s="996" t="s">
        <v>1809</v>
      </c>
    </row>
    <row r="97" spans="52:66" ht="11.25" customHeight="1">
      <c r="AZ97" s="1826" t="s">
        <v>1810</v>
      </c>
      <c r="BA97" s="1827" t="s">
        <v>1811</v>
      </c>
      <c r="BH97" s="997" t="s">
        <v>1812</v>
      </c>
      <c r="BJ97" s="997" t="s">
        <v>1813</v>
      </c>
      <c r="BL97" s="997" t="s">
        <v>1814</v>
      </c>
      <c r="BN97" s="997" t="s">
        <v>1815</v>
      </c>
    </row>
    <row r="98" spans="52:66" ht="11.25" customHeight="1">
      <c r="AZ98" s="1826" t="s">
        <v>1816</v>
      </c>
      <c r="BA98" s="1827" t="s">
        <v>1817</v>
      </c>
      <c r="BH98" s="997" t="s">
        <v>1818</v>
      </c>
      <c r="BJ98" s="997" t="s">
        <v>1819</v>
      </c>
      <c r="BL98" s="997" t="s">
        <v>1820</v>
      </c>
      <c r="BN98" s="997" t="s">
        <v>1821</v>
      </c>
    </row>
    <row r="99" spans="52:66" ht="22.5" customHeight="1">
      <c r="AZ99" s="1826" t="s">
        <v>1822</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1823</v>
      </c>
      <c r="BJ99" s="997" t="s">
        <v>1824</v>
      </c>
      <c r="BL99" s="997" t="s">
        <v>1825</v>
      </c>
      <c r="BN99" s="997" t="s">
        <v>1826</v>
      </c>
    </row>
    <row r="100" spans="52:66" ht="22.5" customHeight="1">
      <c r="AZ100" s="1826" t="s">
        <v>1827</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1414</v>
      </c>
      <c r="BL100" s="997" t="s">
        <v>1414</v>
      </c>
      <c r="BN100" s="997" t="s">
        <v>1828</v>
      </c>
    </row>
    <row r="101" spans="52:66" ht="22.5" customHeight="1">
      <c r="AZ101" s="1826" t="s">
        <v>1829</v>
      </c>
      <c r="BA101" s="1827" t="s">
        <v>1830</v>
      </c>
      <c r="BN101" s="997" t="s">
        <v>1831</v>
      </c>
    </row>
    <row r="102" spans="52:66" ht="22.5" customHeight="1">
      <c r="AZ102" s="1826" t="s">
        <v>1832</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1833</v>
      </c>
    </row>
    <row r="103" spans="52:66" ht="11.25" customHeight="1">
      <c r="AZ103" s="1826" t="s">
        <v>1834</v>
      </c>
      <c r="BA103" s="1827" t="s">
        <v>1835</v>
      </c>
      <c r="BN103" s="997" t="s">
        <v>1836</v>
      </c>
    </row>
    <row r="104" spans="52:66" ht="11.25" customHeight="1">
      <c r="BN104" s="997" t="s">
        <v>1837</v>
      </c>
    </row>
    <row r="105" spans="52:66" ht="11.25" customHeight="1">
      <c r="AZ105" s="1618" t="s">
        <v>1838</v>
      </c>
    </row>
    <row r="106" spans="52:66" ht="11.25" customHeight="1">
      <c r="AZ106" s="1046" t="s">
        <v>1839</v>
      </c>
    </row>
    <row r="107" spans="52:66" ht="11.25" customHeight="1">
      <c r="AZ107" s="1046" t="s">
        <v>1840</v>
      </c>
      <c r="BH107" s="996" t="s">
        <v>1841</v>
      </c>
      <c r="BJ107" s="996" t="s">
        <v>1842</v>
      </c>
      <c r="BL107" s="996" t="s">
        <v>1843</v>
      </c>
      <c r="BN107" s="996" t="s">
        <v>1844</v>
      </c>
    </row>
    <row r="108" spans="52:66" ht="11.25" customHeight="1">
      <c r="AZ108" s="1046" t="s">
        <v>566</v>
      </c>
      <c r="BH108" s="997" t="s">
        <v>1845</v>
      </c>
      <c r="BJ108" s="997" t="s">
        <v>1846</v>
      </c>
      <c r="BL108" s="997" t="s">
        <v>1500</v>
      </c>
      <c r="BN108" s="997" t="s">
        <v>1847</v>
      </c>
    </row>
    <row r="109" spans="52:66" ht="11.25" customHeight="1">
      <c r="BH109" s="997" t="s">
        <v>1848</v>
      </c>
    </row>
    <row r="110" spans="52:66" ht="11.25" customHeight="1">
      <c r="AZ110" s="1618" t="s">
        <v>1849</v>
      </c>
      <c r="BH110" s="997" t="s">
        <v>1848</v>
      </c>
    </row>
    <row r="111" spans="52:66" ht="11.25" customHeight="1">
      <c r="AZ111" s="1826" t="s">
        <v>1810</v>
      </c>
      <c r="BA111" s="1827" t="s">
        <v>1811</v>
      </c>
    </row>
    <row r="112" spans="52:66" ht="11.25" customHeight="1">
      <c r="AZ112" s="1826" t="s">
        <v>1816</v>
      </c>
      <c r="BA112" s="1827" t="s">
        <v>1817</v>
      </c>
    </row>
    <row r="113" spans="52:60" ht="22.5" customHeight="1">
      <c r="AZ113" s="1826" t="s">
        <v>1822</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1827</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1850</v>
      </c>
    </row>
    <row r="115" spans="52:60" ht="22.5" customHeight="1">
      <c r="AZ115" s="1826" t="s">
        <v>1832</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1212</v>
      </c>
    </row>
    <row r="116" spans="52:60" ht="11.25" customHeight="1">
      <c r="AZ116" s="1826" t="s">
        <v>1834</v>
      </c>
      <c r="BA116" s="1827" t="s">
        <v>1835</v>
      </c>
      <c r="BH116" s="997" t="s">
        <v>1239</v>
      </c>
    </row>
    <row r="117" spans="52:60" ht="11.25" customHeight="1">
      <c r="BH117" s="997" t="s">
        <v>1274</v>
      </c>
    </row>
    <row r="118" spans="52:60" ht="11.25" customHeight="1">
      <c r="BH118" s="997" t="s">
        <v>1306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294</v>
      </c>
      <c r="J1" s="391" t="s">
        <v>14</v>
      </c>
    </row>
    <row r="2" spans="1:10" ht="22.5" hidden="1" customHeight="1">
      <c r="A2" s="438"/>
      <c r="B2" s="438"/>
      <c r="C2" s="1656" t="s">
        <v>684</v>
      </c>
      <c r="D2" s="1446"/>
      <c r="E2" s="1452"/>
      <c r="F2" s="1475"/>
      <c r="H2" s="411"/>
      <c r="J2" s="391">
        <v>0</v>
      </c>
    </row>
    <row r="3" spans="1:10" ht="11.25" hidden="1" customHeight="1">
      <c r="J3" s="391">
        <v>0</v>
      </c>
    </row>
    <row r="4" spans="1:10" ht="11.45" customHeight="1">
      <c r="A4" s="1476"/>
      <c r="B4" s="1476"/>
      <c r="J4" s="391">
        <v>11</v>
      </c>
    </row>
    <row r="5" spans="1:10" ht="27.4"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0"/>
      <c r="F5" s="2051"/>
      <c r="I5" s="651"/>
      <c r="J5" s="391">
        <v>26</v>
      </c>
    </row>
    <row r="6" spans="1:10" ht="18" customHeight="1">
      <c r="D6" s="2137" t="str">
        <f>IF(region_name=0,"Не определено",region_name)</f>
        <v>Республика Хакасия</v>
      </c>
      <c r="E6" s="2137"/>
      <c r="F6" s="2137"/>
      <c r="I6" s="651"/>
      <c r="J6" s="391">
        <v>17</v>
      </c>
    </row>
    <row r="7" spans="1:10" s="413" customFormat="1" ht="11.45" customHeight="1">
      <c r="A7" s="437"/>
      <c r="B7" s="437"/>
      <c r="D7" s="650"/>
      <c r="E7" s="650"/>
      <c r="F7" s="688"/>
      <c r="G7" s="650"/>
      <c r="J7" s="413">
        <v>11</v>
      </c>
    </row>
    <row r="8" spans="1:10" ht="11.25" hidden="1" customHeight="1">
      <c r="A8" s="438"/>
      <c r="B8" s="438"/>
      <c r="C8" s="393"/>
      <c r="D8" s="399"/>
      <c r="E8" s="2143"/>
      <c r="F8" s="2143"/>
      <c r="J8" s="391">
        <v>0</v>
      </c>
    </row>
    <row r="9" spans="1:10" ht="11.45" customHeight="1">
      <c r="A9" s="438"/>
      <c r="B9" s="438"/>
      <c r="C9" s="393"/>
      <c r="D9" s="2140" t="s">
        <v>295</v>
      </c>
      <c r="E9" s="2141"/>
      <c r="F9" s="2141"/>
      <c r="G9" s="2144" t="s">
        <v>296</v>
      </c>
      <c r="J9" s="391">
        <v>11</v>
      </c>
    </row>
    <row r="10" spans="1:10" ht="11.45" customHeight="1">
      <c r="A10" s="438"/>
      <c r="B10" s="438"/>
      <c r="C10" s="393"/>
      <c r="D10" s="1400" t="s">
        <v>84</v>
      </c>
      <c r="E10" s="1402" t="s">
        <v>297</v>
      </c>
      <c r="F10" s="1402" t="s">
        <v>298</v>
      </c>
      <c r="G10" s="2145"/>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ОП АО "Байкалэнерго" - "Саяногорские тепловые сети"</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1851</v>
      </c>
      <c r="F13" s="1447" t="s">
        <v>301</v>
      </c>
      <c r="G13" s="410"/>
      <c r="H13" s="1459"/>
      <c r="J13" s="391">
        <v>19</v>
      </c>
    </row>
    <row r="14" spans="1:10" ht="19.899999999999999" customHeight="1">
      <c r="A14" s="438"/>
      <c r="B14" s="438"/>
      <c r="C14" s="393"/>
      <c r="D14" s="1449" t="s">
        <v>704</v>
      </c>
      <c r="E14" s="1450" t="s">
        <v>1852</v>
      </c>
      <c r="F14" s="1452"/>
      <c r="G14" s="1451" t="s">
        <v>1853</v>
      </c>
      <c r="H14" s="1459"/>
      <c r="J14" s="391">
        <v>19</v>
      </c>
    </row>
    <row r="15" spans="1:10" ht="19.899999999999999" customHeight="1">
      <c r="A15" s="438"/>
      <c r="B15" s="438"/>
      <c r="C15" s="393"/>
      <c r="D15" s="1449" t="s">
        <v>302</v>
      </c>
      <c r="E15" s="1450" t="s">
        <v>1854</v>
      </c>
      <c r="F15" s="1452"/>
      <c r="G15" s="1451" t="s">
        <v>1855</v>
      </c>
      <c r="H15" s="1459"/>
      <c r="J15" s="391">
        <v>19</v>
      </c>
    </row>
    <row r="16" spans="1:10" ht="24" customHeight="1">
      <c r="A16" s="438"/>
      <c r="B16" s="438"/>
      <c r="C16" s="393"/>
      <c r="D16" s="1449" t="s">
        <v>305</v>
      </c>
      <c r="E16" s="1448" t="s">
        <v>1856</v>
      </c>
      <c r="F16" s="1457"/>
      <c r="G16" s="410" t="s">
        <v>1857</v>
      </c>
      <c r="H16" s="1459"/>
      <c r="J16" s="391">
        <v>23</v>
      </c>
    </row>
    <row r="17" spans="1:10" ht="48.2" customHeight="1">
      <c r="A17" s="438"/>
      <c r="B17" s="438"/>
      <c r="C17" s="393"/>
      <c r="D17" s="1446">
        <v>3</v>
      </c>
      <c r="E17" s="1453" t="s">
        <v>1858</v>
      </c>
      <c r="F17" s="1452"/>
      <c r="G17" s="410" t="s">
        <v>1859</v>
      </c>
      <c r="H17" s="1459"/>
      <c r="J17" s="391">
        <v>46</v>
      </c>
    </row>
    <row r="18" spans="1:10" ht="48.2" customHeight="1">
      <c r="A18" s="1401">
        <v>1</v>
      </c>
      <c r="B18" s="438"/>
      <c r="C18" s="1403"/>
      <c r="D18" s="1446" t="s">
        <v>87</v>
      </c>
      <c r="E18" s="1453" t="s">
        <v>1860</v>
      </c>
      <c r="F18" s="1452"/>
      <c r="G18" s="410" t="s">
        <v>1859</v>
      </c>
      <c r="H18" s="1459"/>
      <c r="I18" s="782"/>
      <c r="J18" s="391">
        <v>46</v>
      </c>
    </row>
    <row r="19" spans="1:10" ht="23.25" customHeight="1">
      <c r="A19" s="438"/>
      <c r="B19" s="438"/>
      <c r="C19" s="393"/>
      <c r="D19" s="1446" t="s">
        <v>107</v>
      </c>
      <c r="E19" s="1453" t="s">
        <v>1861</v>
      </c>
      <c r="F19" s="1447" t="s">
        <v>301</v>
      </c>
      <c r="G19" s="2348" t="s">
        <v>1862</v>
      </c>
      <c r="H19" s="411"/>
      <c r="J19" s="391">
        <v>22</v>
      </c>
    </row>
    <row r="20" spans="1:10" s="1456" customFormat="1" ht="5.25" hidden="1" customHeight="1">
      <c r="A20" s="438"/>
      <c r="B20" s="438"/>
      <c r="C20" s="1455"/>
      <c r="D20" s="1454" t="s">
        <v>1113</v>
      </c>
      <c r="E20" s="943"/>
      <c r="F20" s="942"/>
      <c r="G20" s="2349"/>
      <c r="J20" s="1456">
        <v>0</v>
      </c>
    </row>
    <row r="21" spans="1:10" ht="15.75" customHeight="1">
      <c r="A21" s="438"/>
      <c r="B21" s="438"/>
      <c r="C21" s="393"/>
      <c r="D21" s="403"/>
      <c r="E21" s="351" t="s">
        <v>334</v>
      </c>
      <c r="F21" s="405"/>
      <c r="G21" s="2350"/>
      <c r="H21" s="1459"/>
      <c r="J21" s="391">
        <v>15</v>
      </c>
    </row>
    <row r="22" spans="1:10" s="437" customFormat="1" ht="26.25" customHeight="1">
      <c r="A22" s="438"/>
      <c r="B22" s="438"/>
      <c r="C22" s="438"/>
      <c r="D22" s="1446" t="s">
        <v>88</v>
      </c>
      <c r="E22" s="410" t="s">
        <v>1863</v>
      </c>
      <c r="F22" s="1452"/>
      <c r="G22" s="410" t="s">
        <v>1864</v>
      </c>
      <c r="H22" s="1458"/>
      <c r="J22" s="437">
        <v>25</v>
      </c>
    </row>
    <row r="23" spans="1:10" s="437" customFormat="1" ht="19.899999999999999" customHeight="1">
      <c r="A23" s="438"/>
      <c r="B23" s="438"/>
      <c r="C23" s="438"/>
      <c r="D23" s="1446" t="s">
        <v>89</v>
      </c>
      <c r="E23" s="1453" t="s">
        <v>1865</v>
      </c>
      <c r="F23" s="1457"/>
      <c r="G23" s="410" t="s">
        <v>1866</v>
      </c>
      <c r="H23" s="1458"/>
      <c r="J23" s="437">
        <v>19</v>
      </c>
    </row>
    <row r="24" spans="1:10" s="437" customFormat="1" ht="144" hidden="1" customHeight="1">
      <c r="A24" s="438"/>
      <c r="B24" s="438"/>
      <c r="C24" s="438"/>
      <c r="D24" s="1446" t="s">
        <v>108</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78</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1867</v>
      </c>
      <c r="G1" s="1557" t="s">
        <v>48</v>
      </c>
      <c r="H1" s="1557" t="s">
        <v>50</v>
      </c>
      <c r="IU1" s="1081" t="s">
        <v>14</v>
      </c>
    </row>
    <row r="2" spans="1:255" s="1775" customFormat="1" ht="22.5" hidden="1" customHeight="1">
      <c r="A2" s="761"/>
      <c r="B2" s="1086">
        <v>1</v>
      </c>
      <c r="C2" s="1086"/>
      <c r="D2" s="1850" t="s">
        <v>684</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79</v>
      </c>
      <c r="G3" s="430" t="s">
        <v>80</v>
      </c>
      <c r="H3" s="430"/>
      <c r="I3" s="430"/>
      <c r="J3" s="164" t="s">
        <v>81</v>
      </c>
      <c r="K3" s="184" t="s">
        <v>79</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2"/>
      <c r="G5" s="2042"/>
      <c r="H5" s="2042"/>
      <c r="I5" s="2042"/>
      <c r="J5" s="2042"/>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38" t="s">
        <v>295</v>
      </c>
      <c r="F7" s="2043"/>
      <c r="G7" s="2043"/>
      <c r="H7" s="2043"/>
      <c r="I7" s="2043"/>
      <c r="J7" s="2351" t="s">
        <v>296</v>
      </c>
      <c r="K7" s="436"/>
      <c r="L7" s="436"/>
      <c r="M7" s="436"/>
      <c r="N7" s="436"/>
      <c r="O7" s="163"/>
      <c r="P7" s="436"/>
      <c r="Q7" s="162"/>
      <c r="R7" s="162"/>
      <c r="S7" s="162"/>
      <c r="T7" s="162"/>
      <c r="IU7" s="443">
        <v>14</v>
      </c>
    </row>
    <row r="8" spans="1:255" s="1745" customFormat="1" ht="21" customHeight="1">
      <c r="A8" s="1081"/>
      <c r="B8" s="1086"/>
      <c r="C8" s="1081"/>
      <c r="D8" s="1421"/>
      <c r="E8" s="1474" t="s">
        <v>84</v>
      </c>
      <c r="F8" s="1466" t="s">
        <v>1867</v>
      </c>
      <c r="G8" s="1466" t="s">
        <v>48</v>
      </c>
      <c r="H8" s="1466" t="s">
        <v>50</v>
      </c>
      <c r="I8" s="1466" t="s">
        <v>1868</v>
      </c>
      <c r="J8" s="2352"/>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1869</v>
      </c>
      <c r="G10" s="1468"/>
      <c r="H10" s="1468"/>
      <c r="I10" s="1824"/>
      <c r="J10" s="2102"/>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78</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684</v>
      </c>
      <c r="E2" s="1814"/>
      <c r="F2" s="1817" t="str">
        <f>IF(ROIV_INFO_NAME="","",ROIV_INFO_NAME)</f>
        <v>ОП АО "Байкалэнерго" - "Саяногорские тепловые сети"</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79</v>
      </c>
      <c r="G3" s="1661" t="s">
        <v>80</v>
      </c>
      <c r="H3" s="430"/>
      <c r="I3" s="430"/>
      <c r="J3" s="430"/>
      <c r="K3" s="430"/>
      <c r="L3" s="164" t="s">
        <v>81</v>
      </c>
      <c r="M3" s="184" t="s">
        <v>79</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38" t="s">
        <v>295</v>
      </c>
      <c r="F7" s="2043"/>
      <c r="G7" s="2043"/>
      <c r="H7" s="2043"/>
      <c r="I7" s="2043"/>
      <c r="J7" s="2043"/>
      <c r="K7" s="2043"/>
      <c r="L7" s="2351" t="s">
        <v>296</v>
      </c>
      <c r="M7" s="436"/>
      <c r="N7" s="436"/>
      <c r="O7" s="436"/>
      <c r="P7" s="436"/>
      <c r="Q7" s="163"/>
      <c r="R7" s="436"/>
      <c r="S7" s="162"/>
      <c r="T7" s="162"/>
      <c r="U7" s="162"/>
      <c r="V7" s="162"/>
      <c r="IW7" s="443">
        <v>14</v>
      </c>
    </row>
    <row r="8" spans="1:257" s="1745" customFormat="1" ht="67.150000000000006" customHeight="1">
      <c r="A8" s="1081"/>
      <c r="B8" s="1086"/>
      <c r="C8" s="1081"/>
      <c r="D8" s="1421"/>
      <c r="E8" s="2355" t="s">
        <v>84</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436"/>
      <c r="N8" s="436"/>
      <c r="O8" s="436"/>
      <c r="P8" s="436"/>
      <c r="Q8" s="163"/>
      <c r="R8" s="436"/>
      <c r="S8" s="162"/>
      <c r="T8" s="162"/>
      <c r="U8" s="162"/>
      <c r="V8" s="162"/>
      <c r="IW8" s="443">
        <v>64</v>
      </c>
    </row>
    <row r="9" spans="1:257" s="1745" customFormat="1" ht="29.25" customHeight="1">
      <c r="A9" s="1081"/>
      <c r="B9" s="1086"/>
      <c r="C9" s="1081"/>
      <c r="D9" s="1421"/>
      <c r="E9" s="2356"/>
      <c r="F9" s="2356"/>
      <c r="G9" s="1463" t="s">
        <v>1870</v>
      </c>
      <c r="H9" s="1463" t="s">
        <v>1871</v>
      </c>
      <c r="I9" s="1463" t="s">
        <v>1872</v>
      </c>
      <c r="J9" s="2356"/>
      <c r="K9" s="2356"/>
      <c r="L9" s="2352"/>
      <c r="M9" s="436"/>
      <c r="N9" s="436"/>
      <c r="O9" s="436"/>
      <c r="P9" s="436"/>
      <c r="Q9" s="163"/>
      <c r="R9" s="436"/>
      <c r="S9" s="162"/>
      <c r="T9" s="162"/>
      <c r="U9" s="162"/>
      <c r="V9" s="162"/>
      <c r="IW9" s="443">
        <v>28</v>
      </c>
    </row>
    <row r="10" spans="1:257" s="1775" customFormat="1" ht="23.25" customHeight="1">
      <c r="A10" s="2041"/>
      <c r="B10" s="1086">
        <v>1</v>
      </c>
      <c r="C10" s="1086"/>
      <c r="D10" s="730"/>
      <c r="E10" s="728">
        <v>1</v>
      </c>
      <c r="F10" s="1465" t="str">
        <f>IF(ROIV_INFO_NAME="","",ROIV_INFO_NAME)</f>
        <v>ОП АО "Байкалэнерго" - "Саяногорские тепловые сети"</v>
      </c>
      <c r="G10" s="1658" t="s">
        <v>22</v>
      </c>
      <c r="H10" s="1841"/>
      <c r="I10" s="1460"/>
      <c r="J10" s="748"/>
      <c r="K10" s="748"/>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1"/>
      <c r="B11" s="1086"/>
      <c r="C11" s="348"/>
      <c r="D11" s="731"/>
      <c r="E11" s="357"/>
      <c r="F11" s="352" t="s">
        <v>1873</v>
      </c>
      <c r="G11" s="124"/>
      <c r="H11" s="124"/>
      <c r="I11" s="124"/>
      <c r="J11" s="124"/>
      <c r="K11" s="360"/>
      <c r="L11" s="2354"/>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78</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684</v>
      </c>
      <c r="E2" s="1829"/>
      <c r="F2" s="1831" t="str">
        <f>IF(ROIV_INFO_NAME="","",ROIV_INFO_NAME)</f>
        <v>ОП АО "Байкалэнерго" - "Саяногорские тепловые сети"</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79</v>
      </c>
      <c r="G3" s="1661" t="s">
        <v>80</v>
      </c>
      <c r="H3" s="1818"/>
      <c r="I3" s="1818"/>
      <c r="J3" s="1818"/>
      <c r="K3" s="1818"/>
      <c r="L3" s="164" t="s">
        <v>81</v>
      </c>
      <c r="M3" s="185" t="s">
        <v>79</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38" t="s">
        <v>295</v>
      </c>
      <c r="F7" s="2043"/>
      <c r="G7" s="2043"/>
      <c r="H7" s="2043"/>
      <c r="I7" s="2043"/>
      <c r="J7" s="2043"/>
      <c r="K7" s="2043"/>
      <c r="L7" s="2351" t="s">
        <v>296</v>
      </c>
      <c r="M7" s="1550"/>
      <c r="N7" s="1550"/>
      <c r="O7" s="1550"/>
      <c r="P7" s="1550"/>
      <c r="Q7" s="1550"/>
      <c r="R7" s="1550"/>
      <c r="S7" s="162"/>
      <c r="T7" s="162"/>
      <c r="U7" s="162"/>
      <c r="V7" s="162"/>
      <c r="IW7" s="1535">
        <v>14</v>
      </c>
    </row>
    <row r="8" spans="1:257" s="1745" customFormat="1" ht="67.150000000000006" customHeight="1">
      <c r="A8" s="1557"/>
      <c r="B8" s="1292"/>
      <c r="C8" s="1557"/>
      <c r="D8" s="1441"/>
      <c r="E8" s="2355" t="s">
        <v>84</v>
      </c>
      <c r="F8" s="2355" t="s">
        <v>1874</v>
      </c>
      <c r="G8" s="2357" t="s">
        <v>1875</v>
      </c>
      <c r="H8" s="2358"/>
      <c r="I8" s="2359"/>
      <c r="J8" s="2355" t="s">
        <v>1876</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1550"/>
      <c r="N8" s="1550"/>
      <c r="O8" s="1550"/>
      <c r="P8" s="1550"/>
      <c r="Q8" s="1550"/>
      <c r="R8" s="1550"/>
      <c r="S8" s="162"/>
      <c r="T8" s="162"/>
      <c r="U8" s="162"/>
      <c r="V8" s="162"/>
      <c r="IW8" s="1535">
        <v>64</v>
      </c>
    </row>
    <row r="9" spans="1:257" s="1745" customFormat="1" ht="29.25" customHeight="1">
      <c r="A9" s="1557"/>
      <c r="B9" s="1292"/>
      <c r="C9" s="1557"/>
      <c r="D9" s="1441"/>
      <c r="E9" s="2356"/>
      <c r="F9" s="2356"/>
      <c r="G9" s="1819" t="s">
        <v>1870</v>
      </c>
      <c r="H9" s="1819" t="s">
        <v>1871</v>
      </c>
      <c r="I9" s="1819" t="s">
        <v>1872</v>
      </c>
      <c r="J9" s="2356"/>
      <c r="K9" s="2356"/>
      <c r="L9" s="2352"/>
      <c r="M9" s="1550"/>
      <c r="N9" s="1550"/>
      <c r="O9" s="1550"/>
      <c r="P9" s="1550"/>
      <c r="Q9" s="1550"/>
      <c r="R9" s="1550"/>
      <c r="S9" s="162"/>
      <c r="T9" s="162"/>
      <c r="U9" s="162"/>
      <c r="V9" s="162"/>
      <c r="IW9" s="1535">
        <v>28</v>
      </c>
    </row>
    <row r="10" spans="1:257" s="1775" customFormat="1" ht="1.1499999999999999" customHeight="1">
      <c r="A10" s="2041"/>
      <c r="B10" s="1292">
        <v>1</v>
      </c>
      <c r="C10" s="1292"/>
      <c r="D10" s="730"/>
      <c r="E10" s="725">
        <v>0</v>
      </c>
      <c r="F10" s="1816" t="str">
        <f>IF(ROIV_INFO_NAME="","",ROIV_INFO_NAME)</f>
        <v>ОП АО "Байкалэнерго" - "Саяногорские тепловые сети"</v>
      </c>
      <c r="G10" s="1659" t="s">
        <v>22</v>
      </c>
      <c r="H10" s="1828"/>
      <c r="I10" s="1828"/>
      <c r="J10" s="455"/>
      <c r="K10" s="455"/>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1"/>
      <c r="B11" s="1292"/>
      <c r="C11" s="348"/>
      <c r="D11" s="731"/>
      <c r="E11" s="357"/>
      <c r="F11" s="587" t="s">
        <v>1873</v>
      </c>
      <c r="G11" s="124"/>
      <c r="H11" s="124"/>
      <c r="I11" s="124"/>
      <c r="J11" s="124"/>
      <c r="K11" s="360"/>
      <c r="L11" s="2354"/>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78</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684</v>
      </c>
      <c r="E2" s="2056">
        <v>1</v>
      </c>
      <c r="F2" s="2223" t="str">
        <f>IF(region_name="","",region_name)</f>
        <v>Республика Хакасия</v>
      </c>
      <c r="G2" s="2368"/>
      <c r="H2" s="2369"/>
      <c r="I2" s="410"/>
      <c r="J2" s="1835">
        <v>1</v>
      </c>
      <c r="K2" s="1837"/>
      <c r="L2" s="1837"/>
      <c r="M2" s="1837"/>
      <c r="N2" s="428"/>
      <c r="O2" s="1461"/>
      <c r="P2" s="447"/>
      <c r="Q2" s="359">
        <v>0</v>
      </c>
    </row>
    <row r="3" spans="1:17" s="1775" customFormat="1" ht="22.5" hidden="1" customHeight="1">
      <c r="A3" s="761"/>
      <c r="B3" s="1086"/>
      <c r="C3" s="1086"/>
      <c r="D3" s="731"/>
      <c r="E3" s="2056"/>
      <c r="F3" s="2223"/>
      <c r="G3" s="2368"/>
      <c r="H3" s="2370"/>
      <c r="I3" s="357"/>
      <c r="J3" s="1426"/>
      <c r="K3" s="1426" t="s">
        <v>1877</v>
      </c>
      <c r="L3" s="1469"/>
      <c r="M3" s="1845"/>
      <c r="N3" s="1838"/>
      <c r="O3" s="1461"/>
      <c r="P3" s="447"/>
      <c r="Q3" s="359">
        <v>0</v>
      </c>
    </row>
    <row r="4" spans="1:17" s="1568" customFormat="1" ht="5.25" hidden="1" customHeight="1">
      <c r="A4" s="432"/>
      <c r="D4" s="430"/>
      <c r="F4" s="184" t="s">
        <v>79</v>
      </c>
      <c r="G4" s="430" t="s">
        <v>80</v>
      </c>
      <c r="H4" s="430"/>
      <c r="I4" s="1848"/>
      <c r="J4" s="1470"/>
      <c r="K4" s="1836"/>
      <c r="L4" s="1836"/>
      <c r="M4" s="1836"/>
      <c r="N4" s="1832"/>
      <c r="O4" s="184" t="s">
        <v>79</v>
      </c>
      <c r="P4" s="184"/>
      <c r="Q4" s="447">
        <v>0</v>
      </c>
    </row>
    <row r="5" spans="1:17" s="1775" customFormat="1" ht="22.5" hidden="1" customHeight="1">
      <c r="A5" s="1567"/>
      <c r="B5" s="1292">
        <v>1</v>
      </c>
      <c r="C5" s="1292"/>
      <c r="D5" s="731"/>
      <c r="E5" s="1838"/>
      <c r="F5" s="1838"/>
      <c r="G5" s="1838"/>
      <c r="H5" s="1849"/>
      <c r="I5" s="1851" t="s">
        <v>684</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5"/>
      <c r="J9" s="2365"/>
      <c r="K9" s="2365"/>
      <c r="L9" s="1839"/>
      <c r="M9" s="1840"/>
      <c r="O9" s="1471"/>
      <c r="P9" s="1471"/>
      <c r="Q9" s="1472">
        <v>0</v>
      </c>
    </row>
    <row r="10" spans="1:17" s="1745" customFormat="1" ht="14.65" customHeight="1">
      <c r="A10" s="1081"/>
      <c r="B10" s="1086"/>
      <c r="C10" s="1081"/>
      <c r="D10" s="1421"/>
      <c r="E10" s="2056" t="s">
        <v>295</v>
      </c>
      <c r="F10" s="2056"/>
      <c r="G10" s="2056"/>
      <c r="H10" s="2056"/>
      <c r="I10" s="2056"/>
      <c r="J10" s="2056"/>
      <c r="K10" s="2056"/>
      <c r="L10" s="2056"/>
      <c r="M10" s="2038"/>
      <c r="N10" s="2355" t="s">
        <v>296</v>
      </c>
      <c r="O10" s="436"/>
      <c r="P10" s="436"/>
      <c r="Q10" s="443">
        <v>14</v>
      </c>
    </row>
    <row r="11" spans="1:17" s="1745" customFormat="1" ht="44.25" customHeight="1">
      <c r="A11" s="1557"/>
      <c r="B11" s="1292"/>
      <c r="C11" s="1557"/>
      <c r="D11" s="1441"/>
      <c r="E11" s="2364" t="s">
        <v>84</v>
      </c>
      <c r="F11" s="2364" t="s">
        <v>299</v>
      </c>
      <c r="G11" s="2364" t="s">
        <v>1878</v>
      </c>
      <c r="H11" s="2364"/>
      <c r="I11" s="2364" t="s">
        <v>1879</v>
      </c>
      <c r="J11" s="2364"/>
      <c r="K11" s="2364"/>
      <c r="L11" s="2364" t="s">
        <v>1880</v>
      </c>
      <c r="M11" s="2357" t="s">
        <v>1881</v>
      </c>
      <c r="N11" s="2363"/>
      <c r="O11" s="1550"/>
      <c r="P11" s="1550"/>
      <c r="Q11" s="1535">
        <v>42</v>
      </c>
    </row>
    <row r="12" spans="1:17" s="1745" customFormat="1" ht="29.25" customHeight="1">
      <c r="A12" s="1081"/>
      <c r="B12" s="1086"/>
      <c r="C12" s="1081"/>
      <c r="D12" s="1421"/>
      <c r="E12" s="2355"/>
      <c r="F12" s="2364"/>
      <c r="G12" s="1834" t="s">
        <v>1882</v>
      </c>
      <c r="H12" s="1834" t="s">
        <v>303</v>
      </c>
      <c r="I12" s="2364"/>
      <c r="J12" s="2364"/>
      <c r="K12" s="2364"/>
      <c r="L12" s="2364"/>
      <c r="M12" s="2357"/>
      <c r="N12" s="2356"/>
      <c r="O12" s="436"/>
      <c r="P12" s="436"/>
      <c r="Q12" s="443">
        <v>28</v>
      </c>
    </row>
    <row r="13" spans="1:17" s="1775" customFormat="1" ht="23.25" customHeight="1">
      <c r="A13" s="2041">
        <v>26379339</v>
      </c>
      <c r="B13" s="1086">
        <v>1</v>
      </c>
      <c r="C13" s="1086"/>
      <c r="D13" s="731"/>
      <c r="E13" s="2056">
        <v>1</v>
      </c>
      <c r="F13" s="2371" t="str">
        <f>IF(region_name="","",region_name)</f>
        <v>Республика Хакасия</v>
      </c>
      <c r="G13" s="2372"/>
      <c r="H13" s="2366"/>
      <c r="I13" s="410"/>
      <c r="J13" s="1830">
        <v>1</v>
      </c>
      <c r="K13" s="1843"/>
      <c r="L13" s="1844"/>
      <c r="M13" s="1844"/>
      <c r="N13" s="2360" t="s">
        <v>1883</v>
      </c>
      <c r="O13" s="1461"/>
      <c r="P13" s="447"/>
      <c r="Q13" s="359">
        <v>22</v>
      </c>
    </row>
    <row r="14" spans="1:17" s="1775" customFormat="1" ht="23.25" customHeight="1">
      <c r="A14" s="2041"/>
      <c r="B14" s="1086"/>
      <c r="C14" s="1086"/>
      <c r="D14" s="731"/>
      <c r="E14" s="2056"/>
      <c r="F14" s="2371"/>
      <c r="G14" s="2372"/>
      <c r="H14" s="2367"/>
      <c r="I14" s="357"/>
      <c r="J14" s="1426"/>
      <c r="K14" s="1426" t="s">
        <v>1877</v>
      </c>
      <c r="L14" s="1469"/>
      <c r="M14" s="1469"/>
      <c r="N14" s="2361"/>
      <c r="O14" s="1461"/>
      <c r="P14" s="447"/>
      <c r="Q14" s="359">
        <v>22</v>
      </c>
    </row>
    <row r="15" spans="1:17" s="1775" customFormat="1" ht="23.25" customHeight="1">
      <c r="A15" s="2041"/>
      <c r="B15" s="1086"/>
      <c r="C15" s="348"/>
      <c r="D15" s="731"/>
      <c r="E15" s="357"/>
      <c r="F15" s="1426" t="s">
        <v>1869</v>
      </c>
      <c r="G15" s="1468"/>
      <c r="H15" s="1468"/>
      <c r="I15" s="124"/>
      <c r="J15" s="124"/>
      <c r="K15" s="124"/>
      <c r="L15" s="124"/>
      <c r="M15" s="124"/>
      <c r="N15" s="2361"/>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78</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2" t="s">
        <v>1884</v>
      </c>
      <c r="E5" s="2042"/>
      <c r="F5" s="2042"/>
      <c r="G5" s="2042"/>
      <c r="H5" s="2042"/>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5" t="s">
        <v>295</v>
      </c>
      <c r="E8" s="2145"/>
      <c r="F8" s="2145"/>
      <c r="G8" s="2145"/>
      <c r="H8" s="2145"/>
      <c r="I8" s="2145" t="s">
        <v>296</v>
      </c>
      <c r="M8" s="60">
        <v>14</v>
      </c>
    </row>
    <row r="9" spans="1:13" ht="29.25" customHeight="1">
      <c r="D9" s="2145" t="s">
        <v>84</v>
      </c>
      <c r="E9" s="2145" t="s">
        <v>1885</v>
      </c>
      <c r="F9" s="2145"/>
      <c r="G9" s="2145"/>
      <c r="H9" s="2145"/>
      <c r="I9" s="2145"/>
      <c r="M9" s="60">
        <v>28</v>
      </c>
    </row>
    <row r="10" spans="1:13" ht="24" customHeight="1">
      <c r="D10" s="2145"/>
      <c r="E10" s="66" t="s">
        <v>1886</v>
      </c>
      <c r="F10" s="66" t="s">
        <v>1887</v>
      </c>
      <c r="G10" s="66" t="s">
        <v>1888</v>
      </c>
      <c r="H10" s="66" t="s">
        <v>385</v>
      </c>
      <c r="I10" s="2145"/>
      <c r="M10" s="60">
        <v>23</v>
      </c>
    </row>
    <row r="11" spans="1:13" ht="12" hidden="1" customHeight="1">
      <c r="D11" s="26" t="s">
        <v>105</v>
      </c>
      <c r="E11" s="26" t="s">
        <v>87</v>
      </c>
      <c r="F11" s="26" t="s">
        <v>107</v>
      </c>
      <c r="G11" s="26" t="s">
        <v>88</v>
      </c>
      <c r="H11" s="26" t="s">
        <v>89</v>
      </c>
      <c r="I11" s="26" t="s">
        <v>108</v>
      </c>
      <c r="M11" s="60">
        <v>0</v>
      </c>
    </row>
    <row r="12" spans="1:13" s="1748" customFormat="1" ht="26.25" customHeight="1">
      <c r="A12" s="82" t="s">
        <v>86</v>
      </c>
      <c r="B12" s="64" t="s">
        <v>22</v>
      </c>
      <c r="C12" s="65"/>
      <c r="D12" s="67" t="s">
        <v>105</v>
      </c>
      <c r="E12" s="317"/>
      <c r="F12" s="317"/>
      <c r="G12" s="1660" t="s">
        <v>22</v>
      </c>
      <c r="H12" s="318"/>
      <c r="I12" s="2100" t="s">
        <v>1889</v>
      </c>
      <c r="K12" s="209"/>
      <c r="L12" s="210"/>
      <c r="M12" s="56">
        <v>25</v>
      </c>
    </row>
    <row r="13" spans="1:13" ht="15.75" customHeight="1">
      <c r="A13" s="60"/>
      <c r="B13" s="60"/>
      <c r="C13" s="60"/>
      <c r="D13" s="48"/>
      <c r="E13" s="69" t="s">
        <v>463</v>
      </c>
      <c r="F13" s="68"/>
      <c r="G13" s="68"/>
      <c r="H13" s="151"/>
      <c r="I13" s="2102"/>
      <c r="M13" s="60">
        <v>15</v>
      </c>
    </row>
    <row r="14" spans="1:13" ht="3" customHeight="1">
      <c r="A14" s="60"/>
      <c r="B14" s="60"/>
      <c r="C14" s="60"/>
      <c r="M14" s="60">
        <v>3</v>
      </c>
    </row>
    <row r="15" spans="1:13" ht="29.25" customHeight="1">
      <c r="E15" s="2373" t="s">
        <v>1890</v>
      </c>
      <c r="F15" s="2373"/>
      <c r="G15" s="2373"/>
      <c r="H15" s="2373"/>
      <c r="M15" s="60">
        <v>28</v>
      </c>
    </row>
    <row r="16" spans="1:13" ht="14.25" hidden="1" customHeight="1">
      <c r="A16" s="57" t="s">
        <v>78</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4" t="s">
        <v>1891</v>
      </c>
      <c r="E7" s="2375"/>
      <c r="F7" s="204"/>
      <c r="J7" s="8">
        <v>22</v>
      </c>
    </row>
    <row r="8" spans="1:10" ht="3" customHeight="1">
      <c r="C8" s="31"/>
      <c r="D8" s="9"/>
      <c r="E8" s="9"/>
      <c r="J8" s="8">
        <v>3</v>
      </c>
    </row>
    <row r="9" spans="1:10" ht="16.899999999999999" customHeight="1">
      <c r="C9" s="31"/>
      <c r="D9" s="44" t="s">
        <v>84</v>
      </c>
      <c r="E9" s="197" t="s">
        <v>1892</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1893</v>
      </c>
      <c r="J13" s="8">
        <v>12</v>
      </c>
    </row>
    <row r="14" spans="1:10" ht="3" customHeight="1">
      <c r="J14" s="8">
        <v>3</v>
      </c>
    </row>
    <row r="15" spans="1:10" ht="23.25" customHeight="1">
      <c r="C15" s="75"/>
      <c r="D15" s="2373" t="s">
        <v>1894</v>
      </c>
      <c r="E15" s="2373"/>
      <c r="F15" s="76"/>
      <c r="G15" s="76"/>
      <c r="H15" s="76"/>
      <c r="I15" s="76"/>
      <c r="J15" s="8">
        <v>22</v>
      </c>
    </row>
    <row r="16" spans="1:10" ht="14.25" hidden="1" customHeight="1">
      <c r="A16" s="8" t="s">
        <v>78</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2" t="s">
        <v>1895</v>
      </c>
      <c r="E7" s="2042"/>
      <c r="F7" s="204"/>
      <c r="M7" s="8">
        <v>22</v>
      </c>
    </row>
    <row r="8" spans="1:13" ht="3" customHeight="1">
      <c r="C8" s="31"/>
      <c r="D8" s="9"/>
      <c r="E8" s="9"/>
      <c r="M8" s="8">
        <v>3</v>
      </c>
    </row>
    <row r="9" spans="1:13" ht="16.899999999999999" customHeight="1">
      <c r="C9" s="31"/>
      <c r="D9" s="44" t="s">
        <v>84</v>
      </c>
      <c r="E9" s="47" t="s">
        <v>282</v>
      </c>
      <c r="M9" s="8">
        <v>16</v>
      </c>
    </row>
    <row r="10" spans="1:13" ht="12.75" customHeight="1">
      <c r="C10" s="31"/>
      <c r="D10" s="26" t="s">
        <v>105</v>
      </c>
      <c r="E10" s="26" t="s">
        <v>106</v>
      </c>
      <c r="M10" s="8">
        <v>12</v>
      </c>
    </row>
    <row r="11" spans="1:13" ht="15" hidden="1" customHeight="1">
      <c r="C11" s="31"/>
      <c r="D11" s="52">
        <v>0</v>
      </c>
      <c r="E11" s="86"/>
      <c r="M11" s="8">
        <v>0</v>
      </c>
    </row>
    <row r="12" spans="1:13" ht="14.65" customHeight="1">
      <c r="C12" s="31"/>
      <c r="D12" s="48"/>
      <c r="E12" s="46" t="s">
        <v>1893</v>
      </c>
      <c r="M12" s="8">
        <v>14</v>
      </c>
    </row>
    <row r="13" spans="1:13" ht="14.25" hidden="1" customHeight="1">
      <c r="A13" s="8" t="s">
        <v>78</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274</v>
      </c>
      <c r="M2" s="1479" t="s">
        <v>275</v>
      </c>
      <c r="R2" s="1479" t="s">
        <v>276</v>
      </c>
      <c r="S2" s="1479" t="s">
        <v>275</v>
      </c>
      <c r="X2" s="1479" t="s">
        <v>274</v>
      </c>
      <c r="Y2" s="1479" t="s">
        <v>275</v>
      </c>
      <c r="AD2" s="1479" t="s">
        <v>274</v>
      </c>
      <c r="AE2" s="1479" t="s">
        <v>275</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4" t="s">
        <v>277</v>
      </c>
      <c r="E4" s="2114"/>
      <c r="F4" s="2114"/>
      <c r="G4" s="2114"/>
      <c r="H4" s="2114"/>
      <c r="I4" s="2114"/>
      <c r="J4" s="2114"/>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7" t="str">
        <f>IF(org=0,"Не определено",org)</f>
        <v>ОП АО "Байкалэнерго" - "Саяногорские тепловые сети"</v>
      </c>
      <c r="E5" s="2137"/>
      <c r="F5" s="2137"/>
      <c r="G5" s="2137"/>
      <c r="H5" s="2137"/>
      <c r="I5" s="2137"/>
      <c r="J5" s="2137"/>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6" t="s">
        <v>84</v>
      </c>
      <c r="E8" s="2056" t="s">
        <v>101</v>
      </c>
      <c r="F8" s="2116" t="s">
        <v>119</v>
      </c>
      <c r="G8" s="2117"/>
      <c r="H8" s="2116" t="s">
        <v>84</v>
      </c>
      <c r="I8" s="2117"/>
      <c r="J8" s="2056" t="s">
        <v>120</v>
      </c>
      <c r="K8" s="1482"/>
      <c r="L8" s="2115" t="s">
        <v>278</v>
      </c>
      <c r="M8" s="2115"/>
      <c r="N8" s="2115"/>
      <c r="O8" s="2115"/>
      <c r="P8" s="2115"/>
      <c r="Q8" s="1483"/>
      <c r="R8" s="2038" t="s">
        <v>279</v>
      </c>
      <c r="S8" s="2043"/>
      <c r="T8" s="2043"/>
      <c r="U8" s="2043"/>
      <c r="V8" s="2043"/>
      <c r="W8" s="1483"/>
      <c r="X8" s="2056" t="s">
        <v>280</v>
      </c>
      <c r="Y8" s="2056"/>
      <c r="Z8" s="2056"/>
      <c r="AA8" s="2056"/>
      <c r="AB8" s="2056"/>
      <c r="AC8" s="1484"/>
      <c r="AD8" s="2056" t="s">
        <v>281</v>
      </c>
      <c r="AE8" s="2056"/>
      <c r="AF8" s="2056"/>
      <c r="AG8" s="2056"/>
      <c r="AH8" s="2038"/>
      <c r="AI8" s="2056" t="s">
        <v>282</v>
      </c>
      <c r="AJ8" s="1500"/>
      <c r="BM8" s="230">
        <v>32</v>
      </c>
    </row>
    <row r="9" spans="1:65" ht="23.25" customHeight="1">
      <c r="D9" s="2056"/>
      <c r="E9" s="2056"/>
      <c r="F9" s="2115" t="s">
        <v>85</v>
      </c>
      <c r="G9" s="2115" t="s">
        <v>125</v>
      </c>
      <c r="H9" s="2118"/>
      <c r="I9" s="2119"/>
      <c r="J9" s="2038"/>
      <c r="K9" s="1485"/>
      <c r="L9" s="2056" t="s">
        <v>283</v>
      </c>
      <c r="M9" s="2038"/>
      <c r="N9" s="2116" t="s">
        <v>84</v>
      </c>
      <c r="O9" s="2117"/>
      <c r="P9" s="2056" t="s">
        <v>126</v>
      </c>
      <c r="Q9" s="1482"/>
      <c r="R9" s="2056" t="s">
        <v>283</v>
      </c>
      <c r="S9" s="2038"/>
      <c r="T9" s="2116" t="s">
        <v>84</v>
      </c>
      <c r="U9" s="2117"/>
      <c r="V9" s="2056" t="s">
        <v>126</v>
      </c>
      <c r="W9" s="1482"/>
      <c r="X9" s="2056" t="s">
        <v>283</v>
      </c>
      <c r="Y9" s="2038"/>
      <c r="Z9" s="2116" t="s">
        <v>84</v>
      </c>
      <c r="AA9" s="2117"/>
      <c r="AB9" s="2056" t="s">
        <v>284</v>
      </c>
      <c r="AC9" s="1482"/>
      <c r="AD9" s="2056" t="s">
        <v>283</v>
      </c>
      <c r="AE9" s="2038"/>
      <c r="AF9" s="2116" t="s">
        <v>84</v>
      </c>
      <c r="AG9" s="2117"/>
      <c r="AH9" s="2038" t="s">
        <v>284</v>
      </c>
      <c r="AI9" s="2056"/>
      <c r="AJ9" s="1500"/>
      <c r="BM9" s="230">
        <v>22</v>
      </c>
    </row>
    <row r="10" spans="1:65" ht="24" customHeight="1">
      <c r="D10" s="2115"/>
      <c r="E10" s="2115"/>
      <c r="F10" s="2120"/>
      <c r="G10" s="2120"/>
      <c r="H10" s="2121"/>
      <c r="I10" s="2122"/>
      <c r="J10" s="2116"/>
      <c r="K10" s="1485"/>
      <c r="L10" s="1504" t="s">
        <v>285</v>
      </c>
      <c r="M10" s="1499" t="s">
        <v>286</v>
      </c>
      <c r="N10" s="2118"/>
      <c r="O10" s="2119"/>
      <c r="P10" s="2115"/>
      <c r="Q10" s="1482"/>
      <c r="R10" s="1504" t="s">
        <v>285</v>
      </c>
      <c r="S10" s="1499" t="s">
        <v>286</v>
      </c>
      <c r="T10" s="2118"/>
      <c r="U10" s="2119"/>
      <c r="V10" s="2115"/>
      <c r="W10" s="1482"/>
      <c r="X10" s="1504" t="s">
        <v>285</v>
      </c>
      <c r="Y10" s="1499" t="s">
        <v>286</v>
      </c>
      <c r="Z10" s="2118"/>
      <c r="AA10" s="2119"/>
      <c r="AB10" s="2115"/>
      <c r="AC10" s="1482"/>
      <c r="AD10" s="1504" t="s">
        <v>285</v>
      </c>
      <c r="AE10" s="1499" t="s">
        <v>286</v>
      </c>
      <c r="AF10" s="2118"/>
      <c r="AG10" s="2119"/>
      <c r="AH10" s="2116"/>
      <c r="AI10" s="2115"/>
      <c r="AJ10" s="1500"/>
      <c r="AK10" s="191" t="s">
        <v>287</v>
      </c>
      <c r="AL10" s="191" t="s">
        <v>127</v>
      </c>
      <c r="BM10" s="230">
        <v>23</v>
      </c>
    </row>
    <row r="11" spans="1:65" ht="15" customHeight="1">
      <c r="D11" s="2123" t="s">
        <v>105</v>
      </c>
      <c r="E11" s="2125" t="s">
        <v>288</v>
      </c>
      <c r="F11" s="2125" t="s">
        <v>289</v>
      </c>
      <c r="G11" s="2128" t="s">
        <v>19</v>
      </c>
      <c r="H11" s="1525"/>
      <c r="I11" s="2130"/>
      <c r="J11" s="2084"/>
      <c r="K11" s="1440"/>
      <c r="L11" s="2076"/>
      <c r="M11" s="2076"/>
      <c r="N11" s="1510"/>
      <c r="O11" s="2076"/>
      <c r="P11" s="2084"/>
      <c r="Q11" s="1511"/>
      <c r="R11" s="2076"/>
      <c r="S11" s="2076"/>
      <c r="T11" s="1512"/>
      <c r="U11" s="2076"/>
      <c r="V11" s="2084"/>
      <c r="W11" s="1513"/>
      <c r="X11" s="2076"/>
      <c r="Y11" s="2076"/>
      <c r="Z11" s="1510"/>
      <c r="AA11" s="2076"/>
      <c r="AB11" s="2084"/>
      <c r="AC11" s="1514"/>
      <c r="AD11" s="2076"/>
      <c r="AE11" s="2076"/>
      <c r="AF11" s="1439"/>
      <c r="AG11" s="1439"/>
      <c r="AH11" s="1515"/>
      <c r="AI11" s="1222"/>
      <c r="AJ11" s="1500"/>
      <c r="BM11" s="230">
        <v>14</v>
      </c>
    </row>
    <row r="12" spans="1:65" ht="14.65" customHeight="1">
      <c r="D12" s="2123"/>
      <c r="E12" s="2125"/>
      <c r="F12" s="2125"/>
      <c r="G12" s="2129"/>
      <c r="H12" s="1526"/>
      <c r="I12" s="2131"/>
      <c r="J12" s="2085"/>
      <c r="K12" s="1536"/>
      <c r="L12" s="2077"/>
      <c r="M12" s="2077"/>
      <c r="N12" s="1516"/>
      <c r="O12" s="2077"/>
      <c r="P12" s="2085"/>
      <c r="Q12" s="1517"/>
      <c r="R12" s="2077"/>
      <c r="S12" s="2077"/>
      <c r="T12" s="1518"/>
      <c r="U12" s="2077"/>
      <c r="V12" s="2085"/>
      <c r="W12" s="1519"/>
      <c r="X12" s="2077"/>
      <c r="Y12" s="2077"/>
      <c r="Z12" s="1516"/>
      <c r="AA12" s="2077"/>
      <c r="AB12" s="2085"/>
      <c r="AC12" s="1520"/>
      <c r="AD12" s="2077"/>
      <c r="AE12" s="2077"/>
      <c r="AF12" s="1521"/>
      <c r="AG12" s="1521"/>
      <c r="AH12" s="2134"/>
      <c r="AI12" s="2135"/>
      <c r="AJ12" s="1500"/>
      <c r="BM12" s="230">
        <v>14</v>
      </c>
    </row>
    <row r="13" spans="1:65" ht="14.65" customHeight="1">
      <c r="D13" s="2123"/>
      <c r="E13" s="2125"/>
      <c r="F13" s="2125"/>
      <c r="G13" s="2129"/>
      <c r="H13" s="1526"/>
      <c r="I13" s="2131"/>
      <c r="J13" s="2085"/>
      <c r="K13" s="1536"/>
      <c r="L13" s="2077"/>
      <c r="M13" s="2077"/>
      <c r="N13" s="1516"/>
      <c r="O13" s="2077"/>
      <c r="P13" s="2085"/>
      <c r="Q13" s="1517"/>
      <c r="R13" s="2077"/>
      <c r="S13" s="2077"/>
      <c r="T13" s="1518"/>
      <c r="U13" s="2077"/>
      <c r="V13" s="2085"/>
      <c r="W13" s="1519"/>
      <c r="X13" s="2077"/>
      <c r="Y13" s="2077"/>
      <c r="Z13" s="1438"/>
      <c r="AA13" s="1521"/>
      <c r="AB13" s="2134"/>
      <c r="AC13" s="2134"/>
      <c r="AD13" s="2134"/>
      <c r="AE13" s="2134"/>
      <c r="AF13" s="2134"/>
      <c r="AG13" s="2134"/>
      <c r="AH13" s="2134"/>
      <c r="AI13" s="2135"/>
      <c r="AJ13" s="1500"/>
      <c r="BM13" s="230">
        <v>14</v>
      </c>
    </row>
    <row r="14" spans="1:65" ht="14.65" customHeight="1">
      <c r="D14" s="2123"/>
      <c r="E14" s="2125"/>
      <c r="F14" s="2125"/>
      <c r="G14" s="2129"/>
      <c r="H14" s="1526"/>
      <c r="I14" s="2131"/>
      <c r="J14" s="2085"/>
      <c r="K14" s="1536"/>
      <c r="L14" s="2077"/>
      <c r="M14" s="2077"/>
      <c r="N14" s="1516"/>
      <c r="O14" s="2077"/>
      <c r="P14" s="2085"/>
      <c r="Q14" s="1517"/>
      <c r="R14" s="2077"/>
      <c r="S14" s="2077"/>
      <c r="T14" s="1522"/>
      <c r="U14" s="1523"/>
      <c r="V14" s="2134"/>
      <c r="W14" s="2134"/>
      <c r="X14" s="2134"/>
      <c r="Y14" s="2134"/>
      <c r="Z14" s="2134"/>
      <c r="AA14" s="2134"/>
      <c r="AB14" s="2134"/>
      <c r="AC14" s="2134"/>
      <c r="AD14" s="2134"/>
      <c r="AE14" s="2134"/>
      <c r="AF14" s="2134"/>
      <c r="AG14" s="2134"/>
      <c r="AH14" s="2134"/>
      <c r="AI14" s="2135"/>
      <c r="AJ14" s="1500"/>
      <c r="BM14" s="230">
        <v>14</v>
      </c>
    </row>
    <row r="15" spans="1:65" ht="11.45" customHeight="1">
      <c r="D15" s="2123"/>
      <c r="E15" s="2125"/>
      <c r="F15" s="2125"/>
      <c r="G15" s="2129"/>
      <c r="H15" s="1527"/>
      <c r="I15" s="2131"/>
      <c r="J15" s="2085"/>
      <c r="K15" s="1536"/>
      <c r="L15" s="2077"/>
      <c r="M15" s="2077"/>
      <c r="N15" s="1521"/>
      <c r="O15" s="1521"/>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500"/>
      <c r="BM15" s="230">
        <v>11</v>
      </c>
    </row>
    <row r="16" spans="1:65" s="1480" customFormat="1" ht="11.45" customHeight="1">
      <c r="D16" s="2124"/>
      <c r="E16" s="2126"/>
      <c r="F16" s="2127"/>
      <c r="G16" s="2071"/>
      <c r="H16" s="1524"/>
      <c r="I16" s="1528"/>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3" t="s">
        <v>106</v>
      </c>
      <c r="E17" s="2125" t="s">
        <v>288</v>
      </c>
      <c r="F17" s="2125" t="s">
        <v>290</v>
      </c>
      <c r="G17" s="2128" t="s">
        <v>19</v>
      </c>
      <c r="H17" s="1525"/>
      <c r="I17" s="2130"/>
      <c r="J17" s="2084"/>
      <c r="K17" s="1440"/>
      <c r="L17" s="2076"/>
      <c r="M17" s="2076"/>
      <c r="N17" s="1510"/>
      <c r="O17" s="2076"/>
      <c r="P17" s="2084"/>
      <c r="Q17" s="1511"/>
      <c r="R17" s="2076"/>
      <c r="S17" s="2076"/>
      <c r="T17" s="1512"/>
      <c r="U17" s="2076"/>
      <c r="V17" s="2084"/>
      <c r="W17" s="1513"/>
      <c r="X17" s="2076"/>
      <c r="Y17" s="2076"/>
      <c r="Z17" s="1510"/>
      <c r="AA17" s="2076"/>
      <c r="AB17" s="2084"/>
      <c r="AC17" s="1514"/>
      <c r="AD17" s="2076"/>
      <c r="AE17" s="2076"/>
      <c r="AF17" s="1439"/>
      <c r="AG17" s="1439"/>
      <c r="AH17" s="1515"/>
      <c r="AI17" s="1222"/>
      <c r="AJ17" s="1500"/>
      <c r="BM17" s="230">
        <v>14</v>
      </c>
    </row>
    <row r="18" spans="4:65" ht="14.65" customHeight="1">
      <c r="D18" s="2123"/>
      <c r="E18" s="2125"/>
      <c r="F18" s="2125"/>
      <c r="G18" s="2129"/>
      <c r="H18" s="1526"/>
      <c r="I18" s="2131"/>
      <c r="J18" s="2085"/>
      <c r="K18" s="1509"/>
      <c r="L18" s="2077"/>
      <c r="M18" s="2077"/>
      <c r="N18" s="1516"/>
      <c r="O18" s="2077"/>
      <c r="P18" s="2085"/>
      <c r="Q18" s="1517"/>
      <c r="R18" s="2077"/>
      <c r="S18" s="2077"/>
      <c r="T18" s="1518"/>
      <c r="U18" s="2077"/>
      <c r="V18" s="2085"/>
      <c r="W18" s="1519"/>
      <c r="X18" s="2077"/>
      <c r="Y18" s="2077"/>
      <c r="Z18" s="1516"/>
      <c r="AA18" s="2077"/>
      <c r="AB18" s="2085"/>
      <c r="AC18" s="1520"/>
      <c r="AD18" s="2077"/>
      <c r="AE18" s="2077"/>
      <c r="AF18" s="1521"/>
      <c r="AG18" s="1521"/>
      <c r="AH18" s="2134"/>
      <c r="AI18" s="2135"/>
      <c r="AJ18" s="1500"/>
      <c r="BM18" s="230">
        <v>14</v>
      </c>
    </row>
    <row r="19" spans="4:65" ht="14.65" customHeight="1">
      <c r="D19" s="2123"/>
      <c r="E19" s="2125"/>
      <c r="F19" s="2125"/>
      <c r="G19" s="2129"/>
      <c r="H19" s="1526"/>
      <c r="I19" s="2131"/>
      <c r="J19" s="2085"/>
      <c r="K19" s="1509"/>
      <c r="L19" s="2077"/>
      <c r="M19" s="2077"/>
      <c r="N19" s="1516"/>
      <c r="O19" s="2077"/>
      <c r="P19" s="2085"/>
      <c r="Q19" s="1517"/>
      <c r="R19" s="2077"/>
      <c r="S19" s="2077"/>
      <c r="T19" s="1518"/>
      <c r="U19" s="2077"/>
      <c r="V19" s="2085"/>
      <c r="W19" s="1519"/>
      <c r="X19" s="2077"/>
      <c r="Y19" s="2077"/>
      <c r="Z19" s="1438"/>
      <c r="AA19" s="1521"/>
      <c r="AB19" s="2134"/>
      <c r="AC19" s="2134"/>
      <c r="AD19" s="2134"/>
      <c r="AE19" s="2134"/>
      <c r="AF19" s="2134"/>
      <c r="AG19" s="2134"/>
      <c r="AH19" s="2134"/>
      <c r="AI19" s="2135"/>
      <c r="AJ19" s="1500"/>
      <c r="BM19" s="230">
        <v>14</v>
      </c>
    </row>
    <row r="20" spans="4:65" ht="14.65" customHeight="1">
      <c r="D20" s="2123"/>
      <c r="E20" s="2125"/>
      <c r="F20" s="2125"/>
      <c r="G20" s="2129"/>
      <c r="H20" s="1526"/>
      <c r="I20" s="2131"/>
      <c r="J20" s="2085"/>
      <c r="K20" s="1509"/>
      <c r="L20" s="2077"/>
      <c r="M20" s="2077"/>
      <c r="N20" s="1516"/>
      <c r="O20" s="2077"/>
      <c r="P20" s="2085"/>
      <c r="Q20" s="1517"/>
      <c r="R20" s="2077"/>
      <c r="S20" s="2077"/>
      <c r="T20" s="1522"/>
      <c r="U20" s="1523"/>
      <c r="V20" s="2134"/>
      <c r="W20" s="2134"/>
      <c r="X20" s="2134"/>
      <c r="Y20" s="2134"/>
      <c r="Z20" s="2134"/>
      <c r="AA20" s="2134"/>
      <c r="AB20" s="2134"/>
      <c r="AC20" s="2134"/>
      <c r="AD20" s="2134"/>
      <c r="AE20" s="2134"/>
      <c r="AF20" s="2134"/>
      <c r="AG20" s="2134"/>
      <c r="AH20" s="2134"/>
      <c r="AI20" s="2135"/>
      <c r="AJ20" s="1500"/>
      <c r="BM20" s="230">
        <v>14</v>
      </c>
    </row>
    <row r="21" spans="4:65" ht="11.45" customHeight="1">
      <c r="D21" s="2123"/>
      <c r="E21" s="2125"/>
      <c r="F21" s="2125"/>
      <c r="G21" s="2129"/>
      <c r="H21" s="1527"/>
      <c r="I21" s="2131"/>
      <c r="J21" s="2085"/>
      <c r="K21" s="1509"/>
      <c r="L21" s="2077"/>
      <c r="M21" s="2077"/>
      <c r="N21" s="1521"/>
      <c r="O21" s="1521"/>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500"/>
      <c r="BM21" s="230">
        <v>11</v>
      </c>
    </row>
    <row r="22" spans="4:65" s="1480" customFormat="1" ht="11.45" customHeight="1">
      <c r="D22" s="2124"/>
      <c r="E22" s="2126"/>
      <c r="F22" s="2127"/>
      <c r="G22" s="2071"/>
      <c r="H22" s="1524"/>
      <c r="I22" s="1528"/>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3" t="s">
        <v>86</v>
      </c>
      <c r="E23" s="2125" t="s">
        <v>288</v>
      </c>
      <c r="F23" s="2125" t="s">
        <v>291</v>
      </c>
      <c r="G23" s="2128" t="s">
        <v>19</v>
      </c>
      <c r="H23" s="1525"/>
      <c r="I23" s="2130"/>
      <c r="J23" s="2084"/>
      <c r="K23" s="1440"/>
      <c r="L23" s="2076"/>
      <c r="M23" s="2076"/>
      <c r="N23" s="1510"/>
      <c r="O23" s="2076"/>
      <c r="P23" s="2084"/>
      <c r="Q23" s="1511"/>
      <c r="R23" s="2076"/>
      <c r="S23" s="2076"/>
      <c r="T23" s="1512"/>
      <c r="U23" s="2076"/>
      <c r="V23" s="2084"/>
      <c r="W23" s="1513"/>
      <c r="X23" s="2076"/>
      <c r="Y23" s="2076"/>
      <c r="Z23" s="1510"/>
      <c r="AA23" s="2076"/>
      <c r="AB23" s="2084"/>
      <c r="AC23" s="1514"/>
      <c r="AD23" s="2076"/>
      <c r="AE23" s="2076"/>
      <c r="AF23" s="1439"/>
      <c r="AG23" s="1439"/>
      <c r="AH23" s="1515"/>
      <c r="AI23" s="1222"/>
      <c r="AJ23" s="1500"/>
      <c r="AK23" s="243" t="s">
        <v>94</v>
      </c>
      <c r="BM23" s="230">
        <v>14</v>
      </c>
    </row>
    <row r="24" spans="4:65" ht="14.65" customHeight="1">
      <c r="D24" s="2123"/>
      <c r="E24" s="2125"/>
      <c r="F24" s="2125"/>
      <c r="G24" s="2129"/>
      <c r="H24" s="1526"/>
      <c r="I24" s="2131"/>
      <c r="J24" s="2085"/>
      <c r="K24" s="1536"/>
      <c r="L24" s="2077"/>
      <c r="M24" s="2077"/>
      <c r="N24" s="1516"/>
      <c r="O24" s="2077"/>
      <c r="P24" s="2085"/>
      <c r="Q24" s="1517"/>
      <c r="R24" s="2077"/>
      <c r="S24" s="2077"/>
      <c r="T24" s="1518"/>
      <c r="U24" s="2077"/>
      <c r="V24" s="2085"/>
      <c r="W24" s="1519"/>
      <c r="X24" s="2077"/>
      <c r="Y24" s="2077"/>
      <c r="Z24" s="1516"/>
      <c r="AA24" s="2077"/>
      <c r="AB24" s="2085"/>
      <c r="AC24" s="1520"/>
      <c r="AD24" s="2077"/>
      <c r="AE24" s="2077"/>
      <c r="AF24" s="1521"/>
      <c r="AG24" s="1521"/>
      <c r="AH24" s="2134"/>
      <c r="AI24" s="2135"/>
      <c r="AJ24" s="1500"/>
      <c r="BM24" s="230">
        <v>14</v>
      </c>
    </row>
    <row r="25" spans="4:65" ht="14.65" customHeight="1">
      <c r="D25" s="2123"/>
      <c r="E25" s="2125"/>
      <c r="F25" s="2125"/>
      <c r="G25" s="2129"/>
      <c r="H25" s="1526"/>
      <c r="I25" s="2131"/>
      <c r="J25" s="2085"/>
      <c r="K25" s="1536"/>
      <c r="L25" s="2077"/>
      <c r="M25" s="2077"/>
      <c r="N25" s="1516"/>
      <c r="O25" s="2077"/>
      <c r="P25" s="2085"/>
      <c r="Q25" s="1517"/>
      <c r="R25" s="2077"/>
      <c r="S25" s="2077"/>
      <c r="T25" s="1518"/>
      <c r="U25" s="2077"/>
      <c r="V25" s="2085"/>
      <c r="W25" s="1519"/>
      <c r="X25" s="2077"/>
      <c r="Y25" s="2077"/>
      <c r="Z25" s="1438"/>
      <c r="AA25" s="1521"/>
      <c r="AB25" s="2134"/>
      <c r="AC25" s="2134"/>
      <c r="AD25" s="2134"/>
      <c r="AE25" s="2134"/>
      <c r="AF25" s="2134"/>
      <c r="AG25" s="2134"/>
      <c r="AH25" s="2134"/>
      <c r="AI25" s="2135"/>
      <c r="AJ25" s="1500"/>
      <c r="BM25" s="230">
        <v>14</v>
      </c>
    </row>
    <row r="26" spans="4:65" ht="14.65" customHeight="1">
      <c r="D26" s="2123"/>
      <c r="E26" s="2125"/>
      <c r="F26" s="2125"/>
      <c r="G26" s="2129"/>
      <c r="H26" s="1526"/>
      <c r="I26" s="2131"/>
      <c r="J26" s="2085"/>
      <c r="K26" s="1536"/>
      <c r="L26" s="2077"/>
      <c r="M26" s="2077"/>
      <c r="N26" s="1516"/>
      <c r="O26" s="2077"/>
      <c r="P26" s="2085"/>
      <c r="Q26" s="1517"/>
      <c r="R26" s="2077"/>
      <c r="S26" s="2077"/>
      <c r="T26" s="1522"/>
      <c r="U26" s="1523"/>
      <c r="V26" s="2134"/>
      <c r="W26" s="2134"/>
      <c r="X26" s="2134"/>
      <c r="Y26" s="2134"/>
      <c r="Z26" s="2134"/>
      <c r="AA26" s="2134"/>
      <c r="AB26" s="2134"/>
      <c r="AC26" s="2134"/>
      <c r="AD26" s="2134"/>
      <c r="AE26" s="2134"/>
      <c r="AF26" s="2134"/>
      <c r="AG26" s="2134"/>
      <c r="AH26" s="2134"/>
      <c r="AI26" s="2135"/>
      <c r="AJ26" s="1500"/>
      <c r="BM26" s="230">
        <v>14</v>
      </c>
    </row>
    <row r="27" spans="4:65" ht="11.45" customHeight="1">
      <c r="D27" s="2123"/>
      <c r="E27" s="2125"/>
      <c r="F27" s="2125"/>
      <c r="G27" s="2129"/>
      <c r="H27" s="1527"/>
      <c r="I27" s="2131"/>
      <c r="J27" s="2085"/>
      <c r="K27" s="1536"/>
      <c r="L27" s="2077"/>
      <c r="M27" s="2077"/>
      <c r="N27" s="1521"/>
      <c r="O27" s="1521"/>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500"/>
      <c r="BM27" s="230">
        <v>11</v>
      </c>
    </row>
    <row r="28" spans="4:65" s="1480" customFormat="1" ht="11.45" customHeight="1">
      <c r="D28" s="2124"/>
      <c r="E28" s="2126"/>
      <c r="F28" s="2127"/>
      <c r="G28" s="2071"/>
      <c r="H28" s="1524"/>
      <c r="I28" s="1528"/>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3" t="s">
        <v>87</v>
      </c>
      <c r="E29" s="2125" t="s">
        <v>288</v>
      </c>
      <c r="F29" s="2125" t="s">
        <v>292</v>
      </c>
      <c r="G29" s="2128" t="s">
        <v>19</v>
      </c>
      <c r="H29" s="1525"/>
      <c r="I29" s="2130"/>
      <c r="J29" s="2084"/>
      <c r="K29" s="1440"/>
      <c r="L29" s="2076"/>
      <c r="M29" s="2076"/>
      <c r="N29" s="1510"/>
      <c r="O29" s="2076"/>
      <c r="P29" s="2084"/>
      <c r="Q29" s="1511"/>
      <c r="R29" s="2076"/>
      <c r="S29" s="2076"/>
      <c r="T29" s="1512"/>
      <c r="U29" s="2076"/>
      <c r="V29" s="2084"/>
      <c r="W29" s="1513"/>
      <c r="X29" s="2076"/>
      <c r="Y29" s="2076"/>
      <c r="Z29" s="1510"/>
      <c r="AA29" s="2076"/>
      <c r="AB29" s="2084"/>
      <c r="AC29" s="1514"/>
      <c r="AD29" s="2076"/>
      <c r="AE29" s="2076"/>
      <c r="AF29" s="1439"/>
      <c r="AG29" s="1439"/>
      <c r="AH29" s="1515"/>
      <c r="AI29" s="1222"/>
      <c r="AJ29" s="1500"/>
      <c r="BM29" s="230">
        <v>14</v>
      </c>
    </row>
    <row r="30" spans="4:65" ht="14.65" customHeight="1">
      <c r="D30" s="2123"/>
      <c r="E30" s="2125"/>
      <c r="F30" s="2125"/>
      <c r="G30" s="2129"/>
      <c r="H30" s="1526"/>
      <c r="I30" s="2131"/>
      <c r="J30" s="2085"/>
      <c r="K30" s="1509"/>
      <c r="L30" s="2077"/>
      <c r="M30" s="2077"/>
      <c r="N30" s="1516"/>
      <c r="O30" s="2077"/>
      <c r="P30" s="2085"/>
      <c r="Q30" s="1517"/>
      <c r="R30" s="2077"/>
      <c r="S30" s="2077"/>
      <c r="T30" s="1518"/>
      <c r="U30" s="2077"/>
      <c r="V30" s="2085"/>
      <c r="W30" s="1519"/>
      <c r="X30" s="2077"/>
      <c r="Y30" s="2077"/>
      <c r="Z30" s="1516"/>
      <c r="AA30" s="2077"/>
      <c r="AB30" s="2085"/>
      <c r="AC30" s="1520"/>
      <c r="AD30" s="2077"/>
      <c r="AE30" s="2077"/>
      <c r="AF30" s="1521"/>
      <c r="AG30" s="1521"/>
      <c r="AH30" s="2134"/>
      <c r="AI30" s="2135"/>
      <c r="AJ30" s="1500"/>
      <c r="BM30" s="230">
        <v>14</v>
      </c>
    </row>
    <row r="31" spans="4:65" ht="14.65" customHeight="1">
      <c r="D31" s="2123"/>
      <c r="E31" s="2125"/>
      <c r="F31" s="2125"/>
      <c r="G31" s="2129"/>
      <c r="H31" s="1526"/>
      <c r="I31" s="2131"/>
      <c r="J31" s="2085"/>
      <c r="K31" s="1509"/>
      <c r="L31" s="2077"/>
      <c r="M31" s="2077"/>
      <c r="N31" s="1516"/>
      <c r="O31" s="2077"/>
      <c r="P31" s="2085"/>
      <c r="Q31" s="1517"/>
      <c r="R31" s="2077"/>
      <c r="S31" s="2077"/>
      <c r="T31" s="1518"/>
      <c r="U31" s="2077"/>
      <c r="V31" s="2085"/>
      <c r="W31" s="1519"/>
      <c r="X31" s="2077"/>
      <c r="Y31" s="2077"/>
      <c r="Z31" s="1438"/>
      <c r="AA31" s="1521"/>
      <c r="AB31" s="2134"/>
      <c r="AC31" s="2134"/>
      <c r="AD31" s="2134"/>
      <c r="AE31" s="2134"/>
      <c r="AF31" s="2134"/>
      <c r="AG31" s="2134"/>
      <c r="AH31" s="2134"/>
      <c r="AI31" s="2135"/>
      <c r="AJ31" s="1500"/>
      <c r="BM31" s="230">
        <v>14</v>
      </c>
    </row>
    <row r="32" spans="4:65" ht="14.65" customHeight="1">
      <c r="D32" s="2123"/>
      <c r="E32" s="2125"/>
      <c r="F32" s="2125"/>
      <c r="G32" s="2129"/>
      <c r="H32" s="1526"/>
      <c r="I32" s="2131"/>
      <c r="J32" s="2085"/>
      <c r="K32" s="1509"/>
      <c r="L32" s="2077"/>
      <c r="M32" s="2077"/>
      <c r="N32" s="1516"/>
      <c r="O32" s="2077"/>
      <c r="P32" s="2085"/>
      <c r="Q32" s="1517"/>
      <c r="R32" s="2077"/>
      <c r="S32" s="2077"/>
      <c r="T32" s="1522"/>
      <c r="U32" s="1523"/>
      <c r="V32" s="2134"/>
      <c r="W32" s="2134"/>
      <c r="X32" s="2134"/>
      <c r="Y32" s="2134"/>
      <c r="Z32" s="2134"/>
      <c r="AA32" s="2134"/>
      <c r="AB32" s="2134"/>
      <c r="AC32" s="2134"/>
      <c r="AD32" s="2134"/>
      <c r="AE32" s="2134"/>
      <c r="AF32" s="2134"/>
      <c r="AG32" s="2134"/>
      <c r="AH32" s="2134"/>
      <c r="AI32" s="2135"/>
      <c r="AJ32" s="1500"/>
      <c r="BM32" s="230">
        <v>14</v>
      </c>
    </row>
    <row r="33" spans="4:65" ht="11.45" customHeight="1">
      <c r="D33" s="2123"/>
      <c r="E33" s="2125"/>
      <c r="F33" s="2125"/>
      <c r="G33" s="2129"/>
      <c r="H33" s="1527"/>
      <c r="I33" s="2131"/>
      <c r="J33" s="2085"/>
      <c r="K33" s="1509"/>
      <c r="L33" s="2077"/>
      <c r="M33" s="2077"/>
      <c r="N33" s="1521"/>
      <c r="O33" s="1521"/>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500"/>
      <c r="BM33" s="230">
        <v>11</v>
      </c>
    </row>
    <row r="34" spans="4:65" s="1480" customFormat="1" ht="11.45" customHeight="1">
      <c r="D34" s="2124"/>
      <c r="E34" s="2126"/>
      <c r="F34" s="2127"/>
      <c r="G34" s="2071"/>
      <c r="H34" s="1524"/>
      <c r="I34" s="1528"/>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3" t="s">
        <v>107</v>
      </c>
      <c r="E35" s="2125" t="s">
        <v>288</v>
      </c>
      <c r="F35" s="2125" t="s">
        <v>293</v>
      </c>
      <c r="G35" s="2128" t="s">
        <v>19</v>
      </c>
      <c r="H35" s="1525"/>
      <c r="I35" s="2130"/>
      <c r="J35" s="2084"/>
      <c r="K35" s="1440"/>
      <c r="L35" s="2076"/>
      <c r="M35" s="2076"/>
      <c r="N35" s="1510"/>
      <c r="O35" s="2076"/>
      <c r="P35" s="2084"/>
      <c r="Q35" s="1511"/>
      <c r="R35" s="2076"/>
      <c r="S35" s="2076"/>
      <c r="T35" s="1512"/>
      <c r="U35" s="2076"/>
      <c r="V35" s="2084"/>
      <c r="W35" s="1513"/>
      <c r="X35" s="2076"/>
      <c r="Y35" s="2076"/>
      <c r="Z35" s="1510"/>
      <c r="AA35" s="2076"/>
      <c r="AB35" s="2084"/>
      <c r="AC35" s="1514"/>
      <c r="AD35" s="2076"/>
      <c r="AE35" s="2076"/>
      <c r="AF35" s="1439"/>
      <c r="AG35" s="1439"/>
      <c r="AH35" s="1515"/>
      <c r="AI35" s="1222"/>
      <c r="AJ35" s="1500"/>
      <c r="BM35" s="230">
        <v>14</v>
      </c>
    </row>
    <row r="36" spans="4:65" ht="14.65" customHeight="1">
      <c r="D36" s="2123"/>
      <c r="E36" s="2125"/>
      <c r="F36" s="2125"/>
      <c r="G36" s="2129"/>
      <c r="H36" s="1526"/>
      <c r="I36" s="2131"/>
      <c r="J36" s="2085"/>
      <c r="K36" s="1509"/>
      <c r="L36" s="2077"/>
      <c r="M36" s="2077"/>
      <c r="N36" s="1516"/>
      <c r="O36" s="2077"/>
      <c r="P36" s="2085"/>
      <c r="Q36" s="1517"/>
      <c r="R36" s="2077"/>
      <c r="S36" s="2077"/>
      <c r="T36" s="1518"/>
      <c r="U36" s="2077"/>
      <c r="V36" s="2085"/>
      <c r="W36" s="1519"/>
      <c r="X36" s="2077"/>
      <c r="Y36" s="2077"/>
      <c r="Z36" s="1516"/>
      <c r="AA36" s="2077"/>
      <c r="AB36" s="2085"/>
      <c r="AC36" s="1520"/>
      <c r="AD36" s="2077"/>
      <c r="AE36" s="2077"/>
      <c r="AF36" s="1521"/>
      <c r="AG36" s="1521"/>
      <c r="AH36" s="2134"/>
      <c r="AI36" s="2135"/>
      <c r="AJ36" s="1500"/>
      <c r="BM36" s="230">
        <v>14</v>
      </c>
    </row>
    <row r="37" spans="4:65" ht="14.65" customHeight="1">
      <c r="D37" s="2123"/>
      <c r="E37" s="2125"/>
      <c r="F37" s="2125"/>
      <c r="G37" s="2129"/>
      <c r="H37" s="1526"/>
      <c r="I37" s="2131"/>
      <c r="J37" s="2085"/>
      <c r="K37" s="1509"/>
      <c r="L37" s="2077"/>
      <c r="M37" s="2077"/>
      <c r="N37" s="1516"/>
      <c r="O37" s="2077"/>
      <c r="P37" s="2085"/>
      <c r="Q37" s="1517"/>
      <c r="R37" s="2077"/>
      <c r="S37" s="2077"/>
      <c r="T37" s="1518"/>
      <c r="U37" s="2077"/>
      <c r="V37" s="2085"/>
      <c r="W37" s="1519"/>
      <c r="X37" s="2077"/>
      <c r="Y37" s="2077"/>
      <c r="Z37" s="1438"/>
      <c r="AA37" s="1521"/>
      <c r="AB37" s="2134"/>
      <c r="AC37" s="2134"/>
      <c r="AD37" s="2134"/>
      <c r="AE37" s="2134"/>
      <c r="AF37" s="2134"/>
      <c r="AG37" s="2134"/>
      <c r="AH37" s="2134"/>
      <c r="AI37" s="2135"/>
      <c r="AJ37" s="1500"/>
      <c r="BM37" s="230">
        <v>14</v>
      </c>
    </row>
    <row r="38" spans="4:65" ht="14.65" customHeight="1">
      <c r="D38" s="2123"/>
      <c r="E38" s="2125"/>
      <c r="F38" s="2125"/>
      <c r="G38" s="2129"/>
      <c r="H38" s="1526"/>
      <c r="I38" s="2131"/>
      <c r="J38" s="2085"/>
      <c r="K38" s="1509"/>
      <c r="L38" s="2077"/>
      <c r="M38" s="2077"/>
      <c r="N38" s="1516"/>
      <c r="O38" s="2077"/>
      <c r="P38" s="2085"/>
      <c r="Q38" s="1517"/>
      <c r="R38" s="2077"/>
      <c r="S38" s="2077"/>
      <c r="T38" s="1522"/>
      <c r="U38" s="1523"/>
      <c r="V38" s="2134"/>
      <c r="W38" s="2134"/>
      <c r="X38" s="2134"/>
      <c r="Y38" s="2134"/>
      <c r="Z38" s="2134"/>
      <c r="AA38" s="2134"/>
      <c r="AB38" s="2134"/>
      <c r="AC38" s="2134"/>
      <c r="AD38" s="2134"/>
      <c r="AE38" s="2134"/>
      <c r="AF38" s="2134"/>
      <c r="AG38" s="2134"/>
      <c r="AH38" s="2134"/>
      <c r="AI38" s="2135"/>
      <c r="AJ38" s="1500"/>
      <c r="BM38" s="230">
        <v>14</v>
      </c>
    </row>
    <row r="39" spans="4:65" ht="11.45" customHeight="1">
      <c r="D39" s="2123"/>
      <c r="E39" s="2125"/>
      <c r="F39" s="2125"/>
      <c r="G39" s="2129"/>
      <c r="H39" s="1527"/>
      <c r="I39" s="2131"/>
      <c r="J39" s="2085"/>
      <c r="K39" s="1509"/>
      <c r="L39" s="2077"/>
      <c r="M39" s="2077"/>
      <c r="N39" s="1521"/>
      <c r="O39" s="1521"/>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500"/>
      <c r="BM39" s="230">
        <v>11</v>
      </c>
    </row>
    <row r="40" spans="4:65" s="1480" customFormat="1" ht="11.45" customHeight="1">
      <c r="D40" s="2123"/>
      <c r="E40" s="2125"/>
      <c r="F40" s="2136"/>
      <c r="G40" s="2071"/>
      <c r="H40" s="1524"/>
      <c r="I40" s="1528"/>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78</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376" t="s">
        <v>1896</v>
      </c>
      <c r="C2" s="2376"/>
      <c r="D2" s="2376"/>
      <c r="E2" s="205"/>
      <c r="F2" s="28">
        <v>22</v>
      </c>
    </row>
    <row r="3" spans="1:6" ht="3" customHeight="1">
      <c r="F3" s="28">
        <v>3</v>
      </c>
    </row>
    <row r="4" spans="1:6" ht="23.25" customHeight="1">
      <c r="B4" s="2004" t="s">
        <v>1897</v>
      </c>
      <c r="C4" s="319" t="s">
        <v>1898</v>
      </c>
      <c r="D4" s="319" t="s">
        <v>1899</v>
      </c>
      <c r="F4" s="28">
        <v>22</v>
      </c>
    </row>
    <row r="5" spans="1:6" ht="11.25" hidden="1" customHeight="1">
      <c r="A5" s="28" t="s">
        <v>78</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1900</v>
      </c>
    </row>
    <row r="4" spans="1:80" s="201" customFormat="1" ht="15" customHeight="1">
      <c r="C4" s="1742"/>
      <c r="D4" s="52"/>
      <c r="E4" s="313"/>
    </row>
    <row r="6" spans="1:80" s="1741" customFormat="1" ht="17.25" customHeight="1">
      <c r="A6" s="1741" t="s">
        <v>1901</v>
      </c>
    </row>
    <row r="8" spans="1:80" s="201" customFormat="1" ht="17.25" customHeight="1">
      <c r="C8" s="1743"/>
      <c r="D8" s="52"/>
      <c r="E8" s="53"/>
    </row>
    <row r="11" spans="1:80" s="1741" customFormat="1" ht="17.25" customHeight="1">
      <c r="A11" s="1741" t="s">
        <v>1902</v>
      </c>
    </row>
    <row r="13" spans="1:80" s="1745" customFormat="1" ht="15" customHeight="1">
      <c r="A13" s="2162">
        <v>1</v>
      </c>
      <c r="B13" s="1086"/>
      <c r="C13" s="731" t="s">
        <v>684</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2"/>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2"/>
      <c r="B15" s="1086"/>
      <c r="C15" s="348"/>
      <c r="D15" s="731"/>
      <c r="E15" s="357"/>
      <c r="F15" s="114"/>
      <c r="G15" s="351" t="s">
        <v>98</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1903</v>
      </c>
    </row>
    <row r="19" spans="1:80" s="1775" customFormat="1" ht="15" customHeight="1">
      <c r="A19" s="1807"/>
      <c r="B19" s="1292">
        <v>1</v>
      </c>
      <c r="C19" s="1292"/>
      <c r="D19" s="730" t="s">
        <v>684</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1904</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684</v>
      </c>
      <c r="D23" s="2067" t="s">
        <v>105</v>
      </c>
      <c r="E23" s="2068"/>
      <c r="F23" s="2066" t="s">
        <v>19</v>
      </c>
      <c r="G23" s="2416"/>
      <c r="H23" s="2056">
        <v>1</v>
      </c>
      <c r="I23" s="2418" t="str">
        <f>IF(U23="","",INDEX(TERRITORY_MR_LIST,MATCH(U23,TERRITORY_LIST_ID,0)))</f>
        <v/>
      </c>
      <c r="J23" s="2066" t="s">
        <v>19</v>
      </c>
      <c r="K23" s="762"/>
      <c r="L23" s="1708" t="s">
        <v>105</v>
      </c>
      <c r="M23" s="539"/>
      <c r="N23" s="540"/>
      <c r="O23" s="540"/>
      <c r="P23" s="540"/>
      <c r="Q23" s="540"/>
      <c r="R23" s="540"/>
      <c r="S23" s="540"/>
      <c r="T23" s="540"/>
      <c r="U23" s="541"/>
      <c r="V23" s="540"/>
      <c r="W23" s="540"/>
      <c r="X23" s="531"/>
      <c r="Y23" s="531" t="s">
        <v>115</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7"/>
      <c r="E24" s="2069"/>
      <c r="F24" s="2066"/>
      <c r="G24" s="2417"/>
      <c r="H24" s="2056"/>
      <c r="I24" s="2419"/>
      <c r="J24" s="2066"/>
      <c r="K24" s="357"/>
      <c r="L24" s="114"/>
      <c r="M24" s="543" t="s">
        <v>116</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7"/>
      <c r="E25" s="2070"/>
      <c r="F25" s="2066"/>
      <c r="G25" s="357"/>
      <c r="H25" s="114"/>
      <c r="I25" s="516" t="s">
        <v>117</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1905</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0" t="s">
        <v>684</v>
      </c>
      <c r="H29" s="2037">
        <v>1</v>
      </c>
      <c r="I29" s="2421" t="str">
        <f>IF(U29="","",INDEX(TERRITORY_MR_LIST,MATCH(U29,TERRITORY_LIST_ID,0)))</f>
        <v/>
      </c>
      <c r="J29" s="2066" t="s">
        <v>19</v>
      </c>
      <c r="K29" s="762"/>
      <c r="L29" s="1708" t="s">
        <v>105</v>
      </c>
      <c r="M29" s="539"/>
      <c r="N29" s="540"/>
      <c r="O29" s="540"/>
      <c r="P29" s="540"/>
      <c r="Q29" s="540"/>
      <c r="R29" s="540"/>
      <c r="S29" s="540"/>
      <c r="T29" s="540"/>
      <c r="U29" s="541"/>
      <c r="V29" s="540"/>
      <c r="W29" s="540"/>
      <c r="X29" s="531"/>
      <c r="Y29" s="531" t="s">
        <v>115</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0"/>
      <c r="H30" s="2037"/>
      <c r="I30" s="2421"/>
      <c r="J30" s="2066"/>
      <c r="K30" s="357"/>
      <c r="L30" s="114"/>
      <c r="M30" s="543" t="s">
        <v>116</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1906</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684</v>
      </c>
      <c r="L34" s="1655" t="s">
        <v>105</v>
      </c>
      <c r="M34" s="741"/>
      <c r="N34" s="742"/>
      <c r="O34" s="540"/>
      <c r="P34" s="540"/>
      <c r="Q34" s="540"/>
      <c r="R34" s="540"/>
      <c r="S34" s="540"/>
      <c r="T34" s="540"/>
      <c r="U34" s="541"/>
      <c r="V34" s="540"/>
      <c r="W34" s="540"/>
      <c r="X34" s="531"/>
      <c r="Y34" s="531" t="s">
        <v>115</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1907</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1908</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1909</v>
      </c>
    </row>
    <row r="46" spans="1:38" ht="11.25" customHeight="1"/>
    <row r="47" spans="1:38" s="391" customFormat="1" ht="24" customHeight="1">
      <c r="A47" s="2138" t="s">
        <v>308</v>
      </c>
      <c r="B47" s="438"/>
      <c r="C47" s="2149"/>
      <c r="D47" s="381" t="str">
        <f>A47</f>
        <v>5.1</v>
      </c>
      <c r="E47" s="378" t="s">
        <v>309</v>
      </c>
      <c r="F47" s="1898" t="s">
        <v>301</v>
      </c>
      <c r="G47" s="380" t="s">
        <v>310</v>
      </c>
      <c r="H47" s="411"/>
      <c r="I47" s="782"/>
    </row>
    <row r="48" spans="1:38" s="391" customFormat="1" ht="22.5" customHeight="1">
      <c r="A48" s="2138"/>
      <c r="B48" s="438"/>
      <c r="C48" s="2149"/>
      <c r="D48" s="376" t="str">
        <f>D47&amp;".1"</f>
        <v>5.1.1</v>
      </c>
      <c r="E48" s="375" t="s">
        <v>311</v>
      </c>
      <c r="F48" s="1899" t="s">
        <v>22</v>
      </c>
      <c r="G48" s="410"/>
      <c r="H48" s="411"/>
      <c r="I48" s="782"/>
    </row>
    <row r="49" spans="1:45" s="391" customFormat="1" ht="22.5" customHeight="1">
      <c r="A49" s="2138"/>
      <c r="B49" s="438"/>
      <c r="C49" s="2149"/>
      <c r="D49" s="376" t="str">
        <f>D47&amp;".2"</f>
        <v>5.1.2</v>
      </c>
      <c r="E49" s="375" t="s">
        <v>312</v>
      </c>
      <c r="F49" s="1658" t="s">
        <v>22</v>
      </c>
      <c r="G49" s="380" t="s">
        <v>313</v>
      </c>
      <c r="H49" s="411"/>
      <c r="I49" s="782"/>
    </row>
    <row r="50" spans="1:45" s="391" customFormat="1" ht="22.5" customHeight="1">
      <c r="A50" s="2138"/>
      <c r="B50" s="438"/>
      <c r="C50" s="2149"/>
      <c r="D50" s="376" t="str">
        <f>D47&amp;".3"</f>
        <v>5.1.3</v>
      </c>
      <c r="E50" s="375" t="s">
        <v>314</v>
      </c>
      <c r="F50" s="1899" t="s">
        <v>22</v>
      </c>
      <c r="G50" s="410"/>
      <c r="H50" s="411"/>
      <c r="I50" s="782"/>
    </row>
    <row r="51" spans="1:45" s="391" customFormat="1" ht="22.5" customHeight="1">
      <c r="A51" s="2138"/>
      <c r="B51" s="438"/>
      <c r="C51" s="2149"/>
      <c r="D51" s="376" t="str">
        <f>D47&amp;".4"</f>
        <v>5.1.4</v>
      </c>
      <c r="E51" s="375" t="s">
        <v>315</v>
      </c>
      <c r="F51" s="1899" t="s">
        <v>22</v>
      </c>
      <c r="G51" s="380" t="s">
        <v>316</v>
      </c>
      <c r="H51" s="411"/>
      <c r="I51" s="782"/>
    </row>
    <row r="54" spans="1:45" s="1741" customFormat="1" ht="17.25" customHeight="1">
      <c r="A54" s="1741" t="s">
        <v>1910</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387</v>
      </c>
      <c r="Q56" s="452" t="s">
        <v>388</v>
      </c>
      <c r="R56" s="453" t="s">
        <v>389</v>
      </c>
      <c r="S56" s="1562" t="s">
        <v>390</v>
      </c>
      <c r="T56" s="1562"/>
      <c r="U56" s="1562"/>
      <c r="V56" s="1562"/>
    </row>
    <row r="58" spans="1:45" s="1741" customFormat="1" ht="11.25" customHeight="1">
      <c r="A58" s="1741" t="s">
        <v>1911</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376</v>
      </c>
      <c r="AQ60" s="1550" t="s">
        <v>376</v>
      </c>
      <c r="AR60" s="1562"/>
      <c r="AS60" s="1562"/>
    </row>
    <row r="62" spans="1:45" s="1741" customFormat="1" ht="11.25" customHeight="1">
      <c r="A62" s="1741" t="s">
        <v>1912</v>
      </c>
    </row>
    <row r="64" spans="1:45" s="1748" customFormat="1" ht="15" customHeight="1">
      <c r="A64" s="82" t="s">
        <v>86</v>
      </c>
      <c r="B64" s="64" t="s">
        <v>22</v>
      </c>
      <c r="C64" s="1751"/>
      <c r="D64" s="67"/>
      <c r="E64" s="317"/>
      <c r="F64" s="317"/>
      <c r="G64" s="1729"/>
      <c r="H64" s="1750"/>
      <c r="I64" s="1730"/>
      <c r="K64" s="209"/>
      <c r="L64" s="210"/>
    </row>
    <row r="66" spans="1:30" s="1741" customFormat="1" ht="11.25" customHeight="1">
      <c r="A66" s="1741" t="s">
        <v>1913</v>
      </c>
    </row>
    <row r="68" spans="1:30" s="1561" customFormat="1" ht="14.25" customHeight="1">
      <c r="A68" s="280"/>
      <c r="B68" s="1086"/>
      <c r="C68" s="312"/>
      <c r="D68" s="1736"/>
      <c r="E68" s="815"/>
      <c r="F68" s="1750"/>
      <c r="G68" s="28"/>
      <c r="I68" s="1550"/>
      <c r="J68" s="1550"/>
    </row>
    <row r="70" spans="1:30" s="1741" customFormat="1" ht="11.25" customHeight="1">
      <c r="A70" s="1741" t="s">
        <v>1914</v>
      </c>
    </row>
    <row r="72" spans="1:30" s="1561" customFormat="1" ht="27" customHeight="1">
      <c r="A72" s="1092"/>
      <c r="B72" s="1092"/>
      <c r="C72" s="1092"/>
      <c r="D72" s="1086"/>
      <c r="E72" s="1752"/>
      <c r="F72" s="2377"/>
      <c r="G72" s="2378"/>
      <c r="H72" s="2379" t="s">
        <v>66</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66</v>
      </c>
      <c r="Z72" s="1734"/>
      <c r="AA72" s="1718">
        <v>1</v>
      </c>
      <c r="AB72" s="1168"/>
      <c r="AD72" s="1562" t="s">
        <v>1915</v>
      </c>
    </row>
    <row r="73" spans="1:30" s="1561" customFormat="1" ht="10.5" customHeight="1">
      <c r="A73" s="1092"/>
      <c r="B73" s="1092"/>
      <c r="C73" s="1092"/>
      <c r="D73" s="1086"/>
      <c r="E73" s="876"/>
      <c r="F73" s="2377"/>
      <c r="G73" s="2378"/>
      <c r="H73" s="2380"/>
      <c r="I73" s="2382"/>
      <c r="J73" s="2384"/>
      <c r="K73" s="2385"/>
      <c r="L73" s="2397"/>
      <c r="M73" s="2397"/>
      <c r="N73" s="2424"/>
      <c r="O73" s="2424"/>
      <c r="P73" s="2425"/>
      <c r="Q73" s="2398"/>
      <c r="R73" s="2398"/>
      <c r="S73" s="2398"/>
      <c r="T73" s="2384"/>
      <c r="U73" s="2398"/>
      <c r="V73" s="2398"/>
      <c r="W73" s="2398"/>
      <c r="X73" s="2384"/>
      <c r="Y73" s="2423"/>
      <c r="Z73" s="284"/>
      <c r="AA73" s="508"/>
      <c r="AB73" s="588" t="s">
        <v>1916</v>
      </c>
    </row>
    <row r="75" spans="1:30" s="1741" customFormat="1" ht="11.25" customHeight="1">
      <c r="A75" s="1741" t="s">
        <v>1917</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1915</v>
      </c>
    </row>
    <row r="79" spans="1:30" s="1741" customFormat="1" ht="11.25" customHeight="1">
      <c r="A79" s="1741" t="s">
        <v>1918</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8"/>
      <c r="G82" s="2337"/>
      <c r="H82" s="2431" t="s">
        <v>371</v>
      </c>
      <c r="I82" s="2432"/>
      <c r="J82" s="2389"/>
      <c r="K82" s="2389"/>
      <c r="L82" s="2426"/>
      <c r="M82" s="2181"/>
      <c r="N82" s="1958"/>
      <c r="O82" s="1957"/>
      <c r="P82" s="1958"/>
      <c r="Q82" s="1958"/>
      <c r="R82" s="1958"/>
      <c r="S82" s="1958"/>
      <c r="T82" s="1958"/>
      <c r="U82" s="1958"/>
      <c r="V82" s="1958"/>
      <c r="W82" s="1958"/>
      <c r="X82" s="1958"/>
      <c r="Y82" s="1958"/>
      <c r="Z82" s="1958"/>
      <c r="AA82" s="1958"/>
      <c r="AB82" s="1958"/>
      <c r="AC82" s="1958"/>
      <c r="AD82" s="1958"/>
      <c r="AE82" s="1958"/>
      <c r="AF82" s="2430"/>
      <c r="AG82" s="2426"/>
      <c r="AH82" s="2426"/>
      <c r="AI82" s="2430"/>
      <c r="AJ82" s="2426"/>
      <c r="AK82" s="2426"/>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8"/>
      <c r="G83" s="2337"/>
      <c r="H83" s="2431"/>
      <c r="I83" s="2432"/>
      <c r="J83" s="2389"/>
      <c r="K83" s="2389"/>
      <c r="L83" s="2426"/>
      <c r="M83" s="2181"/>
      <c r="N83" s="2433"/>
      <c r="O83" s="2434"/>
      <c r="P83" s="2386"/>
      <c r="Q83" s="2389"/>
      <c r="R83" s="2389"/>
      <c r="S83" s="2389"/>
      <c r="T83" s="2389"/>
      <c r="U83" s="2389"/>
      <c r="V83" s="2389"/>
      <c r="W83" s="2389"/>
      <c r="X83" s="2389"/>
      <c r="Y83" s="2389"/>
      <c r="Z83" s="1959"/>
      <c r="AA83" s="1960"/>
      <c r="AB83" s="1960"/>
      <c r="AC83" s="1961"/>
      <c r="AD83" s="1961"/>
      <c r="AE83" s="1962"/>
      <c r="AF83" s="2430"/>
      <c r="AG83" s="2426"/>
      <c r="AH83" s="2426"/>
      <c r="AI83" s="2430"/>
      <c r="AJ83" s="2426"/>
      <c r="AK83" s="2426"/>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8"/>
      <c r="G84" s="2337"/>
      <c r="H84" s="2431"/>
      <c r="I84" s="2432"/>
      <c r="J84" s="2389"/>
      <c r="K84" s="2389"/>
      <c r="L84" s="2426"/>
      <c r="M84" s="2181"/>
      <c r="N84" s="2433"/>
      <c r="O84" s="2434"/>
      <c r="P84" s="2387"/>
      <c r="Q84" s="2389"/>
      <c r="R84" s="2389"/>
      <c r="S84" s="2389"/>
      <c r="T84" s="2389"/>
      <c r="U84" s="2389"/>
      <c r="V84" s="2389"/>
      <c r="W84" s="2389"/>
      <c r="X84" s="2389"/>
      <c r="Y84" s="2389"/>
      <c r="Z84" s="1963"/>
      <c r="AA84" s="1964"/>
      <c r="AB84" s="1965"/>
      <c r="AC84" s="1966"/>
      <c r="AD84" s="1965"/>
      <c r="AE84" s="1966"/>
      <c r="AF84" s="2430"/>
      <c r="AG84" s="2426"/>
      <c r="AH84" s="2426"/>
      <c r="AI84" s="2430"/>
      <c r="AJ84" s="2426"/>
      <c r="AK84" s="2426"/>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8"/>
      <c r="G85" s="2337"/>
      <c r="H85" s="2431"/>
      <c r="I85" s="2432"/>
      <c r="J85" s="2389"/>
      <c r="K85" s="2389"/>
      <c r="L85" s="2426"/>
      <c r="M85" s="2181"/>
      <c r="N85" s="2433"/>
      <c r="O85" s="2434"/>
      <c r="P85" s="2388"/>
      <c r="Q85" s="2389"/>
      <c r="R85" s="2389"/>
      <c r="S85" s="2389"/>
      <c r="T85" s="2389"/>
      <c r="U85" s="2389"/>
      <c r="V85" s="2389"/>
      <c r="W85" s="2389"/>
      <c r="X85" s="2389"/>
      <c r="Y85" s="2389"/>
      <c r="Z85" s="1959"/>
      <c r="AA85" s="1960"/>
      <c r="AB85" s="1967"/>
      <c r="AC85" s="1961"/>
      <c r="AD85" s="1961"/>
      <c r="AE85" s="1968"/>
      <c r="AF85" s="2430"/>
      <c r="AG85" s="2426"/>
      <c r="AH85" s="2426"/>
      <c r="AI85" s="2430"/>
      <c r="AJ85" s="2426"/>
      <c r="AK85" s="2426"/>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8"/>
      <c r="G86" s="2337"/>
      <c r="H86" s="2431"/>
      <c r="I86" s="2432"/>
      <c r="J86" s="2389"/>
      <c r="K86" s="2389"/>
      <c r="L86" s="2426"/>
      <c r="M86" s="2181"/>
      <c r="N86" s="1960"/>
      <c r="O86" s="1960"/>
      <c r="P86" s="1967"/>
      <c r="Q86" s="1960"/>
      <c r="R86" s="1960"/>
      <c r="S86" s="1960"/>
      <c r="T86" s="1960"/>
      <c r="U86" s="1960"/>
      <c r="V86" s="1960"/>
      <c r="W86" s="1960"/>
      <c r="X86" s="1960"/>
      <c r="Y86" s="1960"/>
      <c r="Z86" s="1960"/>
      <c r="AA86" s="1960"/>
      <c r="AB86" s="1960"/>
      <c r="AC86" s="1960"/>
      <c r="AD86" s="1960"/>
      <c r="AE86" s="1969"/>
      <c r="AF86" s="2430"/>
      <c r="AG86" s="2426"/>
      <c r="AH86" s="2426"/>
      <c r="AI86" s="2430"/>
      <c r="AJ86" s="2426"/>
      <c r="AK86" s="2426"/>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29"/>
      <c r="G87" s="1116"/>
      <c r="H87" s="1116"/>
      <c r="I87" s="2427" t="s">
        <v>1919</v>
      </c>
      <c r="J87" s="2427"/>
      <c r="K87" s="2427"/>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1920</v>
      </c>
    </row>
    <row r="91" spans="1:58" s="1561" customFormat="1" ht="11.25" customHeight="1">
      <c r="A91" s="1092"/>
      <c r="B91" s="1092"/>
      <c r="C91" s="1092"/>
      <c r="D91" s="1086"/>
      <c r="E91" s="1096"/>
      <c r="F91" s="1754"/>
      <c r="G91" s="1755"/>
      <c r="H91" s="1755"/>
      <c r="I91" s="1690"/>
      <c r="J91" s="1690"/>
      <c r="K91" s="1756"/>
      <c r="L91" s="1690"/>
      <c r="M91" s="1755"/>
      <c r="N91" s="2390"/>
      <c r="O91" s="2391">
        <v>1</v>
      </c>
      <c r="P91" s="2392" t="s">
        <v>19</v>
      </c>
      <c r="Q91" s="2301" t="s">
        <v>22</v>
      </c>
      <c r="R91" s="2301" t="s">
        <v>22</v>
      </c>
      <c r="S91" s="2301" t="s">
        <v>22</v>
      </c>
      <c r="T91" s="2301" t="s">
        <v>22</v>
      </c>
      <c r="U91" s="2301" t="s">
        <v>22</v>
      </c>
      <c r="V91" s="2301" t="s">
        <v>22</v>
      </c>
      <c r="W91" s="2301" t="s">
        <v>22</v>
      </c>
      <c r="X91" s="2301" t="s">
        <v>22</v>
      </c>
      <c r="Y91" s="2301"/>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0"/>
      <c r="O92" s="2391"/>
      <c r="P92" s="2393"/>
      <c r="Q92" s="2301"/>
      <c r="R92" s="2301"/>
      <c r="S92" s="2395"/>
      <c r="T92" s="2301"/>
      <c r="U92" s="2301"/>
      <c r="V92" s="2301"/>
      <c r="W92" s="2301"/>
      <c r="X92" s="2301"/>
      <c r="Y92" s="2301"/>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0"/>
      <c r="O93" s="2391"/>
      <c r="P93" s="2394"/>
      <c r="Q93" s="2301"/>
      <c r="R93" s="2301"/>
      <c r="S93" s="2395"/>
      <c r="T93" s="2301"/>
      <c r="U93" s="2301"/>
      <c r="V93" s="2301"/>
      <c r="W93" s="2301"/>
      <c r="X93" s="2301"/>
      <c r="Y93" s="2301"/>
      <c r="Z93" s="1101"/>
      <c r="AA93" s="1102"/>
      <c r="AB93" s="1167" t="s">
        <v>1921</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1922</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1923</v>
      </c>
    </row>
    <row r="101" spans="1:184" s="1561" customFormat="1" ht="11.25" customHeight="1">
      <c r="A101" s="1092"/>
      <c r="B101" s="1092"/>
      <c r="C101" s="1092"/>
      <c r="D101" s="1086"/>
      <c r="E101" s="1096"/>
      <c r="F101" s="1754"/>
      <c r="G101" s="1755"/>
      <c r="H101" s="2337" t="s">
        <v>105</v>
      </c>
      <c r="I101" s="2447"/>
      <c r="J101" s="2370"/>
      <c r="K101" s="2445"/>
      <c r="L101" s="2066" t="s">
        <v>19</v>
      </c>
      <c r="M101" s="2067"/>
      <c r="N101" s="1908"/>
      <c r="O101" s="1103" t="s">
        <v>371</v>
      </c>
      <c r="P101" s="1104"/>
      <c r="Q101" s="1104"/>
      <c r="R101" s="1104"/>
      <c r="S101" s="1104"/>
      <c r="T101" s="1104"/>
      <c r="U101" s="1104"/>
      <c r="V101" s="1104"/>
      <c r="W101" s="1104"/>
      <c r="X101" s="1104"/>
      <c r="Y101" s="1104"/>
      <c r="Z101" s="1104"/>
      <c r="AA101" s="1104"/>
      <c r="AB101" s="1104"/>
      <c r="AC101" s="1104"/>
      <c r="AD101" s="1104"/>
      <c r="AE101" s="1104"/>
      <c r="AF101" s="2448"/>
      <c r="AG101" s="2449"/>
      <c r="AH101" s="2449"/>
      <c r="AI101" s="2448"/>
      <c r="AJ101" s="2449"/>
      <c r="AK101" s="2449"/>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1"/>
      <c r="AA102" s="1102"/>
      <c r="AB102" s="1102"/>
      <c r="AC102" s="1106"/>
      <c r="AD102" s="1106"/>
      <c r="AE102" s="1107"/>
      <c r="AF102" s="2448"/>
      <c r="AG102" s="2449"/>
      <c r="AH102" s="2449"/>
      <c r="AI102" s="2448"/>
      <c r="AJ102" s="2449"/>
      <c r="AK102" s="2449"/>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7"/>
      <c r="I103" s="2447"/>
      <c r="J103" s="2370"/>
      <c r="K103" s="2445"/>
      <c r="L103" s="2066"/>
      <c r="M103" s="2067"/>
      <c r="N103" s="2390"/>
      <c r="O103" s="2450"/>
      <c r="P103" s="2393"/>
      <c r="Q103" s="2301"/>
      <c r="R103" s="2301"/>
      <c r="S103" s="2395"/>
      <c r="T103" s="2301"/>
      <c r="U103" s="2301"/>
      <c r="V103" s="2301"/>
      <c r="W103" s="2301"/>
      <c r="X103" s="2301"/>
      <c r="Y103" s="2301"/>
      <c r="Z103" s="1753"/>
      <c r="AA103" s="1720">
        <v>1</v>
      </c>
      <c r="AB103" s="1105"/>
      <c r="AC103" s="1095"/>
      <c r="AD103" s="1105">
        <f>AB103</f>
        <v>0</v>
      </c>
      <c r="AE103" s="1095"/>
      <c r="AF103" s="2448"/>
      <c r="AG103" s="2449"/>
      <c r="AH103" s="2449"/>
      <c r="AI103" s="2448"/>
      <c r="AJ103" s="2449"/>
      <c r="AK103" s="2449"/>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7"/>
      <c r="I104" s="2447"/>
      <c r="J104" s="2370"/>
      <c r="K104" s="2445"/>
      <c r="L104" s="2066"/>
      <c r="M104" s="2067"/>
      <c r="N104" s="2390"/>
      <c r="O104" s="2450"/>
      <c r="P104" s="2394"/>
      <c r="Q104" s="2301"/>
      <c r="R104" s="2301"/>
      <c r="S104" s="2395"/>
      <c r="T104" s="2301"/>
      <c r="U104" s="2301"/>
      <c r="V104" s="2301"/>
      <c r="W104" s="2301"/>
      <c r="X104" s="2301"/>
      <c r="Y104" s="2301"/>
      <c r="Z104" s="1101"/>
      <c r="AA104" s="1102"/>
      <c r="AB104" s="1167" t="s">
        <v>1921</v>
      </c>
      <c r="AC104" s="1106"/>
      <c r="AD104" s="1106"/>
      <c r="AE104" s="1108"/>
      <c r="AF104" s="2448"/>
      <c r="AG104" s="2449"/>
      <c r="AH104" s="2449"/>
      <c r="AI104" s="2448"/>
      <c r="AJ104" s="2449"/>
      <c r="AK104" s="2449"/>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7"/>
      <c r="I105" s="2447"/>
      <c r="J105" s="2370"/>
      <c r="K105" s="2445"/>
      <c r="L105" s="2066"/>
      <c r="M105" s="2067"/>
      <c r="N105" s="1101"/>
      <c r="O105" s="1102"/>
      <c r="P105" s="1094" t="s">
        <v>1924</v>
      </c>
      <c r="Q105" s="1102"/>
      <c r="R105" s="1102"/>
      <c r="S105" s="1102"/>
      <c r="T105" s="1102"/>
      <c r="U105" s="1102"/>
      <c r="V105" s="1102"/>
      <c r="W105" s="1102"/>
      <c r="X105" s="1102"/>
      <c r="Y105" s="1102"/>
      <c r="Z105" s="1102"/>
      <c r="AA105" s="1102"/>
      <c r="AB105" s="1102"/>
      <c r="AC105" s="1102"/>
      <c r="AD105" s="1102"/>
      <c r="AE105" s="1109"/>
      <c r="AF105" s="2448"/>
      <c r="AG105" s="2449"/>
      <c r="AH105" s="2449"/>
      <c r="AI105" s="2448"/>
      <c r="AJ105" s="2449"/>
      <c r="AK105" s="2449"/>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1925</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1926</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1927</v>
      </c>
    </row>
    <row r="115" spans="1:83" s="1775" customFormat="1" ht="15" customHeight="1">
      <c r="A115" s="559"/>
      <c r="B115" s="560"/>
      <c r="C115" s="560"/>
      <c r="D115" s="2402" t="s">
        <v>105</v>
      </c>
      <c r="E115" s="2282" t="s">
        <v>101</v>
      </c>
      <c r="F115" s="2283"/>
      <c r="G115" s="2284"/>
      <c r="H115" s="2278" t="str">
        <f>IF(A115="","",INDEX(DIFFERENTIATION_UNMERGE_VD,MATCH(A115,DIFFERENTIATION_ID_DIFF,0)))</f>
        <v/>
      </c>
      <c r="I115" s="2278"/>
      <c r="J115" s="2278"/>
      <c r="K115" s="2278"/>
      <c r="L115" s="2278"/>
      <c r="M115" s="2278"/>
      <c r="N115" s="2278"/>
      <c r="O115" s="2278"/>
      <c r="P115" s="2278"/>
      <c r="Q115" s="2278"/>
      <c r="R115" s="2278"/>
      <c r="S115" s="655"/>
      <c r="T115" s="652"/>
      <c r="U115" s="561"/>
      <c r="V115" s="561"/>
      <c r="W115" s="562"/>
      <c r="X115" s="562"/>
      <c r="Y115" s="562"/>
      <c r="Z115" s="562"/>
      <c r="AA115" s="563"/>
      <c r="AB115" s="564"/>
      <c r="AC115" s="2281"/>
      <c r="AD115" s="565"/>
      <c r="AE115" s="566" t="s">
        <v>22</v>
      </c>
      <c r="AF115" s="566"/>
      <c r="AG115" s="567" t="s">
        <v>604</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3"/>
      <c r="E116" s="2282" t="s">
        <v>559</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5"/>
      <c r="T116" s="652"/>
      <c r="U116" s="561"/>
      <c r="V116" s="561"/>
      <c r="W116" s="562"/>
      <c r="X116" s="562"/>
      <c r="Y116" s="562"/>
      <c r="Z116" s="562"/>
      <c r="AA116" s="563"/>
      <c r="AB116" s="564"/>
      <c r="AC116" s="228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3"/>
      <c r="E117" s="2282" t="s">
        <v>560</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5"/>
      <c r="T117" s="652"/>
      <c r="U117" s="561"/>
      <c r="V117" s="561"/>
      <c r="W117" s="562"/>
      <c r="X117" s="562"/>
      <c r="Y117" s="562"/>
      <c r="Z117" s="562"/>
      <c r="AA117" s="563"/>
      <c r="AB117" s="564"/>
      <c r="AC117" s="228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3"/>
      <c r="E118" s="2280" t="s">
        <v>605</v>
      </c>
      <c r="F118" s="2280"/>
      <c r="G118" s="2280"/>
      <c r="H118" s="2280"/>
      <c r="I118" s="2280"/>
      <c r="J118" s="2280"/>
      <c r="K118" s="2280"/>
      <c r="L118" s="2280"/>
      <c r="M118" s="2280"/>
      <c r="N118" s="2280"/>
      <c r="O118" s="2280"/>
      <c r="P118" s="2280"/>
      <c r="Q118" s="494">
        <f>SUMIF(T119:T120,"i",Q119:Q120)</f>
        <v>0</v>
      </c>
      <c r="R118" s="946"/>
      <c r="S118" s="1724" t="s">
        <v>606</v>
      </c>
      <c r="T118" s="653" t="s">
        <v>607</v>
      </c>
      <c r="U118" s="2188">
        <v>1</v>
      </c>
      <c r="V118" s="2188" t="s">
        <v>570</v>
      </c>
      <c r="W118" s="1086"/>
      <c r="X118" s="1086"/>
      <c r="Y118" s="1086"/>
      <c r="Z118" s="1086"/>
      <c r="AA118" s="1562"/>
      <c r="AB118" s="1086"/>
      <c r="AC118" s="2281"/>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3"/>
      <c r="E119" s="571"/>
      <c r="F119" s="571">
        <v>0</v>
      </c>
      <c r="G119" s="571"/>
      <c r="H119" s="571"/>
      <c r="I119" s="571"/>
      <c r="J119" s="571"/>
      <c r="K119" s="571"/>
      <c r="L119" s="571"/>
      <c r="M119" s="571"/>
      <c r="N119" s="571"/>
      <c r="O119" s="571"/>
      <c r="P119" s="571"/>
      <c r="Q119" s="571"/>
      <c r="R119" s="571"/>
      <c r="S119" s="572"/>
      <c r="T119" s="654"/>
      <c r="U119" s="2188"/>
      <c r="V119" s="2188"/>
      <c r="W119" s="1562"/>
      <c r="X119" s="1562"/>
      <c r="Y119" s="1562"/>
      <c r="Z119" s="1562"/>
      <c r="AA119" s="1562"/>
      <c r="AB119" s="1086"/>
      <c r="AC119" s="2281"/>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3"/>
      <c r="E120" s="585" t="s">
        <v>22</v>
      </c>
      <c r="F120" s="1094" t="s">
        <v>22</v>
      </c>
      <c r="G120" s="1094" t="s">
        <v>1928</v>
      </c>
      <c r="H120" s="587" t="s">
        <v>22</v>
      </c>
      <c r="I120" s="587"/>
      <c r="J120" s="587"/>
      <c r="K120" s="587"/>
      <c r="L120" s="587"/>
      <c r="M120" s="587"/>
      <c r="N120" s="587"/>
      <c r="O120" s="587"/>
      <c r="P120" s="587"/>
      <c r="Q120" s="587"/>
      <c r="R120" s="588"/>
      <c r="S120" s="589"/>
      <c r="T120" s="654"/>
      <c r="U120" s="2188"/>
      <c r="V120" s="2188"/>
      <c r="W120" s="1086"/>
      <c r="X120" s="1086"/>
      <c r="Y120" s="1086"/>
      <c r="Z120" s="1086"/>
      <c r="AA120" s="1562"/>
      <c r="AB120" s="1086"/>
      <c r="AC120" s="2281"/>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3"/>
      <c r="E121" s="2280" t="s">
        <v>608</v>
      </c>
      <c r="F121" s="2280"/>
      <c r="G121" s="2280"/>
      <c r="H121" s="2280"/>
      <c r="I121" s="2280"/>
      <c r="J121" s="2280"/>
      <c r="K121" s="2280"/>
      <c r="L121" s="2280"/>
      <c r="M121" s="2280"/>
      <c r="N121" s="2280"/>
      <c r="O121" s="2280"/>
      <c r="P121" s="2280"/>
      <c r="Q121" s="494">
        <f>SUMIF(T122:T123,"i",Q122:Q123)</f>
        <v>0</v>
      </c>
      <c r="R121" s="946"/>
      <c r="S121" s="1724" t="s">
        <v>609</v>
      </c>
      <c r="T121" s="653" t="s">
        <v>607</v>
      </c>
      <c r="U121" s="2188">
        <v>1</v>
      </c>
      <c r="V121" s="2188" t="s">
        <v>570</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3"/>
      <c r="E122" s="571"/>
      <c r="F122" s="571">
        <v>0</v>
      </c>
      <c r="G122" s="571"/>
      <c r="H122" s="571"/>
      <c r="I122" s="571"/>
      <c r="J122" s="571"/>
      <c r="K122" s="571"/>
      <c r="L122" s="571"/>
      <c r="M122" s="571"/>
      <c r="N122" s="571"/>
      <c r="O122" s="571"/>
      <c r="P122" s="571"/>
      <c r="Q122" s="571"/>
      <c r="R122" s="571"/>
      <c r="S122" s="572"/>
      <c r="T122" s="654"/>
      <c r="U122" s="2188"/>
      <c r="V122" s="2188"/>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4"/>
      <c r="E123" s="585" t="s">
        <v>22</v>
      </c>
      <c r="F123" s="1094" t="s">
        <v>22</v>
      </c>
      <c r="G123" s="1094" t="s">
        <v>1928</v>
      </c>
      <c r="H123" s="587" t="s">
        <v>22</v>
      </c>
      <c r="I123" s="587"/>
      <c r="J123" s="587"/>
      <c r="K123" s="587"/>
      <c r="L123" s="587"/>
      <c r="M123" s="587"/>
      <c r="N123" s="587"/>
      <c r="O123" s="587"/>
      <c r="P123" s="587"/>
      <c r="Q123" s="587"/>
      <c r="R123" s="588"/>
      <c r="S123" s="589"/>
      <c r="T123" s="654"/>
      <c r="U123" s="2188"/>
      <c r="V123" s="2188"/>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1929</v>
      </c>
    </row>
    <row r="127" spans="1:83" s="1775" customFormat="1" ht="15" customHeight="1">
      <c r="A127" s="559"/>
      <c r="B127" s="560"/>
      <c r="C127" s="560"/>
      <c r="D127" s="2402" t="s">
        <v>105</v>
      </c>
      <c r="E127" s="2282" t="s">
        <v>101</v>
      </c>
      <c r="F127" s="2283"/>
      <c r="G127" s="2284"/>
      <c r="H127" s="2278" t="str">
        <f>IF(A127="","",INDEX(DIFFERENTIATION_UNMERGE_VD,MATCH(A127,DIFFERENTIATION_ID_DIFF,0)))</f>
        <v/>
      </c>
      <c r="I127" s="2278"/>
      <c r="J127" s="2278"/>
      <c r="K127" s="2278"/>
      <c r="L127" s="2278"/>
      <c r="M127" s="2278"/>
      <c r="N127" s="2278"/>
      <c r="O127" s="2278"/>
      <c r="P127" s="2278"/>
      <c r="Q127" s="2278"/>
      <c r="R127" s="2278"/>
      <c r="S127" s="655"/>
      <c r="T127" s="652"/>
      <c r="U127" s="561"/>
      <c r="V127" s="561"/>
      <c r="W127" s="562"/>
      <c r="X127" s="562"/>
      <c r="Y127" s="562"/>
      <c r="Z127" s="562"/>
      <c r="AA127" s="563"/>
      <c r="AB127" s="564"/>
      <c r="AC127" s="2281"/>
      <c r="AD127" s="565"/>
      <c r="AE127" s="566" t="s">
        <v>22</v>
      </c>
      <c r="AF127" s="566"/>
      <c r="AG127" s="567" t="s">
        <v>604</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3"/>
      <c r="E128" s="2282" t="s">
        <v>559</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5"/>
      <c r="T128" s="652"/>
      <c r="U128" s="561"/>
      <c r="V128" s="561"/>
      <c r="W128" s="562"/>
      <c r="X128" s="562"/>
      <c r="Y128" s="562"/>
      <c r="Z128" s="562"/>
      <c r="AA128" s="563"/>
      <c r="AB128" s="564"/>
      <c r="AC128" s="228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3"/>
      <c r="E129" s="2282" t="s">
        <v>560</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5"/>
      <c r="T129" s="652"/>
      <c r="U129" s="561"/>
      <c r="V129" s="561"/>
      <c r="W129" s="562"/>
      <c r="X129" s="562"/>
      <c r="Y129" s="562"/>
      <c r="Z129" s="562"/>
      <c r="AA129" s="563"/>
      <c r="AB129" s="564"/>
      <c r="AC129" s="228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3"/>
      <c r="E130" s="2280" t="s">
        <v>605</v>
      </c>
      <c r="F130" s="2280"/>
      <c r="G130" s="2280"/>
      <c r="H130" s="2280"/>
      <c r="I130" s="2280"/>
      <c r="J130" s="2280"/>
      <c r="K130" s="2280"/>
      <c r="L130" s="2280"/>
      <c r="M130" s="2280"/>
      <c r="N130" s="2280"/>
      <c r="O130" s="2280"/>
      <c r="P130" s="2280"/>
      <c r="Q130" s="494">
        <f>SUMIF(T131:T132,"i",Q131:Q132)</f>
        <v>0</v>
      </c>
      <c r="R130" s="946"/>
      <c r="S130" s="1724" t="s">
        <v>606</v>
      </c>
      <c r="T130" s="653" t="s">
        <v>607</v>
      </c>
      <c r="U130" s="2188">
        <v>1</v>
      </c>
      <c r="V130" s="2188" t="s">
        <v>570</v>
      </c>
      <c r="W130" s="1086"/>
      <c r="X130" s="1086"/>
      <c r="Y130" s="1086"/>
      <c r="Z130" s="1086"/>
      <c r="AA130" s="1562"/>
      <c r="AB130" s="1086"/>
      <c r="AC130" s="2281"/>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3"/>
      <c r="E131" s="571"/>
      <c r="F131" s="571">
        <v>0</v>
      </c>
      <c r="G131" s="571"/>
      <c r="H131" s="571"/>
      <c r="I131" s="571"/>
      <c r="J131" s="571"/>
      <c r="K131" s="571"/>
      <c r="L131" s="571"/>
      <c r="M131" s="571"/>
      <c r="N131" s="571"/>
      <c r="O131" s="571"/>
      <c r="P131" s="571"/>
      <c r="Q131" s="571"/>
      <c r="R131" s="571"/>
      <c r="S131" s="572"/>
      <c r="T131" s="654"/>
      <c r="U131" s="2188"/>
      <c r="V131" s="2188"/>
      <c r="W131" s="1562"/>
      <c r="X131" s="1562"/>
      <c r="Y131" s="1562"/>
      <c r="Z131" s="1562"/>
      <c r="AA131" s="1562"/>
      <c r="AB131" s="1086"/>
      <c r="AC131" s="2281"/>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3"/>
      <c r="E132" s="585" t="s">
        <v>22</v>
      </c>
      <c r="F132" s="1094" t="s">
        <v>22</v>
      </c>
      <c r="G132" s="1094" t="s">
        <v>1928</v>
      </c>
      <c r="H132" s="587" t="s">
        <v>22</v>
      </c>
      <c r="I132" s="587"/>
      <c r="J132" s="587"/>
      <c r="K132" s="587"/>
      <c r="L132" s="587"/>
      <c r="M132" s="587"/>
      <c r="N132" s="587"/>
      <c r="O132" s="587"/>
      <c r="P132" s="587"/>
      <c r="Q132" s="587"/>
      <c r="R132" s="588"/>
      <c r="S132" s="589"/>
      <c r="T132" s="654"/>
      <c r="U132" s="2188"/>
      <c r="V132" s="2188"/>
      <c r="W132" s="1086"/>
      <c r="X132" s="1086"/>
      <c r="Y132" s="1086"/>
      <c r="Z132" s="1086"/>
      <c r="AA132" s="1562"/>
      <c r="AB132" s="1086"/>
      <c r="AC132" s="2281"/>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3"/>
      <c r="E133" s="968"/>
      <c r="F133" s="968"/>
      <c r="G133" s="968"/>
      <c r="H133" s="968"/>
      <c r="I133" s="968"/>
      <c r="J133" s="968"/>
      <c r="K133" s="968"/>
      <c r="L133" s="968"/>
      <c r="M133" s="968"/>
      <c r="N133" s="968"/>
      <c r="O133" s="968"/>
      <c r="P133" s="968"/>
      <c r="Q133" s="969"/>
      <c r="R133" s="970"/>
      <c r="S133" s="971"/>
      <c r="T133" s="653" t="s">
        <v>607</v>
      </c>
      <c r="U133" s="2188">
        <v>1</v>
      </c>
      <c r="V133" s="2188" t="s">
        <v>570</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3"/>
      <c r="E134" s="571"/>
      <c r="F134" s="571"/>
      <c r="G134" s="571"/>
      <c r="H134" s="571"/>
      <c r="I134" s="571"/>
      <c r="J134" s="571"/>
      <c r="K134" s="571"/>
      <c r="L134" s="571"/>
      <c r="M134" s="571"/>
      <c r="N134" s="571"/>
      <c r="O134" s="571"/>
      <c r="P134" s="571"/>
      <c r="Q134" s="571"/>
      <c r="R134" s="571"/>
      <c r="S134" s="572"/>
      <c r="T134" s="654"/>
      <c r="U134" s="2188"/>
      <c r="V134" s="2188"/>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4"/>
      <c r="E135" s="972"/>
      <c r="F135" s="973"/>
      <c r="G135" s="973"/>
      <c r="H135" s="974"/>
      <c r="I135" s="974"/>
      <c r="J135" s="974"/>
      <c r="K135" s="974"/>
      <c r="L135" s="974"/>
      <c r="M135" s="974"/>
      <c r="N135" s="974"/>
      <c r="O135" s="974"/>
      <c r="P135" s="974"/>
      <c r="Q135" s="974"/>
      <c r="R135" s="875"/>
      <c r="S135" s="975"/>
      <c r="T135" s="654"/>
      <c r="U135" s="2188"/>
      <c r="V135" s="2188"/>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1930</v>
      </c>
    </row>
    <row r="139" spans="1:83" s="1775" customFormat="1" ht="45" customHeight="1">
      <c r="A139" s="1732"/>
      <c r="B139" s="1086"/>
      <c r="C139" s="348"/>
      <c r="D139" s="28"/>
      <c r="E139" s="2407"/>
      <c r="F139" s="2067" t="s">
        <v>105</v>
      </c>
      <c r="G139" s="2410" t="s">
        <v>22</v>
      </c>
      <c r="H139" s="226"/>
      <c r="I139" s="573" t="s">
        <v>105</v>
      </c>
      <c r="J139" s="1733" t="s">
        <v>1931</v>
      </c>
      <c r="K139" s="574" t="s">
        <v>541</v>
      </c>
      <c r="L139" s="2151" t="s">
        <v>541</v>
      </c>
      <c r="M139" s="2113"/>
      <c r="N139" s="574" t="s">
        <v>541</v>
      </c>
      <c r="O139" s="574" t="s">
        <v>541</v>
      </c>
      <c r="P139" s="574" t="s">
        <v>541</v>
      </c>
      <c r="Q139" s="575">
        <f>SUM(Q140:Q142)</f>
        <v>0</v>
      </c>
      <c r="R139" s="575">
        <f>IF(R136=0,0,(Q136/R136)*100)</f>
        <v>0</v>
      </c>
      <c r="S139" s="2125"/>
      <c r="T139" s="653" t="s">
        <v>607</v>
      </c>
      <c r="U139" s="28"/>
      <c r="V139" s="28"/>
      <c r="AC139" s="28"/>
    </row>
    <row r="140" spans="1:83" s="1775" customFormat="1" ht="11.25" customHeight="1">
      <c r="A140" s="1732"/>
      <c r="B140" s="1086"/>
      <c r="C140" s="348"/>
      <c r="D140" s="28"/>
      <c r="E140" s="2408"/>
      <c r="F140" s="2067"/>
      <c r="G140" s="2410"/>
      <c r="H140" s="2056"/>
      <c r="I140" s="2337" t="s">
        <v>1018</v>
      </c>
      <c r="J140" s="2405"/>
      <c r="K140" s="2406"/>
      <c r="L140" s="576"/>
      <c r="M140" s="577" t="s">
        <v>105</v>
      </c>
      <c r="N140" s="1721"/>
      <c r="O140" s="578"/>
      <c r="P140" s="579"/>
      <c r="Q140" s="578"/>
      <c r="R140" s="580">
        <v>0</v>
      </c>
      <c r="S140" s="2125"/>
      <c r="T140" s="653"/>
      <c r="U140" s="28"/>
      <c r="V140" s="28"/>
      <c r="AC140" s="28"/>
    </row>
    <row r="141" spans="1:83" s="1775" customFormat="1" ht="11.25" customHeight="1">
      <c r="A141" s="1732"/>
      <c r="B141" s="1086"/>
      <c r="C141" s="348"/>
      <c r="D141" s="28"/>
      <c r="E141" s="2408"/>
      <c r="F141" s="2067"/>
      <c r="G141" s="2410"/>
      <c r="H141" s="2056"/>
      <c r="I141" s="2337"/>
      <c r="J141" s="2405"/>
      <c r="K141" s="2399"/>
      <c r="L141" s="581"/>
      <c r="M141" s="582"/>
      <c r="N141" s="583" t="s">
        <v>1932</v>
      </c>
      <c r="O141" s="583"/>
      <c r="P141" s="583"/>
      <c r="Q141" s="583"/>
      <c r="R141" s="584"/>
      <c r="S141" s="2125"/>
      <c r="T141" s="653"/>
      <c r="U141" s="28"/>
      <c r="V141" s="28"/>
      <c r="AC141" s="28"/>
    </row>
    <row r="142" spans="1:83" s="1775" customFormat="1" ht="11.25" customHeight="1">
      <c r="A142" s="1732"/>
      <c r="B142" s="1086"/>
      <c r="C142" s="348"/>
      <c r="D142" s="28"/>
      <c r="E142" s="2409"/>
      <c r="F142" s="2067"/>
      <c r="G142" s="2411"/>
      <c r="H142" s="581" t="s">
        <v>22</v>
      </c>
      <c r="I142" s="582"/>
      <c r="J142" s="583" t="s">
        <v>1933</v>
      </c>
      <c r="K142" s="583"/>
      <c r="L142" s="583"/>
      <c r="M142" s="583"/>
      <c r="N142" s="583"/>
      <c r="O142" s="583"/>
      <c r="P142" s="583"/>
      <c r="Q142" s="583"/>
      <c r="R142" s="584"/>
      <c r="S142" s="2125"/>
      <c r="T142" s="653"/>
      <c r="U142" s="28"/>
      <c r="V142" s="28"/>
      <c r="AC142" s="28"/>
    </row>
    <row r="147" spans="1:43" s="1775" customFormat="1" ht="11.25" customHeight="1">
      <c r="A147" s="1732"/>
      <c r="B147" s="1086"/>
      <c r="C147" s="348"/>
      <c r="D147" s="28"/>
      <c r="E147" s="1755"/>
      <c r="F147" s="1755"/>
      <c r="G147" s="1755"/>
      <c r="H147" s="2056"/>
      <c r="I147" s="2337" t="s">
        <v>1018</v>
      </c>
      <c r="J147" s="2405"/>
      <c r="K147" s="2406"/>
      <c r="L147" s="576"/>
      <c r="M147" s="577" t="s">
        <v>105</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6"/>
      <c r="I148" s="2337"/>
      <c r="J148" s="2405"/>
      <c r="K148" s="2399"/>
      <c r="L148" s="581"/>
      <c r="M148" s="582"/>
      <c r="N148" s="583" t="s">
        <v>1932</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105</v>
      </c>
      <c r="N150" s="1721"/>
      <c r="O150" s="578"/>
      <c r="P150" s="579"/>
      <c r="Q150" s="578"/>
      <c r="R150" s="580">
        <v>0</v>
      </c>
      <c r="S150" s="28"/>
      <c r="T150" s="653"/>
      <c r="U150" s="28"/>
      <c r="V150" s="28"/>
      <c r="AC150" s="28"/>
    </row>
    <row r="152" spans="1:43" s="1741" customFormat="1" ht="17.25" customHeight="1">
      <c r="A152" s="1741" t="s">
        <v>1934</v>
      </c>
    </row>
    <row r="153" spans="1:43" ht="17.25" customHeight="1">
      <c r="G153" s="1764"/>
      <c r="H153" s="1764"/>
      <c r="I153" s="1764"/>
      <c r="M153" s="1760"/>
    </row>
    <row r="154" spans="1:43" s="1778" customFormat="1" ht="17.25" customHeight="1">
      <c r="A154" s="1765"/>
      <c r="C154" s="1767"/>
      <c r="D154" s="2396"/>
      <c r="E154" s="2078"/>
      <c r="F154" s="2091"/>
      <c r="G154" s="2400"/>
      <c r="H154" s="2396"/>
      <c r="I154" s="2396">
        <v>1</v>
      </c>
      <c r="J154" s="2414"/>
      <c r="K154" s="2128" t="s">
        <v>66</v>
      </c>
      <c r="L154" s="2067"/>
      <c r="M154" s="2067" t="s">
        <v>105</v>
      </c>
      <c r="N154" s="2412" t="str">
        <f>IF(Z154="","",INDEX(TERRITORY_MR_LIST,MATCH(Z154,TERRITORY_LIST_ID,0)))</f>
        <v/>
      </c>
      <c r="O154" s="2128" t="s">
        <v>66</v>
      </c>
      <c r="P154" s="2067"/>
      <c r="Q154" s="2067" t="s">
        <v>105</v>
      </c>
      <c r="R154" s="2399" t="s">
        <v>22</v>
      </c>
      <c r="S154" s="2066" t="s">
        <v>66</v>
      </c>
      <c r="T154" s="1737"/>
      <c r="U154" s="1737" t="s">
        <v>105</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6"/>
      <c r="E155" s="2078"/>
      <c r="F155" s="2092"/>
      <c r="G155" s="2400"/>
      <c r="H155" s="2396"/>
      <c r="I155" s="2396"/>
      <c r="J155" s="2414"/>
      <c r="K155" s="2129"/>
      <c r="L155" s="2067"/>
      <c r="M155" s="2067"/>
      <c r="N155" s="2412"/>
      <c r="O155" s="2129"/>
      <c r="P155" s="2067"/>
      <c r="Q155" s="2067"/>
      <c r="R155" s="2399"/>
      <c r="S155" s="2066"/>
      <c r="T155" s="254"/>
      <c r="U155" s="255"/>
      <c r="V155" s="255" t="s">
        <v>409</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0"/>
      <c r="E156" s="2079"/>
      <c r="F156" s="2092"/>
      <c r="G156" s="2401"/>
      <c r="H156" s="2090"/>
      <c r="I156" s="2090"/>
      <c r="J156" s="2415"/>
      <c r="K156" s="2129"/>
      <c r="L156" s="2090"/>
      <c r="M156" s="2090"/>
      <c r="N156" s="2413"/>
      <c r="O156" s="2071"/>
      <c r="P156" s="254"/>
      <c r="Q156" s="255"/>
      <c r="R156" s="255" t="s">
        <v>410</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0"/>
      <c r="E157" s="2079"/>
      <c r="F157" s="2092"/>
      <c r="G157" s="2401"/>
      <c r="H157" s="2090"/>
      <c r="I157" s="2090"/>
      <c r="J157" s="2415"/>
      <c r="K157" s="2071"/>
      <c r="L157" s="254"/>
      <c r="M157" s="255"/>
      <c r="N157" s="255" t="s">
        <v>411</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0"/>
      <c r="E158" s="2079"/>
      <c r="F158" s="2093"/>
      <c r="G158" s="2401"/>
      <c r="H158" s="254"/>
      <c r="I158" s="255"/>
      <c r="J158" s="255" t="s">
        <v>443</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6"/>
      <c r="I160" s="2396">
        <v>1</v>
      </c>
      <c r="J160" s="2414"/>
      <c r="K160" s="2128" t="s">
        <v>66</v>
      </c>
      <c r="L160" s="2067"/>
      <c r="M160" s="2067" t="s">
        <v>105</v>
      </c>
      <c r="N160" s="2412" t="str">
        <f>IF(Z160="","",INDEX(TERRITORY_MR_LIST,MATCH(Z160,TERRITORY_LIST_ID,0)))</f>
        <v/>
      </c>
      <c r="O160" s="2128" t="s">
        <v>66</v>
      </c>
      <c r="P160" s="2067"/>
      <c r="Q160" s="2067" t="s">
        <v>105</v>
      </c>
      <c r="R160" s="2399" t="s">
        <v>22</v>
      </c>
      <c r="S160" s="2066" t="s">
        <v>66</v>
      </c>
      <c r="T160" s="1737"/>
      <c r="U160" s="1737" t="s">
        <v>105</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6"/>
      <c r="I161" s="2396"/>
      <c r="J161" s="2414"/>
      <c r="K161" s="2129"/>
      <c r="L161" s="2067"/>
      <c r="M161" s="2067"/>
      <c r="N161" s="2412"/>
      <c r="O161" s="2129"/>
      <c r="P161" s="2067"/>
      <c r="Q161" s="2067"/>
      <c r="R161" s="2399"/>
      <c r="S161" s="2066"/>
      <c r="T161" s="254"/>
      <c r="U161" s="255"/>
      <c r="V161" s="255" t="s">
        <v>409</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0"/>
      <c r="I162" s="2090"/>
      <c r="J162" s="2415"/>
      <c r="K162" s="2129"/>
      <c r="L162" s="2090"/>
      <c r="M162" s="2090"/>
      <c r="N162" s="2413"/>
      <c r="O162" s="2071"/>
      <c r="P162" s="254"/>
      <c r="Q162" s="255"/>
      <c r="R162" s="255" t="s">
        <v>410</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0"/>
      <c r="I163" s="2090"/>
      <c r="J163" s="2415"/>
      <c r="K163" s="2071"/>
      <c r="L163" s="254"/>
      <c r="M163" s="255"/>
      <c r="N163" s="255" t="s">
        <v>411</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7"/>
      <c r="M165" s="2067" t="s">
        <v>105</v>
      </c>
      <c r="N165" s="2412" t="str">
        <f>IF(Z165="","",INDEX(TERRITORY_MR_LIST,MATCH(Z165,TERRITORY_LIST_ID,0)))</f>
        <v/>
      </c>
      <c r="O165" s="2128" t="s">
        <v>66</v>
      </c>
      <c r="P165" s="2067"/>
      <c r="Q165" s="2067" t="s">
        <v>105</v>
      </c>
      <c r="R165" s="2399" t="s">
        <v>22</v>
      </c>
      <c r="S165" s="2066" t="s">
        <v>66</v>
      </c>
      <c r="T165" s="1737"/>
      <c r="U165" s="1737" t="s">
        <v>105</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7"/>
      <c r="M166" s="2067"/>
      <c r="N166" s="2412"/>
      <c r="O166" s="2129"/>
      <c r="P166" s="2067"/>
      <c r="Q166" s="2067"/>
      <c r="R166" s="2399"/>
      <c r="S166" s="2066"/>
      <c r="T166" s="254"/>
      <c r="U166" s="255"/>
      <c r="V166" s="255" t="s">
        <v>409</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0"/>
      <c r="M167" s="2090"/>
      <c r="N167" s="2413"/>
      <c r="O167" s="2071"/>
      <c r="P167" s="254"/>
      <c r="Q167" s="255"/>
      <c r="R167" s="255" t="s">
        <v>410</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7"/>
      <c r="Q169" s="2067" t="s">
        <v>105</v>
      </c>
      <c r="R169" s="2399" t="s">
        <v>22</v>
      </c>
      <c r="S169" s="2066" t="s">
        <v>66</v>
      </c>
      <c r="T169" s="1737"/>
      <c r="U169" s="1737" t="s">
        <v>105</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7"/>
      <c r="Q170" s="2067"/>
      <c r="R170" s="2399"/>
      <c r="S170" s="2066"/>
      <c r="T170" s="254"/>
      <c r="U170" s="255"/>
      <c r="V170" s="255" t="s">
        <v>409</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105</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1935</v>
      </c>
    </row>
    <row r="175" spans="1:43" ht="17.25" customHeight="1">
      <c r="G175" s="1764"/>
      <c r="H175" s="1764"/>
      <c r="I175" s="1764"/>
      <c r="M175" s="1760"/>
    </row>
    <row r="176" spans="1:43" s="1778" customFormat="1" ht="17.25" customHeight="1">
      <c r="A176" s="1765"/>
      <c r="C176" s="1767"/>
      <c r="D176" s="2396"/>
      <c r="E176" s="2078"/>
      <c r="F176" s="2091"/>
      <c r="G176" s="2400"/>
      <c r="H176" s="2396"/>
      <c r="I176" s="2396">
        <v>1</v>
      </c>
      <c r="J176" s="2414"/>
      <c r="K176" s="2128" t="s">
        <v>66</v>
      </c>
      <c r="L176" s="2067"/>
      <c r="M176" s="2067" t="s">
        <v>105</v>
      </c>
      <c r="N176" s="2412" t="str">
        <f>IF(Z176="","",INDEX(TERRITORY_MR_LIST,MATCH(Z176,TERRITORY_LIST_ID,0)))</f>
        <v/>
      </c>
      <c r="O176" s="2128" t="s">
        <v>66</v>
      </c>
      <c r="P176" s="2067"/>
      <c r="Q176" s="2067" t="s">
        <v>105</v>
      </c>
      <c r="R176" s="2399" t="s">
        <v>22</v>
      </c>
      <c r="S176" s="2300" t="s">
        <v>19</v>
      </c>
      <c r="T176" s="1728"/>
      <c r="U176" s="1728" t="s">
        <v>105</v>
      </c>
      <c r="V176" s="1360"/>
      <c r="W176" s="2414"/>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6"/>
      <c r="E177" s="2078"/>
      <c r="F177" s="2092"/>
      <c r="G177" s="2400"/>
      <c r="H177" s="2396"/>
      <c r="I177" s="2396"/>
      <c r="J177" s="2414"/>
      <c r="K177" s="2129"/>
      <c r="L177" s="2067"/>
      <c r="M177" s="2067"/>
      <c r="N177" s="2412"/>
      <c r="O177" s="2129"/>
      <c r="P177" s="2067"/>
      <c r="Q177" s="2067"/>
      <c r="R177" s="2399"/>
      <c r="S177" s="2300"/>
      <c r="T177" s="1361"/>
      <c r="U177" s="1362"/>
      <c r="V177" s="1362"/>
      <c r="W177" s="2414"/>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0"/>
      <c r="E178" s="2079"/>
      <c r="F178" s="2092"/>
      <c r="G178" s="2401"/>
      <c r="H178" s="2090"/>
      <c r="I178" s="2090"/>
      <c r="J178" s="2415"/>
      <c r="K178" s="2129"/>
      <c r="L178" s="2090"/>
      <c r="M178" s="2090"/>
      <c r="N178" s="2413"/>
      <c r="O178" s="2071"/>
      <c r="P178" s="254"/>
      <c r="Q178" s="255"/>
      <c r="R178" s="255" t="s">
        <v>410</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0"/>
      <c r="E179" s="2079"/>
      <c r="F179" s="2092"/>
      <c r="G179" s="2401"/>
      <c r="H179" s="2090"/>
      <c r="I179" s="2090"/>
      <c r="J179" s="2415"/>
      <c r="K179" s="2071"/>
      <c r="L179" s="254"/>
      <c r="M179" s="255"/>
      <c r="N179" s="255" t="s">
        <v>411</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0"/>
      <c r="E180" s="2079"/>
      <c r="F180" s="2093"/>
      <c r="G180" s="2401"/>
      <c r="H180" s="254"/>
      <c r="I180" s="255"/>
      <c r="J180" s="255" t="s">
        <v>443</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6"/>
      <c r="I182" s="2396">
        <v>1</v>
      </c>
      <c r="J182" s="2414"/>
      <c r="K182" s="2128" t="s">
        <v>66</v>
      </c>
      <c r="L182" s="2067"/>
      <c r="M182" s="2067" t="s">
        <v>105</v>
      </c>
      <c r="N182" s="2412" t="str">
        <f>IF(Z182="","",INDEX(TERRITORY_MR_LIST,MATCH(Z182,TERRITORY_LIST_ID,0)))</f>
        <v/>
      </c>
      <c r="O182" s="2128" t="s">
        <v>66</v>
      </c>
      <c r="P182" s="2067"/>
      <c r="Q182" s="2067" t="s">
        <v>105</v>
      </c>
      <c r="R182" s="2399" t="s">
        <v>22</v>
      </c>
      <c r="S182" s="2300" t="s">
        <v>19</v>
      </c>
      <c r="T182" s="1728"/>
      <c r="U182" s="1728" t="s">
        <v>105</v>
      </c>
      <c r="V182" s="1360"/>
      <c r="W182" s="2414"/>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6"/>
      <c r="I183" s="2396"/>
      <c r="J183" s="2414"/>
      <c r="K183" s="2129"/>
      <c r="L183" s="2067"/>
      <c r="M183" s="2067"/>
      <c r="N183" s="2412"/>
      <c r="O183" s="2129"/>
      <c r="P183" s="2067"/>
      <c r="Q183" s="2067"/>
      <c r="R183" s="2399"/>
      <c r="S183" s="2300"/>
      <c r="T183" s="1361"/>
      <c r="U183" s="1362"/>
      <c r="V183" s="1362"/>
      <c r="W183" s="2414"/>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0"/>
      <c r="I184" s="2090"/>
      <c r="J184" s="2415"/>
      <c r="K184" s="2129"/>
      <c r="L184" s="2090"/>
      <c r="M184" s="2090"/>
      <c r="N184" s="2413"/>
      <c r="O184" s="2071"/>
      <c r="P184" s="254"/>
      <c r="Q184" s="255"/>
      <c r="R184" s="255" t="s">
        <v>410</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0"/>
      <c r="I185" s="2090"/>
      <c r="J185" s="2415"/>
      <c r="K185" s="2071"/>
      <c r="L185" s="254"/>
      <c r="M185" s="255"/>
      <c r="N185" s="255" t="s">
        <v>411</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7"/>
      <c r="M187" s="2067" t="s">
        <v>105</v>
      </c>
      <c r="N187" s="2412" t="str">
        <f>IF(Z187="","",INDEX(TERRITORY_MR_LIST,MATCH(Z187,TERRITORY_LIST_ID,0)))</f>
        <v/>
      </c>
      <c r="O187" s="2128" t="s">
        <v>66</v>
      </c>
      <c r="P187" s="2067"/>
      <c r="Q187" s="2067" t="s">
        <v>105</v>
      </c>
      <c r="R187" s="2399" t="s">
        <v>22</v>
      </c>
      <c r="S187" s="2300" t="s">
        <v>19</v>
      </c>
      <c r="T187" s="1728"/>
      <c r="U187" s="1728" t="s">
        <v>105</v>
      </c>
      <c r="V187" s="1360"/>
      <c r="W187" s="2414"/>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7"/>
      <c r="M188" s="2067"/>
      <c r="N188" s="2412"/>
      <c r="O188" s="2129"/>
      <c r="P188" s="2067"/>
      <c r="Q188" s="2067"/>
      <c r="R188" s="2399"/>
      <c r="S188" s="2300"/>
      <c r="T188" s="1361"/>
      <c r="U188" s="1362"/>
      <c r="V188" s="1362"/>
      <c r="W188" s="2414"/>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0"/>
      <c r="M189" s="2090"/>
      <c r="N189" s="2413"/>
      <c r="O189" s="2071"/>
      <c r="P189" s="254"/>
      <c r="Q189" s="255"/>
      <c r="R189" s="255" t="s">
        <v>410</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7"/>
      <c r="Q191" s="2067" t="s">
        <v>105</v>
      </c>
      <c r="R191" s="2399" t="s">
        <v>22</v>
      </c>
      <c r="S191" s="2300" t="s">
        <v>19</v>
      </c>
      <c r="T191" s="1728"/>
      <c r="U191" s="1728" t="s">
        <v>105</v>
      </c>
      <c r="V191" s="1360"/>
      <c r="W191" s="2414"/>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7"/>
      <c r="Q192" s="2067"/>
      <c r="R192" s="2399"/>
      <c r="S192" s="2300"/>
      <c r="T192" s="1361"/>
      <c r="U192" s="1362"/>
      <c r="V192" s="1362"/>
      <c r="W192" s="2414"/>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6"/>
      <c r="E194" s="2125"/>
      <c r="F194" s="2125"/>
      <c r="G194" s="2056"/>
      <c r="H194" s="2080"/>
      <c r="I194" s="2082"/>
      <c r="J194" s="2084"/>
      <c r="K194" s="2076"/>
      <c r="L194" s="2076"/>
      <c r="M194" s="2076"/>
      <c r="N194" s="2087"/>
      <c r="O194" s="2076"/>
      <c r="P194" s="2076"/>
      <c r="Q194" s="2076"/>
      <c r="R194" s="2074"/>
      <c r="S194" s="2076"/>
      <c r="T194" s="1709"/>
      <c r="U194" s="1709"/>
      <c r="V194" s="1777"/>
      <c r="W194" s="1222"/>
    </row>
    <row r="195" spans="1:63" ht="16.5" customHeight="1">
      <c r="A195" s="1765"/>
      <c r="B195" s="1766"/>
      <c r="C195" s="1770"/>
      <c r="D195" s="2396"/>
      <c r="E195" s="2125"/>
      <c r="F195" s="2125"/>
      <c r="G195" s="2056"/>
      <c r="H195" s="2081"/>
      <c r="I195" s="2083"/>
      <c r="J195" s="2085"/>
      <c r="K195" s="2077"/>
      <c r="L195" s="2077"/>
      <c r="M195" s="2077"/>
      <c r="N195" s="2088"/>
      <c r="O195" s="2077"/>
      <c r="P195" s="2077"/>
      <c r="Q195" s="2077"/>
      <c r="R195" s="2075"/>
      <c r="S195" s="2077"/>
      <c r="T195" s="1223"/>
      <c r="U195" s="1223"/>
      <c r="V195" s="1223"/>
      <c r="W195" s="1224"/>
    </row>
    <row r="196" spans="1:63" ht="17.25" customHeight="1">
      <c r="A196" s="1765"/>
      <c r="B196" s="1766"/>
      <c r="C196" s="1770"/>
      <c r="D196" s="2396"/>
      <c r="E196" s="2125"/>
      <c r="F196" s="2125"/>
      <c r="G196" s="2056"/>
      <c r="H196" s="2081"/>
      <c r="I196" s="2083"/>
      <c r="J196" s="2086"/>
      <c r="K196" s="2077"/>
      <c r="L196" s="2077"/>
      <c r="M196" s="2077"/>
      <c r="N196" s="2075"/>
      <c r="O196" s="2077"/>
      <c r="P196" s="1712"/>
      <c r="Q196" s="1223"/>
      <c r="R196" s="1223"/>
      <c r="S196" s="1778"/>
      <c r="T196" s="1778"/>
      <c r="U196" s="1778"/>
      <c r="V196" s="1778"/>
      <c r="W196" s="1224"/>
    </row>
    <row r="197" spans="1:63" ht="17.25" customHeight="1">
      <c r="A197" s="1765"/>
      <c r="B197" s="1766"/>
      <c r="C197" s="1770"/>
      <c r="D197" s="2396"/>
      <c r="E197" s="2125"/>
      <c r="F197" s="2125"/>
      <c r="G197" s="2056"/>
      <c r="H197" s="2081"/>
      <c r="I197" s="2083"/>
      <c r="J197" s="2086"/>
      <c r="K197" s="2077"/>
      <c r="L197" s="1223"/>
      <c r="M197" s="1223"/>
      <c r="N197" s="1223"/>
      <c r="O197" s="1223"/>
      <c r="P197" s="1223"/>
      <c r="Q197" s="1223"/>
      <c r="R197" s="1223"/>
      <c r="S197" s="1778"/>
      <c r="T197" s="1778"/>
      <c r="U197" s="1778"/>
      <c r="V197" s="1778"/>
      <c r="W197" s="1224"/>
    </row>
    <row r="198" spans="1:63" ht="17.25" customHeight="1">
      <c r="A198" s="1765"/>
      <c r="B198" s="1766"/>
      <c r="C198" s="1770"/>
      <c r="D198" s="2396"/>
      <c r="E198" s="2125"/>
      <c r="F198" s="2125"/>
      <c r="G198" s="2056"/>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1936</v>
      </c>
    </row>
    <row r="201" spans="1:63" ht="17.25" customHeight="1">
      <c r="G201" s="1764"/>
      <c r="H201" s="1764"/>
      <c r="I201" s="1764"/>
      <c r="M201" s="1760"/>
    </row>
    <row r="202" spans="1:63" s="1775" customFormat="1" ht="15" customHeight="1">
      <c r="D202" s="2438"/>
      <c r="E202" s="2120"/>
      <c r="F202" s="2120"/>
      <c r="G202" s="2128"/>
      <c r="H202" s="1490"/>
      <c r="I202" s="2439">
        <v>1</v>
      </c>
      <c r="J202" s="2414"/>
      <c r="K202" s="1505"/>
      <c r="L202" s="2128" t="s">
        <v>66</v>
      </c>
      <c r="M202" s="2128" t="s">
        <v>66</v>
      </c>
      <c r="N202" s="1490"/>
      <c r="O202" s="2067" t="s">
        <v>105</v>
      </c>
      <c r="P202" s="2445"/>
      <c r="Q202" s="1506"/>
      <c r="R202" s="2128" t="s">
        <v>66</v>
      </c>
      <c r="S202" s="2128" t="s">
        <v>66</v>
      </c>
      <c r="T202" s="1780"/>
      <c r="U202" s="2067" t="s">
        <v>105</v>
      </c>
      <c r="V202" s="2435" t="str">
        <f>IF(AK202="","",INDEX(TERRITORY_MR_LIST,MATCH(AK202,TERRITORY_LIST_ID,0)))</f>
        <v/>
      </c>
      <c r="W202" s="1507"/>
      <c r="X202" s="2128" t="s">
        <v>66</v>
      </c>
      <c r="Y202" s="2128" t="s">
        <v>19</v>
      </c>
      <c r="Z202" s="1490"/>
      <c r="AA202" s="2067" t="s">
        <v>105</v>
      </c>
      <c r="AB202" s="2437"/>
      <c r="AC202" s="1508"/>
      <c r="AD202" s="2128" t="s">
        <v>66</v>
      </c>
      <c r="AE202" s="2128" t="s">
        <v>19</v>
      </c>
      <c r="AF202" s="1488"/>
      <c r="AG202" s="1737" t="s">
        <v>105</v>
      </c>
      <c r="AH202" s="1498"/>
      <c r="AI202" s="1727"/>
    </row>
    <row r="203" spans="1:63" s="1775" customFormat="1" ht="15" customHeight="1">
      <c r="D203" s="2438"/>
      <c r="E203" s="2120"/>
      <c r="F203" s="2120"/>
      <c r="G203" s="2129"/>
      <c r="H203" s="1490"/>
      <c r="I203" s="2439"/>
      <c r="J203" s="2414"/>
      <c r="K203" s="1489"/>
      <c r="L203" s="2129"/>
      <c r="M203" s="2129"/>
      <c r="N203" s="1490"/>
      <c r="O203" s="2067"/>
      <c r="P203" s="2445"/>
      <c r="Q203" s="1486"/>
      <c r="R203" s="2129"/>
      <c r="S203" s="2129"/>
      <c r="T203" s="1780"/>
      <c r="U203" s="2067"/>
      <c r="V203" s="2436"/>
      <c r="W203" s="1487"/>
      <c r="X203" s="2129"/>
      <c r="Y203" s="2129"/>
      <c r="Z203" s="1490"/>
      <c r="AA203" s="2067"/>
      <c r="AB203" s="2367"/>
      <c r="AC203" s="1491"/>
      <c r="AD203" s="2071"/>
      <c r="AE203" s="2071"/>
      <c r="AF203" s="1492"/>
      <c r="AG203" s="1493"/>
      <c r="AH203" s="2441" t="s">
        <v>1937</v>
      </c>
      <c r="AI203" s="2442"/>
    </row>
    <row r="204" spans="1:63" s="1775" customFormat="1" ht="15" customHeight="1">
      <c r="D204" s="2438"/>
      <c r="E204" s="2120"/>
      <c r="F204" s="2120"/>
      <c r="G204" s="2129"/>
      <c r="H204" s="1490"/>
      <c r="I204" s="2439"/>
      <c r="J204" s="2414"/>
      <c r="K204" s="1489"/>
      <c r="L204" s="2129"/>
      <c r="M204" s="2129"/>
      <c r="N204" s="1490"/>
      <c r="O204" s="2067"/>
      <c r="P204" s="2445"/>
      <c r="Q204" s="1486"/>
      <c r="R204" s="2129"/>
      <c r="S204" s="2129"/>
      <c r="T204" s="1780"/>
      <c r="U204" s="2067"/>
      <c r="V204" s="2436"/>
      <c r="W204" s="1487"/>
      <c r="X204" s="2129"/>
      <c r="Y204" s="2129"/>
      <c r="Z204" s="1529"/>
      <c r="AA204" s="1495"/>
      <c r="AB204" s="2443" t="s">
        <v>1938</v>
      </c>
      <c r="AC204" s="2443"/>
      <c r="AD204" s="2443"/>
      <c r="AE204" s="2443"/>
      <c r="AF204" s="2443"/>
      <c r="AG204" s="2443"/>
      <c r="AH204" s="2443"/>
      <c r="AI204" s="2444"/>
    </row>
    <row r="205" spans="1:63" s="1775" customFormat="1" ht="15" customHeight="1">
      <c r="D205" s="2438"/>
      <c r="E205" s="2120"/>
      <c r="F205" s="2120"/>
      <c r="G205" s="2129"/>
      <c r="H205" s="1490"/>
      <c r="I205" s="2439"/>
      <c r="J205" s="2414"/>
      <c r="K205" s="1489"/>
      <c r="L205" s="2129"/>
      <c r="M205" s="2129"/>
      <c r="N205" s="1490"/>
      <c r="O205" s="2067"/>
      <c r="P205" s="2446"/>
      <c r="Q205" s="1486"/>
      <c r="R205" s="2129"/>
      <c r="S205" s="2129"/>
      <c r="T205" s="1781"/>
      <c r="U205" s="1530"/>
      <c r="V205" s="2441" t="s">
        <v>99</v>
      </c>
      <c r="W205" s="2441"/>
      <c r="X205" s="2441"/>
      <c r="Y205" s="2441"/>
      <c r="Z205" s="2441"/>
      <c r="AA205" s="2441"/>
      <c r="AB205" s="2441"/>
      <c r="AC205" s="2441"/>
      <c r="AD205" s="2441"/>
      <c r="AE205" s="2441"/>
      <c r="AF205" s="2441"/>
      <c r="AG205" s="2441"/>
      <c r="AH205" s="2441"/>
      <c r="AI205" s="2442"/>
    </row>
    <row r="206" spans="1:63" s="1775" customFormat="1" ht="11.25" customHeight="1">
      <c r="D206" s="2438"/>
      <c r="E206" s="2120"/>
      <c r="F206" s="2120"/>
      <c r="G206" s="2129"/>
      <c r="H206" s="1494"/>
      <c r="I206" s="2439"/>
      <c r="J206" s="2440"/>
      <c r="K206" s="1489"/>
      <c r="L206" s="2129"/>
      <c r="M206" s="2129"/>
      <c r="N206" s="1494"/>
      <c r="O206" s="1495"/>
      <c r="P206" s="2441" t="s">
        <v>1939</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80" customFormat="1" ht="11.25" customHeight="1">
      <c r="D207" s="2438"/>
      <c r="E207" s="2120"/>
      <c r="F207" s="2120"/>
      <c r="G207" s="2071"/>
      <c r="H207" s="1496"/>
      <c r="I207" s="1497"/>
      <c r="J207" s="2441" t="s">
        <v>443</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500"/>
    </row>
    <row r="208" spans="1:63" ht="17.25" customHeight="1">
      <c r="G208" s="1764"/>
      <c r="I208" s="1764"/>
      <c r="J208" s="1764"/>
      <c r="N208" s="1760"/>
    </row>
    <row r="209" spans="4:63" s="1775" customFormat="1" ht="15" customHeight="1">
      <c r="D209" s="2438"/>
      <c r="E209" s="2120"/>
      <c r="F209" s="2120"/>
      <c r="G209" s="2125"/>
      <c r="H209" s="1525"/>
      <c r="I209" s="2130"/>
      <c r="J209" s="2084"/>
      <c r="K209" s="1711"/>
      <c r="L209" s="2076"/>
      <c r="M209" s="2076"/>
      <c r="N209" s="1510"/>
      <c r="O209" s="2076"/>
      <c r="P209" s="2084"/>
      <c r="Q209" s="1715"/>
      <c r="R209" s="2076"/>
      <c r="S209" s="2076"/>
      <c r="T209" s="1782"/>
      <c r="U209" s="2076"/>
      <c r="V209" s="2084"/>
      <c r="W209" s="1513"/>
      <c r="X209" s="2076"/>
      <c r="Y209" s="2076"/>
      <c r="Z209" s="1510"/>
      <c r="AA209" s="2076"/>
      <c r="AB209" s="2084"/>
      <c r="AC209" s="1514"/>
      <c r="AD209" s="2076"/>
      <c r="AE209" s="2076"/>
      <c r="AF209" s="1709"/>
      <c r="AG209" s="1709"/>
      <c r="AH209" s="1515"/>
      <c r="AI209" s="1222"/>
    </row>
    <row r="210" spans="4:63" s="1775" customFormat="1" ht="15" customHeight="1">
      <c r="D210" s="2438"/>
      <c r="E210" s="2120"/>
      <c r="F210" s="2120"/>
      <c r="G210" s="2125"/>
      <c r="H210" s="1526"/>
      <c r="I210" s="2131"/>
      <c r="J210" s="2085"/>
      <c r="K210" s="1536"/>
      <c r="L210" s="2077"/>
      <c r="M210" s="2077"/>
      <c r="N210" s="1516"/>
      <c r="O210" s="2077"/>
      <c r="P210" s="2085"/>
      <c r="Q210" s="1716"/>
      <c r="R210" s="2077"/>
      <c r="S210" s="2077"/>
      <c r="T210" s="1783"/>
      <c r="U210" s="2077"/>
      <c r="V210" s="2085"/>
      <c r="W210" s="1519"/>
      <c r="X210" s="2077"/>
      <c r="Y210" s="2077"/>
      <c r="Z210" s="1516"/>
      <c r="AA210" s="2077"/>
      <c r="AB210" s="2085"/>
      <c r="AC210" s="1520"/>
      <c r="AD210" s="2077"/>
      <c r="AE210" s="2077"/>
      <c r="AF210" s="1714"/>
      <c r="AG210" s="1714"/>
      <c r="AH210" s="2134"/>
      <c r="AI210" s="2135"/>
    </row>
    <row r="211" spans="4:63" s="1775" customFormat="1" ht="15" customHeight="1">
      <c r="D211" s="2438"/>
      <c r="E211" s="2120"/>
      <c r="F211" s="2120"/>
      <c r="G211" s="2125"/>
      <c r="H211" s="1526"/>
      <c r="I211" s="2131"/>
      <c r="J211" s="2085"/>
      <c r="K211" s="1536"/>
      <c r="L211" s="2077"/>
      <c r="M211" s="2077"/>
      <c r="N211" s="1516"/>
      <c r="O211" s="2077"/>
      <c r="P211" s="2085"/>
      <c r="Q211" s="1716"/>
      <c r="R211" s="2077"/>
      <c r="S211" s="2077"/>
      <c r="T211" s="1783"/>
      <c r="U211" s="2077"/>
      <c r="V211" s="2085"/>
      <c r="W211" s="1519"/>
      <c r="X211" s="2077"/>
      <c r="Y211" s="2077"/>
      <c r="Z211" s="1712"/>
      <c r="AA211" s="1714"/>
      <c r="AB211" s="2134"/>
      <c r="AC211" s="2134"/>
      <c r="AD211" s="2134"/>
      <c r="AE211" s="2134"/>
      <c r="AF211" s="2134"/>
      <c r="AG211" s="2134"/>
      <c r="AH211" s="2134"/>
      <c r="AI211" s="2135"/>
    </row>
    <row r="212" spans="4:63" s="1775" customFormat="1" ht="15" customHeight="1">
      <c r="D212" s="2438"/>
      <c r="E212" s="2120"/>
      <c r="F212" s="2120"/>
      <c r="G212" s="2125"/>
      <c r="H212" s="1526"/>
      <c r="I212" s="2131"/>
      <c r="J212" s="2085"/>
      <c r="K212" s="1536"/>
      <c r="L212" s="2077"/>
      <c r="M212" s="2077"/>
      <c r="N212" s="1516"/>
      <c r="O212" s="2077"/>
      <c r="P212" s="2085"/>
      <c r="Q212" s="1716"/>
      <c r="R212" s="2077"/>
      <c r="S212" s="2077"/>
      <c r="T212" s="1784"/>
      <c r="U212" s="1523"/>
      <c r="V212" s="2134"/>
      <c r="W212" s="2134"/>
      <c r="X212" s="2134"/>
      <c r="Y212" s="2134"/>
      <c r="Z212" s="2134"/>
      <c r="AA212" s="2134"/>
      <c r="AB212" s="2134"/>
      <c r="AC212" s="2134"/>
      <c r="AD212" s="2134"/>
      <c r="AE212" s="2134"/>
      <c r="AF212" s="2134"/>
      <c r="AG212" s="2134"/>
      <c r="AH212" s="2134"/>
      <c r="AI212" s="2135"/>
    </row>
    <row r="213" spans="4:63" s="1775" customFormat="1" ht="11.25" customHeight="1">
      <c r="D213" s="2438"/>
      <c r="E213" s="2120"/>
      <c r="F213" s="2120"/>
      <c r="G213" s="2125"/>
      <c r="H213" s="1527"/>
      <c r="I213" s="2131"/>
      <c r="J213" s="2085"/>
      <c r="K213" s="1536"/>
      <c r="L213" s="2077"/>
      <c r="M213" s="2077"/>
      <c r="N213" s="1714"/>
      <c r="O213" s="1714"/>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80" customFormat="1" ht="11.25" customHeight="1">
      <c r="D214" s="2438"/>
      <c r="E214" s="2120"/>
      <c r="F214" s="2120"/>
      <c r="G214" s="2136"/>
      <c r="H214" s="1524"/>
      <c r="I214" s="1528"/>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1940</v>
      </c>
      <c r="B1" s="776"/>
      <c r="C1" s="911" t="s">
        <v>1941</v>
      </c>
      <c r="D1" s="909" t="s">
        <v>803</v>
      </c>
      <c r="E1" s="909" t="s">
        <v>849</v>
      </c>
      <c r="F1" s="909" t="s">
        <v>902</v>
      </c>
      <c r="G1" s="909" t="s">
        <v>889</v>
      </c>
      <c r="H1" s="909" t="s">
        <v>1616</v>
      </c>
    </row>
    <row r="2" spans="1:8" ht="9" customHeight="1">
      <c r="A2" s="912" t="s">
        <v>1942</v>
      </c>
      <c r="B2" s="912"/>
      <c r="C2" s="913" t="str">
        <f>INDEX(TEMPLATE_NUMBER_FORM_LIST,MATCH(TEMPLATE_SPHERE,TEMPLATE_SPHERE_LIST,0))</f>
        <v>16</v>
      </c>
      <c r="D2" s="912" t="s">
        <v>1465</v>
      </c>
      <c r="E2" s="912" t="s">
        <v>146</v>
      </c>
      <c r="F2" s="914" t="s">
        <v>146</v>
      </c>
      <c r="G2" s="912" t="s">
        <v>146</v>
      </c>
      <c r="H2" s="915"/>
    </row>
    <row r="3" spans="1:8" ht="63" customHeight="1">
      <c r="A3" s="776"/>
      <c r="B3" s="776" t="s">
        <v>105</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1943</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1944</v>
      </c>
      <c r="B4" s="776" t="s">
        <v>106</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1945</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1946</v>
      </c>
    </row>
    <row r="5" spans="1:8" ht="117" customHeight="1">
      <c r="A5" s="776" t="s">
        <v>1947</v>
      </c>
      <c r="B5" s="776" t="s">
        <v>86</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1948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1949</v>
      </c>
    </row>
    <row r="6" spans="1:8" ht="90" customHeight="1">
      <c r="A6" s="776" t="s">
        <v>1950</v>
      </c>
      <c r="B6" s="776" t="s">
        <v>87</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1951</v>
      </c>
      <c r="B7" s="776" t="s">
        <v>107</v>
      </c>
      <c r="C7" s="913" t="str">
        <f>IF(TEMPLATE_SPHERE="HEAT",D7,E7)</f>
        <v>Форма 11. Информация о расходах на капитальный и текущий ремонт основных средств</v>
      </c>
      <c r="D7" s="776" t="s">
        <v>1952</v>
      </c>
      <c r="E7" s="776" t="s">
        <v>1953</v>
      </c>
      <c r="F7" s="915"/>
      <c r="G7" s="915"/>
      <c r="H7" s="915"/>
    </row>
    <row r="8" spans="1:8" ht="108" customHeight="1">
      <c r="A8" s="776" t="s">
        <v>1954</v>
      </c>
      <c r="B8" s="776" t="s">
        <v>88</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1153</v>
      </c>
      <c r="E8" s="776" t="s">
        <v>1955</v>
      </c>
      <c r="F8" s="915"/>
      <c r="G8" s="915"/>
      <c r="H8" s="915"/>
    </row>
    <row r="9" spans="1:8" ht="99" customHeight="1">
      <c r="A9" s="776" t="s">
        <v>1956</v>
      </c>
      <c r="B9" s="776"/>
      <c r="C9" s="776" t="s">
        <v>1957</v>
      </c>
      <c r="D9" s="776"/>
      <c r="E9" s="776"/>
      <c r="F9" s="915"/>
      <c r="G9" s="915"/>
      <c r="H9" s="915"/>
    </row>
    <row r="10" spans="1:8" ht="126" customHeight="1">
      <c r="A10" s="776" t="s">
        <v>1958</v>
      </c>
      <c r="B10" s="776"/>
      <c r="C10" s="776" t="s">
        <v>1959</v>
      </c>
      <c r="D10" s="776"/>
      <c r="E10" s="776"/>
      <c r="F10" s="915"/>
      <c r="G10" s="915"/>
      <c r="H10" s="915"/>
    </row>
    <row r="11" spans="1:8" ht="108" customHeight="1">
      <c r="A11" s="776" t="s">
        <v>1960</v>
      </c>
      <c r="B11" s="776"/>
      <c r="C11" s="776" t="s">
        <v>1961</v>
      </c>
      <c r="D11" s="776"/>
      <c r="E11" s="776"/>
      <c r="F11" s="915"/>
      <c r="G11" s="915"/>
      <c r="H11" s="915"/>
    </row>
    <row r="12" spans="1:8" ht="54" customHeight="1">
      <c r="A12" s="776" t="s">
        <v>1962</v>
      </c>
      <c r="B12" s="776"/>
      <c r="C12" s="776" t="s">
        <v>1963</v>
      </c>
      <c r="D12" s="776"/>
      <c r="E12" s="776"/>
      <c r="F12" s="915"/>
      <c r="G12" s="915"/>
      <c r="H12" s="915"/>
    </row>
    <row r="13" spans="1:8" ht="45" customHeight="1">
      <c r="A13" s="776" t="s">
        <v>1964</v>
      </c>
      <c r="B13" s="776"/>
      <c r="C13" s="776" t="s">
        <v>1965</v>
      </c>
      <c r="D13" s="776"/>
      <c r="E13" s="776"/>
      <c r="F13" s="915"/>
      <c r="G13" s="915"/>
      <c r="H13" s="915"/>
    </row>
    <row r="14" spans="1:8" ht="117" customHeight="1">
      <c r="A14" s="776" t="s">
        <v>1966</v>
      </c>
      <c r="B14" s="776"/>
      <c r="C14" s="776" t="s">
        <v>1967</v>
      </c>
      <c r="D14" s="776"/>
      <c r="E14" s="776"/>
      <c r="F14" s="915"/>
      <c r="G14" s="915"/>
      <c r="H14" s="915"/>
    </row>
    <row r="15" spans="1:8" ht="117" customHeight="1">
      <c r="A15" s="776" t="s">
        <v>1968</v>
      </c>
      <c r="B15" s="776"/>
      <c r="C15" s="776" t="s">
        <v>1969</v>
      </c>
      <c r="D15" s="776"/>
      <c r="E15" s="776"/>
      <c r="F15" s="915"/>
      <c r="G15" s="915"/>
      <c r="H15" s="915"/>
    </row>
    <row r="16" spans="1:8" ht="63" customHeight="1">
      <c r="A16" s="776" t="s">
        <v>1970</v>
      </c>
      <c r="B16" s="776"/>
      <c r="C16" s="776" t="s">
        <v>1971</v>
      </c>
      <c r="D16" s="776"/>
      <c r="E16" s="776"/>
      <c r="F16" s="915"/>
      <c r="G16" s="915"/>
      <c r="H16" s="915"/>
    </row>
    <row r="17" spans="1:8" ht="54" customHeight="1">
      <c r="A17" s="776" t="s">
        <v>1972</v>
      </c>
      <c r="B17" s="776"/>
      <c r="C17" s="913" t="s">
        <v>1973</v>
      </c>
      <c r="D17" s="776"/>
      <c r="E17" s="776"/>
      <c r="F17" s="915"/>
      <c r="G17" s="915"/>
      <c r="H17" s="915"/>
    </row>
    <row r="18" spans="1:8" ht="27" customHeight="1">
      <c r="A18" s="776" t="s">
        <v>1974</v>
      </c>
      <c r="B18" s="776"/>
      <c r="C18" s="913" t="s">
        <v>1975</v>
      </c>
      <c r="D18" s="776"/>
      <c r="E18" s="776"/>
      <c r="F18" s="915"/>
      <c r="G18" s="915"/>
      <c r="H18" s="915"/>
    </row>
    <row r="19" spans="1:8" ht="54" customHeight="1">
      <c r="A19" s="776" t="s">
        <v>1976</v>
      </c>
      <c r="B19" s="776"/>
      <c r="C19" s="913" t="s">
        <v>1977</v>
      </c>
      <c r="D19" s="776"/>
      <c r="E19" s="776"/>
      <c r="F19" s="915"/>
      <c r="G19" s="915"/>
      <c r="H19" s="915"/>
    </row>
    <row r="20" spans="1:8" ht="36" customHeight="1">
      <c r="A20" s="776" t="s">
        <v>1978</v>
      </c>
      <c r="B20" s="776"/>
      <c r="C20" s="913" t="s">
        <v>1979</v>
      </c>
      <c r="D20" s="776"/>
      <c r="E20" s="776"/>
      <c r="F20" s="915"/>
      <c r="G20" s="915"/>
      <c r="H20" s="915"/>
    </row>
    <row r="21" spans="1:8" ht="36" customHeight="1">
      <c r="A21" s="776" t="s">
        <v>1980</v>
      </c>
      <c r="B21" s="776"/>
      <c r="C21" s="913" t="s">
        <v>1981</v>
      </c>
      <c r="D21" s="776"/>
      <c r="E21" s="776"/>
      <c r="F21" s="915"/>
      <c r="G21" s="915"/>
      <c r="H21" s="915"/>
    </row>
    <row r="22" spans="1:8" ht="27" customHeight="1">
      <c r="A22" s="776" t="s">
        <v>1982</v>
      </c>
      <c r="B22" s="776"/>
      <c r="C22" s="913" t="s">
        <v>1983</v>
      </c>
      <c r="D22" s="776"/>
      <c r="E22" s="776"/>
      <c r="F22" s="915"/>
      <c r="G22" s="915"/>
      <c r="H22" s="915"/>
    </row>
    <row r="23" spans="1:8" ht="36" customHeight="1">
      <c r="A23" s="776" t="s">
        <v>1984</v>
      </c>
      <c r="B23" s="776"/>
      <c r="C23" s="913" t="s">
        <v>1985</v>
      </c>
      <c r="D23" s="776"/>
      <c r="E23" s="776"/>
      <c r="F23" s="915"/>
      <c r="G23" s="915"/>
      <c r="H23" s="915"/>
    </row>
    <row r="24" spans="1:8" ht="28.5" customHeight="1">
      <c r="A24" s="776" t="s">
        <v>1986</v>
      </c>
      <c r="B24" s="776"/>
      <c r="C24" s="913" t="s">
        <v>1987</v>
      </c>
      <c r="D24" s="776"/>
      <c r="E24" s="776"/>
      <c r="F24" s="915"/>
      <c r="G24" s="915"/>
      <c r="H24" s="915"/>
    </row>
    <row r="25" spans="1:8" ht="36" customHeight="1">
      <c r="A25" s="776" t="s">
        <v>1988</v>
      </c>
      <c r="B25" s="776"/>
      <c r="C25" s="913" t="s">
        <v>1989</v>
      </c>
      <c r="D25" s="776"/>
      <c r="E25" s="776"/>
      <c r="F25" s="915"/>
      <c r="G25" s="915"/>
      <c r="H25" s="915"/>
    </row>
    <row r="26" spans="1:8" ht="27" customHeight="1">
      <c r="A26" s="776" t="s">
        <v>1990</v>
      </c>
      <c r="B26" s="776"/>
      <c r="C26" s="913" t="s">
        <v>1991</v>
      </c>
      <c r="D26" s="776"/>
      <c r="E26" s="776"/>
      <c r="F26" s="915"/>
      <c r="G26" s="915"/>
      <c r="H26" s="915"/>
    </row>
    <row r="27" spans="1:8" ht="36" customHeight="1">
      <c r="A27" s="776" t="s">
        <v>1992</v>
      </c>
      <c r="B27" s="776"/>
      <c r="C27" s="913" t="s">
        <v>1993</v>
      </c>
      <c r="D27" s="776"/>
      <c r="E27" s="776"/>
      <c r="F27" s="915"/>
      <c r="G27" s="915"/>
      <c r="H27" s="915"/>
    </row>
    <row r="28" spans="1:8" ht="28.5" customHeight="1">
      <c r="A28" s="776" t="s">
        <v>1994</v>
      </c>
      <c r="B28" s="776"/>
      <c r="C28" s="913" t="s">
        <v>1995</v>
      </c>
      <c r="D28" s="776"/>
      <c r="E28" s="776"/>
      <c r="F28" s="915"/>
      <c r="G28" s="915"/>
      <c r="H28" s="915"/>
    </row>
    <row r="29" spans="1:8" ht="126" customHeight="1">
      <c r="A29" s="776" t="s">
        <v>1996</v>
      </c>
      <c r="B29" s="776" t="s">
        <v>1567</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1997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1998</v>
      </c>
    </row>
    <row r="30" spans="1:8" ht="36" customHeight="1">
      <c r="A30" s="776" t="s">
        <v>1999</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2001</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2002</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2003</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2005</v>
      </c>
    </row>
    <row r="33" spans="1:8" ht="9" customHeight="1">
      <c r="A33" s="776"/>
      <c r="B33" s="776"/>
      <c r="C33" s="913"/>
      <c r="D33" s="776"/>
      <c r="E33" s="776"/>
      <c r="F33" s="915"/>
      <c r="G33" s="915"/>
      <c r="H33" s="915"/>
    </row>
    <row r="34" spans="1:8" ht="9" customHeight="1">
      <c r="A34" s="776"/>
      <c r="B34" s="776" t="s">
        <v>1503</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2006</v>
      </c>
      <c r="D1" s="827"/>
      <c r="E1" s="827"/>
      <c r="F1" s="827"/>
      <c r="G1" s="827"/>
      <c r="H1" s="827" t="s">
        <v>2007</v>
      </c>
      <c r="I1" s="827"/>
      <c r="J1" s="827"/>
      <c r="K1" s="827"/>
      <c r="L1" s="827"/>
      <c r="M1" s="827" t="s">
        <v>2008</v>
      </c>
      <c r="N1" s="827" t="s">
        <v>2009</v>
      </c>
      <c r="O1" s="2451" t="s">
        <v>2010</v>
      </c>
      <c r="P1" s="2451"/>
      <c r="Q1" s="2451"/>
      <c r="R1" s="2451"/>
      <c r="S1" s="2451"/>
      <c r="T1" s="2451" t="s">
        <v>2008</v>
      </c>
      <c r="U1" s="2451"/>
      <c r="V1" s="2451"/>
      <c r="W1" s="2451"/>
      <c r="X1" s="2451"/>
      <c r="Y1" s="928"/>
      <c r="Z1" s="2451" t="s">
        <v>2011</v>
      </c>
      <c r="AA1" s="2451"/>
      <c r="AB1" s="2451"/>
      <c r="AC1" s="2451"/>
      <c r="AD1" s="2451"/>
    </row>
    <row r="2" spans="1:34" ht="18" customHeight="1">
      <c r="A2" s="776"/>
      <c r="B2" s="776"/>
      <c r="C2" s="771" t="s">
        <v>803</v>
      </c>
      <c r="D2" s="771" t="s">
        <v>849</v>
      </c>
      <c r="E2" s="771" t="s">
        <v>902</v>
      </c>
      <c r="F2" s="771" t="s">
        <v>889</v>
      </c>
      <c r="G2" s="771" t="s">
        <v>1616</v>
      </c>
      <c r="H2" s="773"/>
      <c r="I2" s="773"/>
      <c r="J2" s="773"/>
      <c r="K2" s="773"/>
      <c r="L2" s="773"/>
      <c r="M2" s="773"/>
      <c r="N2" s="773"/>
      <c r="O2" s="771" t="s">
        <v>803</v>
      </c>
      <c r="P2" s="771" t="s">
        <v>849</v>
      </c>
      <c r="Q2" s="771" t="s">
        <v>889</v>
      </c>
      <c r="R2" s="771" t="s">
        <v>902</v>
      </c>
      <c r="S2" s="771" t="s">
        <v>1616</v>
      </c>
      <c r="T2" s="771" t="s">
        <v>803</v>
      </c>
      <c r="U2" s="771" t="s">
        <v>849</v>
      </c>
      <c r="V2" s="771" t="s">
        <v>889</v>
      </c>
      <c r="W2" s="771" t="s">
        <v>902</v>
      </c>
      <c r="X2" s="771" t="s">
        <v>1616</v>
      </c>
      <c r="Y2" s="771"/>
      <c r="Z2" s="771" t="s">
        <v>803</v>
      </c>
      <c r="AA2" s="780" t="s">
        <v>849</v>
      </c>
      <c r="AB2" s="771" t="s">
        <v>889</v>
      </c>
      <c r="AC2" s="771" t="s">
        <v>902</v>
      </c>
      <c r="AD2" s="771" t="s">
        <v>1616</v>
      </c>
    </row>
    <row r="3" spans="1:34" ht="162" customHeight="1">
      <c r="A3" s="775" t="s">
        <v>27</v>
      </c>
      <c r="B3" s="775"/>
      <c r="C3" s="2455" t="s">
        <v>2012</v>
      </c>
      <c r="D3" s="2456"/>
      <c r="E3" s="2456"/>
      <c r="F3" s="2457"/>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2013</v>
      </c>
      <c r="AA3" s="773" t="s">
        <v>2014</v>
      </c>
      <c r="AB3" s="776" t="s">
        <v>2015</v>
      </c>
      <c r="AC3" s="776" t="s">
        <v>2016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2" t="s">
        <v>33</v>
      </c>
      <c r="B11" s="828">
        <v>1</v>
      </c>
      <c r="C11" s="2458" t="s">
        <v>1554</v>
      </c>
      <c r="D11" s="2458" t="s">
        <v>1550</v>
      </c>
      <c r="E11" s="2458" t="s">
        <v>1648</v>
      </c>
      <c r="F11" s="2458" t="s">
        <v>2017</v>
      </c>
      <c r="G11" s="2458"/>
      <c r="H11" s="827" t="s">
        <v>2018</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2019</v>
      </c>
      <c r="U11" s="773" t="s">
        <v>2020</v>
      </c>
      <c r="V11" s="773"/>
      <c r="W11" s="773"/>
      <c r="X11" s="773"/>
      <c r="Y11" s="929"/>
      <c r="Z11" s="776" t="s">
        <v>2021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2"/>
      <c r="B12" s="828">
        <v>2</v>
      </c>
      <c r="C12" s="2459"/>
      <c r="D12" s="2459"/>
      <c r="E12" s="2459"/>
      <c r="F12" s="2459"/>
      <c r="G12" s="2459"/>
      <c r="H12" s="827" t="s">
        <v>2022</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2023</v>
      </c>
      <c r="U12" s="773" t="s">
        <v>2024</v>
      </c>
      <c r="V12" s="773"/>
      <c r="W12" s="773"/>
      <c r="X12" s="773"/>
      <c r="Y12" s="929"/>
      <c r="Z12" s="776" t="s">
        <v>2025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2"/>
      <c r="B13" s="828">
        <v>3</v>
      </c>
      <c r="C13" s="2459"/>
      <c r="D13" s="2459"/>
      <c r="E13" s="2459"/>
      <c r="F13" s="2459"/>
      <c r="G13" s="2459"/>
      <c r="H13" s="2451" t="s">
        <v>2026</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2027</v>
      </c>
      <c r="U13" s="774" t="s">
        <v>2028</v>
      </c>
      <c r="V13" s="774"/>
      <c r="W13" s="774"/>
      <c r="X13" s="773"/>
      <c r="Y13" s="929"/>
      <c r="Z13" s="776" t="s">
        <v>2029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2"/>
      <c r="B14" s="828">
        <v>4</v>
      </c>
      <c r="C14" s="2459"/>
      <c r="D14" s="2459"/>
      <c r="E14" s="2459"/>
      <c r="F14" s="2459"/>
      <c r="G14" s="2459"/>
      <c r="H14" s="2451"/>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2031</v>
      </c>
      <c r="AA14" s="779" t="s">
        <v>2031</v>
      </c>
      <c r="AB14" s="776"/>
      <c r="AC14" s="776"/>
      <c r="AD14" s="776"/>
    </row>
    <row r="15" spans="1:34" ht="108" customHeight="1">
      <c r="A15" s="2452"/>
      <c r="B15" s="828">
        <v>5</v>
      </c>
      <c r="C15" s="2459"/>
      <c r="D15" s="2459"/>
      <c r="E15" s="2459"/>
      <c r="F15" s="2459"/>
      <c r="G15" s="2459"/>
      <c r="H15" s="2453" t="s">
        <v>2032</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0"/>
      <c r="D16" s="2460"/>
      <c r="E16" s="2460"/>
      <c r="F16" s="2460"/>
      <c r="G16" s="2460"/>
      <c r="H16" s="2454"/>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1651</v>
      </c>
      <c r="B18" s="828">
        <v>1</v>
      </c>
      <c r="C18" s="773" t="s">
        <v>2018</v>
      </c>
      <c r="D18" s="896" t="s">
        <v>2018</v>
      </c>
      <c r="E18" s="773" t="s">
        <v>2018</v>
      </c>
      <c r="F18" s="773" t="s">
        <v>2018</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2035</v>
      </c>
      <c r="U18" s="776" t="s">
        <v>2036</v>
      </c>
      <c r="V18" s="776" t="s">
        <v>2037</v>
      </c>
      <c r="W18" s="776" t="s">
        <v>2038</v>
      </c>
      <c r="X18" s="773"/>
      <c r="Y18" s="929"/>
      <c r="Z18" s="776" t="s">
        <v>2039</v>
      </c>
      <c r="AA18" s="779" t="s">
        <v>2040</v>
      </c>
      <c r="AB18" s="779" t="s">
        <v>2040</v>
      </c>
      <c r="AC18" s="779" t="s">
        <v>2040</v>
      </c>
      <c r="AD18" s="776"/>
    </row>
    <row r="19" spans="1:30" ht="36" customHeight="1">
      <c r="A19" s="775"/>
      <c r="B19" s="828">
        <v>2</v>
      </c>
      <c r="C19" s="773" t="s">
        <v>2022</v>
      </c>
      <c r="D19" s="896" t="s">
        <v>2022</v>
      </c>
      <c r="E19" s="773" t="s">
        <v>2022</v>
      </c>
      <c r="F19" s="773" t="s">
        <v>2022</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2041</v>
      </c>
      <c r="U19" s="776" t="s">
        <v>2042</v>
      </c>
      <c r="V19" s="776" t="s">
        <v>2043</v>
      </c>
      <c r="W19" s="776" t="s">
        <v>2044</v>
      </c>
      <c r="X19" s="773"/>
      <c r="Y19" s="929"/>
      <c r="Z19" s="776" t="s">
        <v>2045</v>
      </c>
      <c r="AA19" s="779" t="s">
        <v>2045</v>
      </c>
      <c r="AB19" s="779" t="s">
        <v>2045</v>
      </c>
      <c r="AC19" s="779" t="s">
        <v>2045</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704</v>
      </c>
      <c r="P20" s="886" t="s">
        <v>704</v>
      </c>
      <c r="Q20" s="886" t="s">
        <v>704</v>
      </c>
      <c r="R20" s="886" t="s">
        <v>704</v>
      </c>
      <c r="S20" s="886"/>
      <c r="T20" s="893" t="s">
        <v>2046</v>
      </c>
      <c r="U20" s="776" t="s">
        <v>2047</v>
      </c>
      <c r="V20" s="776" t="s">
        <v>2048</v>
      </c>
      <c r="W20" s="776" t="s">
        <v>2049</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302</v>
      </c>
      <c r="P21" s="886"/>
      <c r="Q21" s="886"/>
      <c r="R21" s="886"/>
      <c r="S21" s="886"/>
      <c r="T21" s="893" t="s">
        <v>2050</v>
      </c>
      <c r="U21" s="776"/>
      <c r="V21" s="776"/>
      <c r="W21" s="776"/>
      <c r="X21" s="773"/>
      <c r="Y21" s="929"/>
      <c r="Z21" s="776" t="s">
        <v>2051</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302</v>
      </c>
      <c r="R22" s="886"/>
      <c r="S22" s="886"/>
      <c r="T22" s="893"/>
      <c r="U22" s="776"/>
      <c r="V22" s="776" t="s">
        <v>2052</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305</v>
      </c>
      <c r="R23" s="886"/>
      <c r="S23" s="886"/>
      <c r="T23" s="893"/>
      <c r="U23" s="776"/>
      <c r="V23" s="776" t="s">
        <v>2053</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724</v>
      </c>
      <c r="R24" s="886"/>
      <c r="S24" s="886"/>
      <c r="T24" s="893"/>
      <c r="U24" s="776"/>
      <c r="V24" s="776" t="s">
        <v>2054</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305</v>
      </c>
      <c r="P25" s="886" t="s">
        <v>302</v>
      </c>
      <c r="Q25" s="886" t="s">
        <v>731</v>
      </c>
      <c r="R25" s="886" t="s">
        <v>302</v>
      </c>
      <c r="S25" s="886"/>
      <c r="T25" s="893" t="s">
        <v>2055</v>
      </c>
      <c r="U25" s="776" t="s">
        <v>2055</v>
      </c>
      <c r="V25" s="776" t="s">
        <v>2055</v>
      </c>
      <c r="W25" s="776" t="s">
        <v>2055</v>
      </c>
      <c r="X25" s="773"/>
      <c r="Y25" s="929"/>
      <c r="Z25" s="776"/>
      <c r="AA25" s="779"/>
      <c r="AB25" s="776"/>
      <c r="AC25" s="776"/>
      <c r="AD25" s="776"/>
    </row>
    <row r="26" spans="1:30" ht="18" customHeight="1">
      <c r="A26" s="775"/>
      <c r="B26" s="828">
        <v>9</v>
      </c>
      <c r="C26" s="773" t="s">
        <v>647</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720</v>
      </c>
      <c r="P26" s="886" t="s">
        <v>714</v>
      </c>
      <c r="Q26" s="886" t="s">
        <v>2056</v>
      </c>
      <c r="R26" s="886" t="s">
        <v>714</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2057</v>
      </c>
      <c r="V26" s="893" t="s">
        <v>2057</v>
      </c>
      <c r="W26" s="893" t="s">
        <v>2057</v>
      </c>
      <c r="X26" s="773"/>
      <c r="Y26" s="929"/>
      <c r="Z26" s="776"/>
      <c r="AA26" s="779"/>
      <c r="AB26" s="776"/>
      <c r="AC26" s="776"/>
      <c r="AD26" s="776"/>
    </row>
    <row r="27" spans="1:30" ht="18" customHeight="1">
      <c r="A27" s="775"/>
      <c r="B27" s="828">
        <v>10</v>
      </c>
      <c r="C27" s="773" t="s">
        <v>651</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722</v>
      </c>
      <c r="P27" s="886" t="s">
        <v>716</v>
      </c>
      <c r="Q27" s="886" t="s">
        <v>2058</v>
      </c>
      <c r="R27" s="886" t="s">
        <v>716</v>
      </c>
      <c r="S27" s="886"/>
      <c r="T27" s="893" t="s">
        <v>2059</v>
      </c>
      <c r="U27" s="893" t="s">
        <v>2059</v>
      </c>
      <c r="V27" s="893" t="s">
        <v>2059</v>
      </c>
      <c r="W27" s="893" t="s">
        <v>2059</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724</v>
      </c>
      <c r="P28" s="886"/>
      <c r="Q28" s="886"/>
      <c r="R28" s="886"/>
      <c r="S28" s="886"/>
      <c r="T28" s="893" t="s">
        <v>2060</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731</v>
      </c>
      <c r="P29" s="886" t="s">
        <v>305</v>
      </c>
      <c r="Q29" s="886"/>
      <c r="R29" s="886" t="s">
        <v>305</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2061</v>
      </c>
      <c r="V29" s="776"/>
      <c r="W29" s="776" t="s">
        <v>2061</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733</v>
      </c>
      <c r="P30" s="886" t="s">
        <v>724</v>
      </c>
      <c r="Q30" s="886" t="s">
        <v>733</v>
      </c>
      <c r="R30" s="886" t="s">
        <v>724</v>
      </c>
      <c r="S30" s="886"/>
      <c r="T30" s="893" t="s">
        <v>2062</v>
      </c>
      <c r="U30" s="776" t="s">
        <v>2062</v>
      </c>
      <c r="V30" s="776" t="s">
        <v>2062</v>
      </c>
      <c r="W30" s="776" t="s">
        <v>2062</v>
      </c>
      <c r="X30" s="773"/>
      <c r="Y30" s="929"/>
      <c r="Z30" s="776"/>
      <c r="AA30" s="779" t="s">
        <v>2063</v>
      </c>
      <c r="AB30" s="779" t="s">
        <v>2063</v>
      </c>
      <c r="AC30" s="779" t="s">
        <v>2063</v>
      </c>
      <c r="AD30" s="776"/>
    </row>
    <row r="31" spans="1:30" ht="18" customHeight="1">
      <c r="A31" s="775"/>
      <c r="B31" s="828">
        <v>14</v>
      </c>
      <c r="C31" s="773" t="s">
        <v>2064</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2065</v>
      </c>
      <c r="P31" s="886" t="s">
        <v>727</v>
      </c>
      <c r="Q31" s="886" t="s">
        <v>2065</v>
      </c>
      <c r="R31" s="886" t="s">
        <v>727</v>
      </c>
      <c r="S31" s="886"/>
      <c r="T31" s="894" t="s">
        <v>2066</v>
      </c>
      <c r="U31" s="776" t="s">
        <v>2066</v>
      </c>
      <c r="V31" s="776" t="s">
        <v>2066</v>
      </c>
      <c r="W31" s="776" t="s">
        <v>2066</v>
      </c>
      <c r="X31" s="773"/>
      <c r="Y31" s="929"/>
      <c r="Z31" s="776"/>
      <c r="AA31" s="779"/>
      <c r="AB31" s="779"/>
      <c r="AC31" s="779"/>
      <c r="AD31" s="776"/>
    </row>
    <row r="32" spans="1:30" ht="36" customHeight="1">
      <c r="A32" s="775"/>
      <c r="B32" s="828">
        <v>15</v>
      </c>
      <c r="C32" s="773" t="s">
        <v>2067</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2068</v>
      </c>
      <c r="P32" s="886" t="s">
        <v>729</v>
      </c>
      <c r="Q32" s="886" t="s">
        <v>2068</v>
      </c>
      <c r="R32" s="886" t="s">
        <v>729</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2069</v>
      </c>
      <c r="V32" s="776" t="s">
        <v>2069</v>
      </c>
      <c r="W32" s="776" t="s">
        <v>2069</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735</v>
      </c>
      <c r="P33" s="886" t="s">
        <v>731</v>
      </c>
      <c r="Q33" s="886" t="s">
        <v>735</v>
      </c>
      <c r="R33" s="886" t="s">
        <v>731</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2070</v>
      </c>
      <c r="V33" s="776" t="s">
        <v>2070</v>
      </c>
      <c r="W33" s="776" t="s">
        <v>2071</v>
      </c>
      <c r="X33" s="773"/>
      <c r="Y33" s="929"/>
      <c r="Z33" s="776"/>
      <c r="AA33" s="779" t="s">
        <v>2072</v>
      </c>
      <c r="AB33" s="779" t="s">
        <v>2072</v>
      </c>
      <c r="AC33" s="779" t="s">
        <v>2072</v>
      </c>
      <c r="AD33" s="776"/>
    </row>
    <row r="34" spans="1:30" ht="27" customHeight="1">
      <c r="A34" s="775"/>
      <c r="B34" s="828">
        <v>17</v>
      </c>
      <c r="C34" s="773" t="s">
        <v>2073</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2074</v>
      </c>
      <c r="P34" s="886" t="s">
        <v>2056</v>
      </c>
      <c r="Q34" s="886" t="s">
        <v>2074</v>
      </c>
      <c r="R34" s="886" t="s">
        <v>2056</v>
      </c>
      <c r="S34" s="886"/>
      <c r="T34" s="895" t="s">
        <v>2075</v>
      </c>
      <c r="U34" s="776" t="s">
        <v>2075</v>
      </c>
      <c r="V34" s="776" t="s">
        <v>2075</v>
      </c>
      <c r="W34" s="776" t="s">
        <v>2076</v>
      </c>
      <c r="X34" s="773"/>
      <c r="Y34" s="929"/>
      <c r="Z34" s="776"/>
      <c r="AA34" s="779"/>
      <c r="AB34" s="776"/>
      <c r="AC34" s="776"/>
      <c r="AD34" s="776"/>
    </row>
    <row r="35" spans="1:30" ht="45" customHeight="1">
      <c r="A35" s="775"/>
      <c r="B35" s="828">
        <v>18</v>
      </c>
      <c r="C35" s="773" t="s">
        <v>2077</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2078</v>
      </c>
      <c r="P35" s="886" t="s">
        <v>2058</v>
      </c>
      <c r="Q35" s="886" t="s">
        <v>2078</v>
      </c>
      <c r="R35" s="886" t="s">
        <v>2058</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2079</v>
      </c>
      <c r="V35" s="776" t="s">
        <v>2079</v>
      </c>
      <c r="W35" s="776" t="s">
        <v>2079</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737</v>
      </c>
      <c r="P36" s="886" t="s">
        <v>733</v>
      </c>
      <c r="Q36" s="886" t="s">
        <v>737</v>
      </c>
      <c r="R36" s="886" t="s">
        <v>733</v>
      </c>
      <c r="S36" s="886"/>
      <c r="T36" s="893" t="s">
        <v>2080</v>
      </c>
      <c r="U36" s="776" t="s">
        <v>2080</v>
      </c>
      <c r="V36" s="776" t="s">
        <v>2080</v>
      </c>
      <c r="W36" s="776" t="s">
        <v>2080</v>
      </c>
      <c r="X36" s="773"/>
      <c r="Y36" s="929"/>
      <c r="Z36" s="776"/>
      <c r="AA36" s="779"/>
      <c r="AB36" s="776"/>
      <c r="AC36" s="776"/>
      <c r="AD36" s="776"/>
    </row>
    <row r="37" spans="1:30" ht="18" customHeight="1">
      <c r="A37" s="775"/>
      <c r="B37" s="828">
        <v>20</v>
      </c>
      <c r="C37" s="773" t="s">
        <v>2081</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2082</v>
      </c>
      <c r="P37" s="886" t="s">
        <v>2065</v>
      </c>
      <c r="Q37" s="886" t="s">
        <v>2082</v>
      </c>
      <c r="R37" s="886" t="s">
        <v>2065</v>
      </c>
      <c r="S37" s="886"/>
      <c r="T37" s="893" t="s">
        <v>2083</v>
      </c>
      <c r="U37" s="776" t="s">
        <v>2083</v>
      </c>
      <c r="V37" s="776" t="s">
        <v>2083</v>
      </c>
      <c r="W37" s="776" t="s">
        <v>2083</v>
      </c>
      <c r="X37" s="773"/>
      <c r="Y37" s="929"/>
      <c r="Z37" s="776"/>
      <c r="AA37" s="779"/>
      <c r="AB37" s="776"/>
      <c r="AC37" s="776"/>
      <c r="AD37" s="776"/>
    </row>
    <row r="38" spans="1:30" ht="18" customHeight="1">
      <c r="A38" s="775"/>
      <c r="B38" s="828">
        <v>21</v>
      </c>
      <c r="C38" s="773" t="s">
        <v>2084</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2085</v>
      </c>
      <c r="P38" s="886" t="s">
        <v>2068</v>
      </c>
      <c r="Q38" s="886" t="s">
        <v>2085</v>
      </c>
      <c r="R38" s="886" t="s">
        <v>2068</v>
      </c>
      <c r="S38" s="886"/>
      <c r="T38" s="893" t="s">
        <v>2086</v>
      </c>
      <c r="U38" s="776" t="s">
        <v>2086</v>
      </c>
      <c r="V38" s="776" t="s">
        <v>2086</v>
      </c>
      <c r="W38" s="776" t="s">
        <v>2086</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741</v>
      </c>
      <c r="P39" s="886" t="s">
        <v>735</v>
      </c>
      <c r="Q39" s="886" t="s">
        <v>741</v>
      </c>
      <c r="R39" s="886" t="s">
        <v>735</v>
      </c>
      <c r="S39" s="886"/>
      <c r="T39" s="893" t="s">
        <v>2087</v>
      </c>
      <c r="U39" s="776" t="s">
        <v>2088</v>
      </c>
      <c r="V39" s="776" t="s">
        <v>2089</v>
      </c>
      <c r="W39" s="776" t="s">
        <v>2090</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2091</v>
      </c>
      <c r="P40" s="886" t="s">
        <v>737</v>
      </c>
      <c r="Q40" s="886" t="s">
        <v>2091</v>
      </c>
      <c r="R40" s="886" t="s">
        <v>737</v>
      </c>
      <c r="S40" s="886"/>
      <c r="T40" s="773" t="s">
        <v>2092</v>
      </c>
      <c r="U40" s="773" t="s">
        <v>2092</v>
      </c>
      <c r="V40" s="773" t="s">
        <v>2092</v>
      </c>
      <c r="W40" s="773" t="s">
        <v>2092</v>
      </c>
      <c r="X40" s="773"/>
      <c r="Y40" s="929"/>
      <c r="Z40" s="776" t="s">
        <v>2093</v>
      </c>
      <c r="AA40" s="779" t="s">
        <v>2093</v>
      </c>
      <c r="AB40" s="779" t="s">
        <v>2093</v>
      </c>
      <c r="AC40" s="779" t="s">
        <v>2093</v>
      </c>
      <c r="AD40" s="776"/>
    </row>
    <row r="41" spans="1:30" ht="27" customHeight="1">
      <c r="A41" s="775"/>
      <c r="B41" s="828">
        <v>24</v>
      </c>
      <c r="C41" s="773" t="s">
        <v>2094</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2095</v>
      </c>
      <c r="P41" s="886" t="s">
        <v>2082</v>
      </c>
      <c r="Q41" s="886" t="s">
        <v>2095</v>
      </c>
      <c r="R41" s="886" t="s">
        <v>2082</v>
      </c>
      <c r="S41" s="886"/>
      <c r="T41" s="773" t="s">
        <v>2096</v>
      </c>
      <c r="U41" s="773" t="s">
        <v>2096</v>
      </c>
      <c r="V41" s="773" t="s">
        <v>2096</v>
      </c>
      <c r="W41" s="773" t="s">
        <v>2096</v>
      </c>
      <c r="X41" s="773"/>
      <c r="Y41" s="929"/>
      <c r="Z41" s="776" t="s">
        <v>2097</v>
      </c>
      <c r="AA41" s="776" t="s">
        <v>2097</v>
      </c>
      <c r="AB41" s="776" t="s">
        <v>2097</v>
      </c>
      <c r="AC41" s="776" t="s">
        <v>2097</v>
      </c>
      <c r="AD41" s="776"/>
    </row>
    <row r="42" spans="1:30" ht="27" customHeight="1">
      <c r="A42" s="775"/>
      <c r="B42" s="828">
        <v>25</v>
      </c>
      <c r="C42" s="773" t="s">
        <v>2098</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2099</v>
      </c>
      <c r="P42" s="886" t="s">
        <v>2085</v>
      </c>
      <c r="Q42" s="886" t="s">
        <v>2099</v>
      </c>
      <c r="R42" s="886" t="s">
        <v>2085</v>
      </c>
      <c r="S42" s="886"/>
      <c r="T42" s="773" t="s">
        <v>2100</v>
      </c>
      <c r="U42" s="773" t="s">
        <v>2100</v>
      </c>
      <c r="V42" s="773" t="s">
        <v>2100</v>
      </c>
      <c r="W42" s="773" t="s">
        <v>2100</v>
      </c>
      <c r="X42" s="773"/>
      <c r="Y42" s="929"/>
      <c r="Z42" s="776" t="s">
        <v>2101</v>
      </c>
      <c r="AA42" s="776" t="s">
        <v>2101</v>
      </c>
      <c r="AB42" s="776" t="s">
        <v>2101</v>
      </c>
      <c r="AC42" s="776" t="s">
        <v>2101</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2102</v>
      </c>
      <c r="P43" s="886" t="s">
        <v>741</v>
      </c>
      <c r="Q43" s="886" t="s">
        <v>2102</v>
      </c>
      <c r="R43" s="886" t="s">
        <v>741</v>
      </c>
      <c r="S43" s="886"/>
      <c r="T43" s="773" t="s">
        <v>2103</v>
      </c>
      <c r="U43" s="773" t="s">
        <v>2103</v>
      </c>
      <c r="V43" s="773" t="s">
        <v>2103</v>
      </c>
      <c r="W43" s="773" t="s">
        <v>2103</v>
      </c>
      <c r="X43" s="773"/>
      <c r="Y43" s="929"/>
      <c r="Z43" s="776" t="s">
        <v>2104</v>
      </c>
      <c r="AA43" s="776" t="s">
        <v>2104</v>
      </c>
      <c r="AB43" s="776" t="s">
        <v>2104</v>
      </c>
      <c r="AC43" s="776" t="s">
        <v>2104</v>
      </c>
      <c r="AD43" s="776"/>
    </row>
    <row r="44" spans="1:30" ht="27" customHeight="1">
      <c r="A44" s="775"/>
      <c r="B44" s="828">
        <v>27</v>
      </c>
      <c r="C44" s="773" t="s">
        <v>2105</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2106</v>
      </c>
      <c r="P44" s="886" t="s">
        <v>2107</v>
      </c>
      <c r="Q44" s="886" t="s">
        <v>2106</v>
      </c>
      <c r="R44" s="886" t="s">
        <v>2107</v>
      </c>
      <c r="S44" s="886"/>
      <c r="T44" s="773" t="s">
        <v>2096</v>
      </c>
      <c r="U44" s="773" t="s">
        <v>2096</v>
      </c>
      <c r="V44" s="773" t="s">
        <v>2096</v>
      </c>
      <c r="W44" s="773" t="s">
        <v>2096</v>
      </c>
      <c r="X44" s="773"/>
      <c r="Y44" s="929"/>
      <c r="Z44" s="776" t="s">
        <v>2108</v>
      </c>
      <c r="AA44" s="776" t="s">
        <v>2108</v>
      </c>
      <c r="AB44" s="776" t="s">
        <v>2108</v>
      </c>
      <c r="AC44" s="776" t="s">
        <v>2108</v>
      </c>
      <c r="AD44" s="776"/>
    </row>
    <row r="45" spans="1:30" ht="27" customHeight="1">
      <c r="A45" s="775"/>
      <c r="B45" s="828">
        <v>28</v>
      </c>
      <c r="C45" s="773" t="s">
        <v>2109</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2110</v>
      </c>
      <c r="P45" s="886" t="s">
        <v>2111</v>
      </c>
      <c r="Q45" s="886" t="s">
        <v>2110</v>
      </c>
      <c r="R45" s="886" t="s">
        <v>2111</v>
      </c>
      <c r="S45" s="886"/>
      <c r="T45" s="773" t="s">
        <v>2100</v>
      </c>
      <c r="U45" s="773" t="s">
        <v>2100</v>
      </c>
      <c r="V45" s="773" t="s">
        <v>2100</v>
      </c>
      <c r="W45" s="773" t="s">
        <v>2100</v>
      </c>
      <c r="X45" s="773"/>
      <c r="Y45" s="929"/>
      <c r="Z45" s="776" t="s">
        <v>2112</v>
      </c>
      <c r="AA45" s="776" t="s">
        <v>2112</v>
      </c>
      <c r="AB45" s="776" t="s">
        <v>2112</v>
      </c>
      <c r="AC45" s="776" t="s">
        <v>2112</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2113</v>
      </c>
      <c r="P46" s="886" t="s">
        <v>2091</v>
      </c>
      <c r="Q46" s="886" t="s">
        <v>2113</v>
      </c>
      <c r="R46" s="886" t="s">
        <v>2091</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2114</v>
      </c>
      <c r="V46" s="773" t="s">
        <v>2114</v>
      </c>
      <c r="W46" s="773" t="s">
        <v>2114</v>
      </c>
      <c r="X46" s="773"/>
      <c r="Y46" s="929"/>
      <c r="Z46" s="776" t="s">
        <v>2115</v>
      </c>
      <c r="AA46" s="776" t="s">
        <v>2116</v>
      </c>
      <c r="AB46" s="776" t="s">
        <v>2116</v>
      </c>
      <c r="AC46" s="776" t="s">
        <v>2116</v>
      </c>
      <c r="AD46" s="776"/>
    </row>
    <row r="47" spans="1:30" ht="54" customHeight="1">
      <c r="A47" s="775"/>
      <c r="B47" s="828">
        <v>30</v>
      </c>
      <c r="C47" s="773" t="s">
        <v>2117</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2118</v>
      </c>
      <c r="P47" s="886" t="s">
        <v>2095</v>
      </c>
      <c r="Q47" s="886" t="s">
        <v>2118</v>
      </c>
      <c r="R47" s="886" t="s">
        <v>2095</v>
      </c>
      <c r="S47" s="886"/>
      <c r="T47" s="773" t="s">
        <v>2119</v>
      </c>
      <c r="U47" s="773" t="s">
        <v>2119</v>
      </c>
      <c r="V47" s="773" t="s">
        <v>2119</v>
      </c>
      <c r="W47" s="773" t="s">
        <v>2119</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2102</v>
      </c>
      <c r="Q48" s="886" t="s">
        <v>2120</v>
      </c>
      <c r="R48" s="886" t="s">
        <v>2102</v>
      </c>
      <c r="S48" s="886"/>
      <c r="T48" s="773"/>
      <c r="U48" s="773" t="s">
        <v>2121</v>
      </c>
      <c r="V48" s="773" t="s">
        <v>2122</v>
      </c>
      <c r="W48" s="773" t="s">
        <v>2122</v>
      </c>
      <c r="X48" s="773"/>
      <c r="Y48" s="929"/>
      <c r="Z48" s="776"/>
      <c r="AA48" s="779" t="s">
        <v>2116</v>
      </c>
      <c r="AB48" s="779" t="s">
        <v>2116</v>
      </c>
      <c r="AC48" s="779" t="s">
        <v>2116</v>
      </c>
      <c r="AD48" s="776"/>
    </row>
    <row r="49" spans="1:30" ht="54" customHeight="1">
      <c r="A49" s="775"/>
      <c r="B49" s="828">
        <v>32</v>
      </c>
      <c r="C49" s="773" t="s">
        <v>2123</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2106</v>
      </c>
      <c r="Q49" s="886" t="s">
        <v>2124</v>
      </c>
      <c r="R49" s="886" t="s">
        <v>2106</v>
      </c>
      <c r="S49" s="886"/>
      <c r="T49" s="773"/>
      <c r="U49" s="773" t="s">
        <v>2119</v>
      </c>
      <c r="V49" s="773" t="s">
        <v>2119</v>
      </c>
      <c r="W49" s="773" t="s">
        <v>2119</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2120</v>
      </c>
      <c r="P50" s="886" t="s">
        <v>2113</v>
      </c>
      <c r="Q50" s="886" t="s">
        <v>2125</v>
      </c>
      <c r="R50" s="886" t="s">
        <v>2113</v>
      </c>
      <c r="S50" s="886"/>
      <c r="T50" s="773" t="s">
        <v>2126</v>
      </c>
      <c r="U50" s="773" t="s">
        <v>2127</v>
      </c>
      <c r="V50" s="773" t="s">
        <v>2128</v>
      </c>
      <c r="W50" s="773" t="s">
        <v>2129</v>
      </c>
      <c r="X50" s="773"/>
      <c r="Y50" s="929"/>
      <c r="Z50" s="776" t="s">
        <v>2130</v>
      </c>
      <c r="AA50" s="779" t="s">
        <v>2131</v>
      </c>
      <c r="AB50" s="779" t="s">
        <v>2131</v>
      </c>
      <c r="AC50" s="779" t="s">
        <v>2131</v>
      </c>
      <c r="AD50" s="776"/>
    </row>
    <row r="51" spans="1:30" ht="27" customHeight="1">
      <c r="A51" s="775"/>
      <c r="B51" s="828">
        <v>34</v>
      </c>
      <c r="C51" s="773" t="s">
        <v>2132</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86</v>
      </c>
      <c r="P51" s="886"/>
      <c r="Q51" s="886"/>
      <c r="R51" s="886"/>
      <c r="S51" s="886"/>
      <c r="T51" s="773" t="s">
        <v>2133</v>
      </c>
      <c r="U51" s="773"/>
      <c r="V51" s="773"/>
      <c r="W51" s="773"/>
      <c r="X51" s="773"/>
      <c r="Y51" s="929"/>
      <c r="Z51" s="776"/>
      <c r="AA51" s="779"/>
      <c r="AB51" s="779"/>
      <c r="AC51" s="779"/>
      <c r="AD51" s="776"/>
    </row>
    <row r="52" spans="1:30" ht="36" customHeight="1">
      <c r="A52" s="775"/>
      <c r="B52" s="828">
        <v>35</v>
      </c>
      <c r="C52" s="773" t="s">
        <v>2026</v>
      </c>
      <c r="D52" s="896" t="s">
        <v>2026</v>
      </c>
      <c r="E52" s="773" t="s">
        <v>2026</v>
      </c>
      <c r="F52" s="773" t="s">
        <v>2026</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87</v>
      </c>
      <c r="P52" s="886" t="s">
        <v>86</v>
      </c>
      <c r="Q52" s="886" t="s">
        <v>86</v>
      </c>
      <c r="R52" s="886" t="s">
        <v>86</v>
      </c>
      <c r="S52" s="886"/>
      <c r="T52" s="773" t="s">
        <v>2134</v>
      </c>
      <c r="U52" s="773" t="s">
        <v>2135</v>
      </c>
      <c r="V52" s="773" t="s">
        <v>2136</v>
      </c>
      <c r="W52" s="773" t="s">
        <v>2137</v>
      </c>
      <c r="X52" s="773"/>
      <c r="Y52" s="929"/>
      <c r="Z52" s="776" t="s">
        <v>745</v>
      </c>
      <c r="AA52" s="779" t="s">
        <v>745</v>
      </c>
      <c r="AB52" s="779" t="s">
        <v>745</v>
      </c>
      <c r="AC52" s="779" t="s">
        <v>745</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749</v>
      </c>
      <c r="P53" s="886" t="s">
        <v>319</v>
      </c>
      <c r="Q53" s="886" t="s">
        <v>319</v>
      </c>
      <c r="R53" s="886" t="s">
        <v>319</v>
      </c>
      <c r="S53" s="886"/>
      <c r="T53" s="773" t="s">
        <v>2138</v>
      </c>
      <c r="U53" s="773" t="s">
        <v>2138</v>
      </c>
      <c r="V53" s="773" t="s">
        <v>2138</v>
      </c>
      <c r="W53" s="773" t="s">
        <v>2138</v>
      </c>
      <c r="X53" s="773"/>
      <c r="Y53" s="929"/>
      <c r="Z53" s="776"/>
      <c r="AA53" s="779"/>
      <c r="AB53" s="776"/>
      <c r="AC53" s="776"/>
      <c r="AD53" s="776"/>
    </row>
    <row r="54" spans="1:30" ht="18" customHeight="1">
      <c r="A54" s="775"/>
      <c r="B54" s="828">
        <v>37</v>
      </c>
      <c r="C54" s="773" t="s">
        <v>2032</v>
      </c>
      <c r="D54" s="896" t="s">
        <v>2032</v>
      </c>
      <c r="E54" s="773" t="s">
        <v>2032</v>
      </c>
      <c r="F54" s="773" t="s">
        <v>2032</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107</v>
      </c>
      <c r="P54" s="886" t="s">
        <v>87</v>
      </c>
      <c r="Q54" s="886" t="s">
        <v>87</v>
      </c>
      <c r="R54" s="886" t="s">
        <v>87</v>
      </c>
      <c r="S54" s="886"/>
      <c r="T54" s="773" t="s">
        <v>747</v>
      </c>
      <c r="U54" s="773" t="s">
        <v>747</v>
      </c>
      <c r="V54" s="773" t="s">
        <v>747</v>
      </c>
      <c r="W54" s="773" t="s">
        <v>747</v>
      </c>
      <c r="X54" s="773"/>
      <c r="Y54" s="929"/>
      <c r="Z54" s="776" t="s">
        <v>748</v>
      </c>
      <c r="AA54" s="776" t="s">
        <v>748</v>
      </c>
      <c r="AB54" s="776" t="s">
        <v>748</v>
      </c>
      <c r="AC54" s="776" t="s">
        <v>748</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308</v>
      </c>
      <c r="P55" s="886" t="s">
        <v>749</v>
      </c>
      <c r="Q55" s="886" t="s">
        <v>749</v>
      </c>
      <c r="R55" s="886" t="s">
        <v>749</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2139</v>
      </c>
      <c r="V55" s="773" t="s">
        <v>2139</v>
      </c>
      <c r="W55" s="773" t="s">
        <v>2139</v>
      </c>
      <c r="X55" s="773"/>
      <c r="Y55" s="929"/>
      <c r="Z55" s="776" t="s">
        <v>2140</v>
      </c>
      <c r="AA55" s="776" t="s">
        <v>2140</v>
      </c>
      <c r="AB55" s="776" t="s">
        <v>2140</v>
      </c>
      <c r="AC55" s="776" t="s">
        <v>2140</v>
      </c>
      <c r="AD55" s="776"/>
    </row>
    <row r="56" spans="1:30" ht="27" customHeight="1">
      <c r="A56" s="775"/>
      <c r="B56" s="828">
        <v>39</v>
      </c>
      <c r="C56" s="773" t="s">
        <v>1018</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1137</v>
      </c>
      <c r="P56" s="886" t="s">
        <v>752</v>
      </c>
      <c r="Q56" s="886" t="s">
        <v>752</v>
      </c>
      <c r="R56" s="886" t="s">
        <v>752</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2141</v>
      </c>
      <c r="V56" s="773" t="s">
        <v>2141</v>
      </c>
      <c r="W56" s="773" t="s">
        <v>2141</v>
      </c>
      <c r="X56" s="773"/>
      <c r="Y56" s="929"/>
      <c r="Z56" s="776" t="s">
        <v>754</v>
      </c>
      <c r="AA56" s="776" t="s">
        <v>754</v>
      </c>
      <c r="AB56" s="776" t="s">
        <v>754</v>
      </c>
      <c r="AC56" s="776" t="s">
        <v>754</v>
      </c>
      <c r="AD56" s="776"/>
    </row>
    <row r="57" spans="1:30" ht="27" customHeight="1">
      <c r="A57" s="775"/>
      <c r="B57" s="828">
        <v>40</v>
      </c>
      <c r="C57" s="773" t="s">
        <v>1020</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2142</v>
      </c>
      <c r="P57" s="886" t="s">
        <v>755</v>
      </c>
      <c r="Q57" s="886" t="s">
        <v>755</v>
      </c>
      <c r="R57" s="886" t="s">
        <v>755</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2143</v>
      </c>
      <c r="V57" s="773" t="s">
        <v>2143</v>
      </c>
      <c r="W57" s="773" t="s">
        <v>2143</v>
      </c>
      <c r="X57" s="773"/>
      <c r="Y57" s="929"/>
      <c r="Z57" s="776" t="s">
        <v>757</v>
      </c>
      <c r="AA57" s="776" t="s">
        <v>757</v>
      </c>
      <c r="AB57" s="776" t="s">
        <v>757</v>
      </c>
      <c r="AC57" s="776" t="s">
        <v>757</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877</v>
      </c>
      <c r="P58" s="886" t="s">
        <v>791</v>
      </c>
      <c r="Q58" s="886" t="s">
        <v>791</v>
      </c>
      <c r="R58" s="886" t="s">
        <v>791</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2144</v>
      </c>
      <c r="V58" s="773" t="s">
        <v>2144</v>
      </c>
      <c r="W58" s="773" t="s">
        <v>2144</v>
      </c>
      <c r="X58" s="773"/>
      <c r="Y58" s="929"/>
      <c r="Z58" s="776"/>
      <c r="AA58" s="779"/>
      <c r="AB58" s="776"/>
      <c r="AC58" s="776"/>
      <c r="AD58" s="776"/>
    </row>
    <row r="59" spans="1:30" ht="36" customHeight="1">
      <c r="A59" s="775"/>
      <c r="B59" s="828">
        <v>42</v>
      </c>
      <c r="C59" s="773">
        <v>3</v>
      </c>
      <c r="D59" s="896" t="s">
        <v>2132</v>
      </c>
      <c r="E59" s="773" t="s">
        <v>2132</v>
      </c>
      <c r="F59" s="773" t="s">
        <v>2132</v>
      </c>
      <c r="G59" s="773"/>
      <c r="H59" s="820"/>
      <c r="I59" s="934">
        <f t="shared" si="7"/>
        <v>0</v>
      </c>
      <c r="J59" s="934">
        <f t="shared" si="8"/>
        <v>0</v>
      </c>
      <c r="K59" s="934">
        <f t="shared" si="9"/>
        <v>0</v>
      </c>
      <c r="L59" s="774" t="str">
        <f t="shared" si="10"/>
        <v/>
      </c>
      <c r="M59" s="774" t="str">
        <f t="shared" si="11"/>
        <v/>
      </c>
      <c r="N59" s="774" t="str">
        <f t="shared" si="12"/>
        <v/>
      </c>
      <c r="O59" s="886"/>
      <c r="P59" s="886" t="s">
        <v>107</v>
      </c>
      <c r="Q59" s="886" t="s">
        <v>107</v>
      </c>
      <c r="R59" s="886" t="s">
        <v>107</v>
      </c>
      <c r="S59" s="886"/>
      <c r="T59" s="773"/>
      <c r="U59" s="773" t="s">
        <v>2145</v>
      </c>
      <c r="V59" s="773" t="s">
        <v>2146</v>
      </c>
      <c r="W59" s="773" t="s">
        <v>2147</v>
      </c>
      <c r="X59" s="773"/>
      <c r="Y59" s="929"/>
      <c r="Z59" s="776"/>
      <c r="AA59" s="779"/>
      <c r="AB59" s="776"/>
      <c r="AC59" s="776"/>
      <c r="AD59" s="776"/>
    </row>
    <row r="60" spans="1:30" ht="81" customHeight="1">
      <c r="A60" s="775"/>
      <c r="B60" s="828">
        <v>43</v>
      </c>
      <c r="C60" s="773" t="s">
        <v>2148</v>
      </c>
      <c r="D60" s="896" t="s">
        <v>2148</v>
      </c>
      <c r="E60" s="773" t="s">
        <v>2148</v>
      </c>
      <c r="F60" s="773" t="s">
        <v>2148</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88</v>
      </c>
      <c r="P60" s="886" t="s">
        <v>88</v>
      </c>
      <c r="Q60" s="886" t="s">
        <v>88</v>
      </c>
      <c r="R60" s="886" t="s">
        <v>88</v>
      </c>
      <c r="S60" s="886"/>
      <c r="T60" s="773" t="s">
        <v>624</v>
      </c>
      <c r="U60" s="773" t="s">
        <v>624</v>
      </c>
      <c r="V60" s="773" t="s">
        <v>624</v>
      </c>
      <c r="W60" s="773" t="s">
        <v>624</v>
      </c>
      <c r="X60" s="773"/>
      <c r="Y60" s="929"/>
      <c r="Z60" s="776" t="s">
        <v>2149</v>
      </c>
      <c r="AA60" s="779" t="s">
        <v>2150</v>
      </c>
      <c r="AB60" s="776" t="s">
        <v>2151</v>
      </c>
      <c r="AC60" s="776" t="s">
        <v>2150</v>
      </c>
      <c r="AD60" s="776"/>
    </row>
    <row r="61" spans="1:30" ht="9" customHeight="1">
      <c r="A61" s="775"/>
      <c r="B61" s="828">
        <v>44</v>
      </c>
      <c r="C61" s="773"/>
      <c r="D61" s="896" t="s">
        <v>2152</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89</v>
      </c>
      <c r="Q61" s="886"/>
      <c r="R61" s="886"/>
      <c r="S61" s="886"/>
      <c r="T61" s="773"/>
      <c r="U61" s="773" t="s">
        <v>2153</v>
      </c>
      <c r="V61" s="773"/>
      <c r="W61" s="773"/>
      <c r="X61" s="773"/>
      <c r="Y61" s="929"/>
      <c r="Z61" s="776"/>
      <c r="AA61" s="779"/>
      <c r="AB61" s="776"/>
      <c r="AC61" s="776"/>
      <c r="AD61" s="776"/>
    </row>
    <row r="62" spans="1:30" ht="9" customHeight="1">
      <c r="A62" s="775"/>
      <c r="B62" s="828">
        <v>45</v>
      </c>
      <c r="C62" s="773"/>
      <c r="D62" s="896" t="s">
        <v>2154</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108</v>
      </c>
      <c r="Q62" s="886"/>
      <c r="R62" s="886"/>
      <c r="S62" s="886"/>
      <c r="T62" s="773"/>
      <c r="U62" s="773" t="s">
        <v>2155</v>
      </c>
      <c r="V62" s="773"/>
      <c r="W62" s="773"/>
      <c r="X62" s="773"/>
      <c r="Y62" s="929"/>
      <c r="Z62" s="776"/>
      <c r="AA62" s="779"/>
      <c r="AB62" s="776"/>
      <c r="AC62" s="776"/>
      <c r="AD62" s="776"/>
    </row>
    <row r="63" spans="1:30" ht="18" customHeight="1">
      <c r="A63" s="775"/>
      <c r="B63" s="828">
        <v>46</v>
      </c>
      <c r="C63" s="773"/>
      <c r="D63" s="896" t="s">
        <v>2156</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145</v>
      </c>
      <c r="Q63" s="886"/>
      <c r="R63" s="886"/>
      <c r="S63" s="886"/>
      <c r="T63" s="773"/>
      <c r="U63" s="773" t="s">
        <v>2157</v>
      </c>
      <c r="V63" s="773"/>
      <c r="W63" s="773"/>
      <c r="X63" s="773"/>
      <c r="Y63" s="929"/>
      <c r="Z63" s="776"/>
      <c r="AA63" s="779"/>
      <c r="AB63" s="776"/>
      <c r="AC63" s="776"/>
      <c r="AD63" s="776"/>
    </row>
    <row r="64" spans="1:30" ht="18" customHeight="1">
      <c r="A64" s="775"/>
      <c r="B64" s="828">
        <v>47</v>
      </c>
      <c r="C64" s="773"/>
      <c r="D64" s="896" t="s">
        <v>2158</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146</v>
      </c>
      <c r="Q64" s="886"/>
      <c r="R64" s="886"/>
      <c r="S64" s="886"/>
      <c r="T64" s="773"/>
      <c r="U64" s="773" t="s">
        <v>2159</v>
      </c>
      <c r="V64" s="773"/>
      <c r="W64" s="773"/>
      <c r="X64" s="773"/>
      <c r="Y64" s="929"/>
      <c r="Z64" s="776"/>
      <c r="AA64" s="779" t="s">
        <v>2160</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2073</v>
      </c>
      <c r="Q65" s="886"/>
      <c r="R65" s="886"/>
      <c r="S65" s="886"/>
      <c r="T65" s="773"/>
      <c r="U65" s="773" t="s">
        <v>2161</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2077</v>
      </c>
      <c r="Q66" s="886"/>
      <c r="R66" s="886"/>
      <c r="S66" s="886"/>
      <c r="T66" s="773"/>
      <c r="U66" s="773" t="s">
        <v>2162</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2163</v>
      </c>
      <c r="Q67" s="886"/>
      <c r="R67" s="886"/>
      <c r="S67" s="886"/>
      <c r="T67" s="773"/>
      <c r="U67" s="773" t="s">
        <v>2164</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2165</v>
      </c>
      <c r="Q68" s="886"/>
      <c r="R68" s="886"/>
      <c r="S68" s="886"/>
      <c r="T68" s="773"/>
      <c r="U68" s="773" t="s">
        <v>2166</v>
      </c>
      <c r="V68" s="773"/>
      <c r="W68" s="773"/>
      <c r="X68" s="773"/>
      <c r="Y68" s="929"/>
      <c r="Z68" s="776"/>
      <c r="AA68" s="779"/>
      <c r="AB68" s="776"/>
      <c r="AC68" s="776"/>
      <c r="AD68" s="776"/>
    </row>
    <row r="69" spans="1:30" ht="9" customHeight="1">
      <c r="A69" s="775"/>
      <c r="B69" s="828">
        <v>52</v>
      </c>
      <c r="C69" s="773"/>
      <c r="D69" s="896" t="s">
        <v>2167</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147</v>
      </c>
      <c r="Q69" s="886"/>
      <c r="R69" s="886"/>
      <c r="S69" s="886"/>
      <c r="T69" s="773"/>
      <c r="U69" s="773" t="s">
        <v>2168</v>
      </c>
      <c r="V69" s="773"/>
      <c r="W69" s="773"/>
      <c r="X69" s="773"/>
      <c r="Y69" s="929"/>
      <c r="Z69" s="776"/>
      <c r="AA69" s="779"/>
      <c r="AB69" s="776"/>
      <c r="AC69" s="776"/>
      <c r="AD69" s="776"/>
    </row>
    <row r="70" spans="1:30" ht="27" customHeight="1">
      <c r="A70" s="775"/>
      <c r="B70" s="828">
        <v>53</v>
      </c>
      <c r="C70" s="773"/>
      <c r="D70" s="896"/>
      <c r="E70" s="773" t="s">
        <v>2152</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89</v>
      </c>
      <c r="R70" s="886"/>
      <c r="S70" s="886"/>
      <c r="T70" s="773"/>
      <c r="U70" s="773"/>
      <c r="V70" s="773" t="s">
        <v>2169</v>
      </c>
      <c r="W70" s="773"/>
      <c r="X70" s="773"/>
      <c r="Y70" s="929"/>
      <c r="Z70" s="776"/>
      <c r="AA70" s="779"/>
      <c r="AB70" s="776"/>
      <c r="AC70" s="776"/>
      <c r="AD70" s="776"/>
    </row>
    <row r="71" spans="1:30" ht="36" customHeight="1">
      <c r="A71" s="775"/>
      <c r="B71" s="828">
        <v>54</v>
      </c>
      <c r="C71" s="773"/>
      <c r="D71" s="896"/>
      <c r="E71" s="773" t="s">
        <v>2154</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108</v>
      </c>
      <c r="R71" s="886"/>
      <c r="S71" s="886"/>
      <c r="T71" s="773"/>
      <c r="U71" s="773"/>
      <c r="V71" s="773" t="s">
        <v>2170</v>
      </c>
      <c r="W71" s="773"/>
      <c r="X71" s="773"/>
      <c r="Y71" s="929"/>
      <c r="Z71" s="776"/>
      <c r="AA71" s="779"/>
      <c r="AB71" s="776"/>
      <c r="AC71" s="776"/>
      <c r="AD71" s="776"/>
    </row>
    <row r="72" spans="1:30" ht="27" customHeight="1">
      <c r="A72" s="775"/>
      <c r="B72" s="828">
        <v>55</v>
      </c>
      <c r="C72" s="773"/>
      <c r="D72" s="896"/>
      <c r="E72" s="773" t="s">
        <v>2156</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145</v>
      </c>
      <c r="R72" s="886"/>
      <c r="S72" s="886"/>
      <c r="T72" s="773"/>
      <c r="U72" s="773"/>
      <c r="V72" s="773" t="s">
        <v>2171</v>
      </c>
      <c r="W72" s="773"/>
      <c r="X72" s="773"/>
      <c r="Y72" s="929"/>
      <c r="Z72" s="776"/>
      <c r="AA72" s="779"/>
      <c r="AB72" s="776"/>
      <c r="AC72" s="776"/>
      <c r="AD72" s="776"/>
    </row>
    <row r="73" spans="1:30" ht="36" customHeight="1">
      <c r="A73" s="775"/>
      <c r="B73" s="828">
        <v>56</v>
      </c>
      <c r="C73" s="773"/>
      <c r="D73" s="896"/>
      <c r="E73" s="773" t="s">
        <v>2158</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146</v>
      </c>
      <c r="R73" s="886"/>
      <c r="S73" s="886"/>
      <c r="T73" s="773"/>
      <c r="U73" s="773"/>
      <c r="V73" s="773" t="s">
        <v>2172</v>
      </c>
      <c r="W73" s="773"/>
      <c r="X73" s="773"/>
      <c r="Y73" s="929"/>
      <c r="Z73" s="776"/>
      <c r="AA73" s="779"/>
      <c r="AB73" s="776"/>
      <c r="AC73" s="776"/>
      <c r="AD73" s="776"/>
    </row>
    <row r="74" spans="1:30" ht="18" customHeight="1">
      <c r="A74" s="775"/>
      <c r="B74" s="828">
        <v>57</v>
      </c>
      <c r="C74" s="773"/>
      <c r="D74" s="896"/>
      <c r="E74" s="773" t="s">
        <v>2167</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147</v>
      </c>
      <c r="R74" s="886"/>
      <c r="S74" s="886"/>
      <c r="T74" s="773"/>
      <c r="U74" s="773"/>
      <c r="V74" s="773" t="s">
        <v>2173</v>
      </c>
      <c r="W74" s="773"/>
      <c r="X74" s="773"/>
      <c r="Y74" s="929"/>
      <c r="Z74" s="776"/>
      <c r="AA74" s="779"/>
      <c r="AB74" s="776"/>
      <c r="AC74" s="776"/>
      <c r="AD74" s="776"/>
    </row>
    <row r="75" spans="1:30" ht="18" customHeight="1">
      <c r="A75" s="775"/>
      <c r="B75" s="828">
        <v>58</v>
      </c>
      <c r="C75" s="773"/>
      <c r="D75" s="896"/>
      <c r="E75" s="773"/>
      <c r="F75" s="773" t="s">
        <v>2152</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89</v>
      </c>
      <c r="S75" s="886"/>
      <c r="T75" s="773"/>
      <c r="U75" s="773"/>
      <c r="V75" s="773"/>
      <c r="W75" s="773" t="s">
        <v>2174</v>
      </c>
      <c r="X75" s="773"/>
      <c r="Y75" s="929"/>
      <c r="Z75" s="776"/>
      <c r="AA75" s="779"/>
      <c r="AB75" s="776"/>
      <c r="AC75" s="776"/>
      <c r="AD75" s="776"/>
    </row>
    <row r="76" spans="1:30" ht="36" customHeight="1">
      <c r="A76" s="775"/>
      <c r="B76" s="828">
        <v>59</v>
      </c>
      <c r="C76" s="773"/>
      <c r="D76" s="896"/>
      <c r="E76" s="773"/>
      <c r="F76" s="773" t="s">
        <v>2154</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108</v>
      </c>
      <c r="S76" s="886"/>
      <c r="T76" s="773"/>
      <c r="U76" s="773"/>
      <c r="V76" s="773"/>
      <c r="W76" s="773" t="s">
        <v>2175</v>
      </c>
      <c r="X76" s="773"/>
      <c r="Y76" s="929"/>
      <c r="Z76" s="776"/>
      <c r="AA76" s="779"/>
      <c r="AB76" s="776"/>
      <c r="AC76" s="776"/>
      <c r="AD76" s="776"/>
    </row>
    <row r="77" spans="1:30" ht="18" customHeight="1">
      <c r="A77" s="775"/>
      <c r="B77" s="828">
        <v>60</v>
      </c>
      <c r="C77" s="773"/>
      <c r="D77" s="896"/>
      <c r="E77" s="773"/>
      <c r="F77" s="773" t="s">
        <v>2156</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145</v>
      </c>
      <c r="S77" s="886"/>
      <c r="T77" s="773"/>
      <c r="U77" s="773"/>
      <c r="V77" s="773"/>
      <c r="W77" s="773" t="s">
        <v>2176</v>
      </c>
      <c r="X77" s="773"/>
      <c r="Y77" s="929"/>
      <c r="Z77" s="776"/>
      <c r="AA77" s="779"/>
      <c r="AB77" s="776"/>
      <c r="AC77" s="776"/>
      <c r="AD77" s="776"/>
    </row>
    <row r="78" spans="1:30" ht="72" customHeight="1">
      <c r="A78" s="775"/>
      <c r="B78" s="828">
        <v>61</v>
      </c>
      <c r="C78" s="773" t="s">
        <v>2152</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89</v>
      </c>
      <c r="P78" s="886"/>
      <c r="Q78" s="886"/>
      <c r="R78" s="886"/>
      <c r="S78" s="886"/>
      <c r="T78" s="773" t="s">
        <v>629</v>
      </c>
      <c r="U78" s="773"/>
      <c r="V78" s="773"/>
      <c r="W78" s="773"/>
      <c r="X78" s="773"/>
      <c r="Y78" s="929"/>
      <c r="Z78" s="776" t="s">
        <v>2177</v>
      </c>
      <c r="AA78" s="779"/>
      <c r="AB78" s="776"/>
      <c r="AC78" s="776"/>
      <c r="AD78" s="776"/>
    </row>
    <row r="79" spans="1:30" ht="36" customHeight="1">
      <c r="A79" s="775"/>
      <c r="B79" s="828">
        <v>62</v>
      </c>
      <c r="C79" s="773" t="s">
        <v>2154</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108</v>
      </c>
      <c r="P79" s="886"/>
      <c r="Q79" s="886"/>
      <c r="R79" s="886"/>
      <c r="S79" s="886"/>
      <c r="T79" s="773" t="s">
        <v>2178</v>
      </c>
      <c r="U79" s="773"/>
      <c r="V79" s="773"/>
      <c r="W79" s="773"/>
      <c r="X79" s="773"/>
      <c r="Y79" s="929"/>
      <c r="Z79" s="776" t="s">
        <v>2179</v>
      </c>
      <c r="AA79" s="779"/>
      <c r="AB79" s="776"/>
      <c r="AC79" s="776"/>
      <c r="AD79" s="776"/>
    </row>
    <row r="80" spans="1:30" ht="45" customHeight="1">
      <c r="A80" s="775"/>
      <c r="B80" s="828">
        <v>63</v>
      </c>
      <c r="C80" s="773" t="s">
        <v>2156</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145</v>
      </c>
      <c r="P80" s="886"/>
      <c r="Q80" s="886"/>
      <c r="R80" s="886"/>
      <c r="S80" s="886"/>
      <c r="T80" s="773" t="s">
        <v>2180</v>
      </c>
      <c r="U80" s="773"/>
      <c r="V80" s="773"/>
      <c r="W80" s="773"/>
      <c r="X80" s="773"/>
      <c r="Y80" s="929"/>
      <c r="Z80" s="776" t="s">
        <v>2181</v>
      </c>
      <c r="AA80" s="779"/>
      <c r="AB80" s="776"/>
      <c r="AC80" s="776"/>
      <c r="AD80" s="776"/>
    </row>
    <row r="81" spans="1:30" ht="36" customHeight="1">
      <c r="A81" s="775"/>
      <c r="B81" s="828">
        <v>64</v>
      </c>
      <c r="C81" s="773" t="s">
        <v>2158</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2064</v>
      </c>
      <c r="P81" s="886"/>
      <c r="Q81" s="886"/>
      <c r="R81" s="886"/>
      <c r="S81" s="886"/>
      <c r="T81" s="773" t="s">
        <v>2182</v>
      </c>
      <c r="U81" s="773"/>
      <c r="V81" s="773"/>
      <c r="W81" s="773"/>
      <c r="X81" s="773"/>
      <c r="Y81" s="929"/>
      <c r="Z81" s="776" t="s">
        <v>2183</v>
      </c>
      <c r="AA81" s="779"/>
      <c r="AB81" s="776"/>
      <c r="AC81" s="776"/>
      <c r="AD81" s="776"/>
    </row>
    <row r="82" spans="1:30" ht="90" customHeight="1">
      <c r="A82" s="775"/>
      <c r="B82" s="828">
        <v>65</v>
      </c>
      <c r="C82" s="773" t="s">
        <v>2167</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146</v>
      </c>
      <c r="P82" s="886"/>
      <c r="Q82" s="886"/>
      <c r="R82" s="886"/>
      <c r="S82" s="886"/>
      <c r="T82" s="773" t="s">
        <v>2184</v>
      </c>
      <c r="U82" s="773"/>
      <c r="V82" s="773"/>
      <c r="W82" s="773"/>
      <c r="X82" s="773"/>
      <c r="Y82" s="929"/>
      <c r="Z82" s="776" t="s">
        <v>2185</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2073</v>
      </c>
      <c r="P83" s="886"/>
      <c r="Q83" s="886"/>
      <c r="R83" s="886"/>
      <c r="S83" s="886"/>
      <c r="T83" s="773" t="s">
        <v>2186</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2187</v>
      </c>
      <c r="P84" s="886"/>
      <c r="Q84" s="886"/>
      <c r="R84" s="886"/>
      <c r="S84" s="886"/>
      <c r="T84" s="773" t="s">
        <v>2188</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2077</v>
      </c>
      <c r="P85" s="886"/>
      <c r="Q85" s="886"/>
      <c r="R85" s="886"/>
      <c r="S85" s="886"/>
      <c r="T85" s="773" t="s">
        <v>2189</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2190</v>
      </c>
      <c r="P86" s="886"/>
      <c r="Q86" s="886"/>
      <c r="R86" s="886"/>
      <c r="S86" s="886"/>
      <c r="T86" s="773" t="s">
        <v>2191</v>
      </c>
      <c r="U86" s="773"/>
      <c r="V86" s="773"/>
      <c r="W86" s="773"/>
      <c r="X86" s="773"/>
      <c r="Y86" s="929"/>
      <c r="Z86" s="776"/>
      <c r="AA86" s="779"/>
      <c r="AB86" s="776"/>
      <c r="AC86" s="776"/>
      <c r="AD86" s="776"/>
    </row>
    <row r="87" spans="1:30" ht="36" customHeight="1">
      <c r="A87" s="775"/>
      <c r="B87" s="828">
        <v>70</v>
      </c>
      <c r="C87" s="773" t="s">
        <v>2192</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147</v>
      </c>
      <c r="P87" s="886"/>
      <c r="Q87" s="886"/>
      <c r="R87" s="886"/>
      <c r="S87" s="886"/>
      <c r="T87" s="773" t="s">
        <v>2193</v>
      </c>
      <c r="U87" s="773"/>
      <c r="V87" s="773"/>
      <c r="W87" s="773"/>
      <c r="X87" s="773"/>
      <c r="Y87" s="929"/>
      <c r="Z87" s="776"/>
      <c r="AA87" s="779"/>
      <c r="AB87" s="776"/>
      <c r="AC87" s="776"/>
      <c r="AD87" s="776"/>
    </row>
    <row r="88" spans="1:30" ht="18" customHeight="1">
      <c r="A88" s="775"/>
      <c r="B88" s="828">
        <v>71</v>
      </c>
      <c r="C88" s="773" t="s">
        <v>2194</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148</v>
      </c>
      <c r="P88" s="886"/>
      <c r="Q88" s="886"/>
      <c r="R88" s="886"/>
      <c r="S88" s="886"/>
      <c r="T88" s="773" t="s">
        <v>661</v>
      </c>
      <c r="U88" s="773"/>
      <c r="V88" s="773"/>
      <c r="W88" s="773"/>
      <c r="X88" s="773"/>
      <c r="Y88" s="929"/>
      <c r="Z88" s="776"/>
      <c r="AA88" s="779"/>
      <c r="AB88" s="776"/>
      <c r="AC88" s="776"/>
      <c r="AD88" s="776"/>
    </row>
    <row r="89" spans="1:30" ht="18" customHeight="1">
      <c r="A89" s="775"/>
      <c r="B89" s="828">
        <v>72</v>
      </c>
      <c r="C89" s="773" t="s">
        <v>2195</v>
      </c>
      <c r="D89" s="896" t="s">
        <v>2192</v>
      </c>
      <c r="E89" s="773" t="s">
        <v>2192</v>
      </c>
      <c r="F89" s="773" t="s">
        <v>2158</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149</v>
      </c>
      <c r="P89" s="886" t="s">
        <v>148</v>
      </c>
      <c r="Q89" s="886" t="s">
        <v>148</v>
      </c>
      <c r="R89" s="886" t="s">
        <v>146</v>
      </c>
      <c r="S89" s="886"/>
      <c r="T89" s="773" t="s">
        <v>669</v>
      </c>
      <c r="U89" s="773" t="s">
        <v>669</v>
      </c>
      <c r="V89" s="773" t="s">
        <v>669</v>
      </c>
      <c r="W89" s="773" t="s">
        <v>669</v>
      </c>
      <c r="X89" s="773"/>
      <c r="Y89" s="929"/>
      <c r="Z89" s="776"/>
      <c r="AA89" s="779"/>
      <c r="AB89" s="776"/>
      <c r="AC89" s="776"/>
      <c r="AD89" s="776"/>
    </row>
    <row r="90" spans="1:30" ht="27" customHeight="1">
      <c r="A90" s="775"/>
      <c r="B90" s="828">
        <v>73</v>
      </c>
      <c r="C90" s="773" t="s">
        <v>2196</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150</v>
      </c>
      <c r="P90" s="886"/>
      <c r="Q90" s="886"/>
      <c r="R90" s="886"/>
      <c r="S90" s="886"/>
      <c r="T90" s="773" t="s">
        <v>671</v>
      </c>
      <c r="U90" s="773"/>
      <c r="V90" s="773"/>
      <c r="W90" s="773"/>
      <c r="X90" s="773"/>
      <c r="Y90" s="929"/>
      <c r="Z90" s="776"/>
      <c r="AA90" s="779"/>
      <c r="AB90" s="776"/>
      <c r="AC90" s="776"/>
      <c r="AD90" s="776"/>
    </row>
    <row r="91" spans="1:30" ht="18" customHeight="1">
      <c r="A91" s="775"/>
      <c r="B91" s="828">
        <v>74</v>
      </c>
      <c r="C91" s="773"/>
      <c r="D91" s="896" t="s">
        <v>2194</v>
      </c>
      <c r="E91" s="773" t="s">
        <v>2194</v>
      </c>
      <c r="F91" s="773"/>
      <c r="G91" s="773"/>
      <c r="H91" s="820"/>
      <c r="I91" s="934">
        <f t="shared" si="13"/>
        <v>0</v>
      </c>
      <c r="J91" s="934">
        <f t="shared" si="14"/>
        <v>0</v>
      </c>
      <c r="K91" s="934">
        <f t="shared" si="15"/>
        <v>0</v>
      </c>
      <c r="L91" s="774" t="str">
        <f t="shared" si="16"/>
        <v/>
      </c>
      <c r="M91" s="774" t="str">
        <f t="shared" si="17"/>
        <v/>
      </c>
      <c r="N91" s="774" t="str">
        <f t="shared" si="18"/>
        <v/>
      </c>
      <c r="O91" s="886"/>
      <c r="P91" s="886" t="s">
        <v>149</v>
      </c>
      <c r="Q91" s="886" t="s">
        <v>149</v>
      </c>
      <c r="R91" s="886"/>
      <c r="S91" s="886"/>
      <c r="T91" s="773"/>
      <c r="U91" s="773" t="s">
        <v>2197</v>
      </c>
      <c r="V91" s="773" t="s">
        <v>2197</v>
      </c>
      <c r="W91" s="773"/>
      <c r="X91" s="773"/>
      <c r="Y91" s="929"/>
      <c r="Z91" s="776"/>
      <c r="AA91" s="779"/>
      <c r="AB91" s="776"/>
      <c r="AC91" s="776"/>
      <c r="AD91" s="776"/>
    </row>
    <row r="92" spans="1:30" ht="27" customHeight="1">
      <c r="A92" s="775"/>
      <c r="B92" s="828">
        <v>75</v>
      </c>
      <c r="C92" s="773"/>
      <c r="D92" s="896" t="s">
        <v>2195</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150</v>
      </c>
      <c r="Q92" s="886"/>
      <c r="R92" s="886"/>
      <c r="S92" s="886"/>
      <c r="T92" s="773"/>
      <c r="U92" s="773" t="s">
        <v>2198</v>
      </c>
      <c r="V92" s="773"/>
      <c r="W92" s="773"/>
      <c r="X92" s="773"/>
      <c r="Y92" s="929"/>
      <c r="Z92" s="776"/>
      <c r="AA92" s="779" t="s">
        <v>2199</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2105</v>
      </c>
      <c r="Q93" s="886"/>
      <c r="R93" s="886"/>
      <c r="S93" s="886"/>
      <c r="T93" s="773"/>
      <c r="U93" s="773" t="s">
        <v>2200</v>
      </c>
      <c r="V93" s="773"/>
      <c r="W93" s="773"/>
      <c r="X93" s="773"/>
      <c r="Y93" s="929"/>
      <c r="Z93" s="776"/>
      <c r="AA93" s="779" t="s">
        <v>2201</v>
      </c>
      <c r="AB93" s="776"/>
      <c r="AC93" s="776"/>
      <c r="AD93" s="776"/>
    </row>
    <row r="94" spans="1:30" ht="45" customHeight="1">
      <c r="A94" s="775"/>
      <c r="B94" s="828">
        <v>77</v>
      </c>
      <c r="C94" s="773"/>
      <c r="D94" s="896" t="s">
        <v>2196</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1459</v>
      </c>
      <c r="Q94" s="886"/>
      <c r="R94" s="886"/>
      <c r="S94" s="886"/>
      <c r="T94" s="773"/>
      <c r="U94" s="773" t="s">
        <v>2202</v>
      </c>
      <c r="V94" s="773"/>
      <c r="W94" s="773"/>
      <c r="X94" s="773"/>
      <c r="Y94" s="929"/>
      <c r="Z94" s="776"/>
      <c r="AA94" s="779" t="s">
        <v>2203</v>
      </c>
      <c r="AB94" s="776"/>
      <c r="AC94" s="776"/>
      <c r="AD94" s="776"/>
    </row>
    <row r="95" spans="1:30" ht="99" customHeight="1">
      <c r="A95" s="775"/>
      <c r="B95" s="828">
        <v>78</v>
      </c>
      <c r="C95" s="773" t="s">
        <v>2204</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1459</v>
      </c>
      <c r="P95" s="886"/>
      <c r="Q95" s="886"/>
      <c r="R95" s="886"/>
      <c r="S95" s="886"/>
      <c r="T95" s="773" t="s">
        <v>2205</v>
      </c>
      <c r="U95" s="773"/>
      <c r="V95" s="773"/>
      <c r="W95" s="773"/>
      <c r="X95" s="773"/>
      <c r="Y95" s="929"/>
      <c r="Z95" s="776"/>
      <c r="AA95" s="779"/>
      <c r="AB95" s="776"/>
      <c r="AC95" s="776"/>
      <c r="AD95" s="776"/>
    </row>
    <row r="96" spans="1:30" ht="99" customHeight="1">
      <c r="A96" s="775"/>
      <c r="B96" s="828">
        <v>79</v>
      </c>
      <c r="C96" s="773" t="s">
        <v>1146</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1465</v>
      </c>
      <c r="P96" s="886"/>
      <c r="Q96" s="886"/>
      <c r="R96" s="886"/>
      <c r="S96" s="886"/>
      <c r="T96" s="773" t="s">
        <v>2206</v>
      </c>
      <c r="U96" s="773"/>
      <c r="V96" s="773"/>
      <c r="W96" s="773"/>
      <c r="X96" s="773"/>
      <c r="Y96" s="929"/>
      <c r="Z96" s="776" t="s">
        <v>2207</v>
      </c>
      <c r="AA96" s="779"/>
      <c r="AB96" s="776"/>
      <c r="AC96" s="776"/>
      <c r="AD96" s="776"/>
    </row>
    <row r="97" spans="1:30" ht="63" customHeight="1">
      <c r="A97" s="775"/>
      <c r="B97" s="828">
        <v>80</v>
      </c>
      <c r="C97" s="773" t="s">
        <v>2208</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1477</v>
      </c>
      <c r="P97" s="886"/>
      <c r="Q97" s="886"/>
      <c r="R97" s="886"/>
      <c r="S97" s="886"/>
      <c r="T97" s="773" t="s">
        <v>2209</v>
      </c>
      <c r="U97" s="773"/>
      <c r="V97" s="773"/>
      <c r="W97" s="773"/>
      <c r="X97" s="773"/>
      <c r="Y97" s="929"/>
      <c r="Z97" s="776" t="s">
        <v>2210</v>
      </c>
      <c r="AA97" s="779"/>
      <c r="AB97" s="776"/>
      <c r="AC97" s="776"/>
      <c r="AD97" s="776"/>
    </row>
    <row r="98" spans="1:30" ht="63" customHeight="1">
      <c r="A98" s="775"/>
      <c r="B98" s="828">
        <v>81</v>
      </c>
      <c r="C98" s="773" t="s">
        <v>2211</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1491</v>
      </c>
      <c r="P98" s="886"/>
      <c r="Q98" s="886"/>
      <c r="R98" s="886"/>
      <c r="S98" s="886"/>
      <c r="T98" s="773" t="s">
        <v>2212</v>
      </c>
      <c r="U98" s="773"/>
      <c r="V98" s="773"/>
      <c r="W98" s="773"/>
      <c r="X98" s="773"/>
      <c r="Y98" s="929"/>
      <c r="Z98" s="776" t="s">
        <v>2210</v>
      </c>
      <c r="AA98" s="779"/>
      <c r="AB98" s="776"/>
      <c r="AC98" s="776"/>
      <c r="AD98" s="776"/>
    </row>
    <row r="99" spans="1:30" ht="90" customHeight="1">
      <c r="A99" s="775"/>
      <c r="B99" s="828">
        <v>82</v>
      </c>
      <c r="C99" s="773" t="s">
        <v>2213</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1503</v>
      </c>
      <c r="P99" s="886"/>
      <c r="Q99" s="886"/>
      <c r="R99" s="886"/>
      <c r="S99" s="886"/>
      <c r="T99" s="773" t="s">
        <v>2214</v>
      </c>
      <c r="U99" s="773"/>
      <c r="V99" s="773"/>
      <c r="W99" s="773"/>
      <c r="X99" s="773"/>
      <c r="Y99" s="929"/>
      <c r="Z99" s="776" t="s">
        <v>626</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2215</v>
      </c>
      <c r="P100" s="886"/>
      <c r="Q100" s="886"/>
      <c r="R100" s="886"/>
      <c r="S100" s="886"/>
      <c r="T100" s="773" t="s">
        <v>2216</v>
      </c>
      <c r="U100" s="773"/>
      <c r="V100" s="773"/>
      <c r="W100" s="773"/>
      <c r="X100" s="773"/>
      <c r="Y100" s="929"/>
      <c r="Z100" s="776" t="s">
        <v>626</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2217</v>
      </c>
      <c r="P101" s="886"/>
      <c r="Q101" s="886"/>
      <c r="R101" s="886"/>
      <c r="S101" s="886"/>
      <c r="T101" s="773" t="s">
        <v>2218</v>
      </c>
      <c r="U101" s="773"/>
      <c r="V101" s="773"/>
      <c r="W101" s="773"/>
      <c r="X101" s="773"/>
      <c r="Y101" s="929"/>
      <c r="Z101" s="776" t="s">
        <v>626</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1657</v>
      </c>
      <c r="B148" s="775"/>
      <c r="C148" s="773" t="s">
        <v>2219</v>
      </c>
      <c r="D148" s="773" t="s">
        <v>1559</v>
      </c>
      <c r="E148" s="773" t="s">
        <v>1659</v>
      </c>
      <c r="F148" s="773" t="s">
        <v>2220</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2221</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2222</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1661</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1664</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1669</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63" t="s">
        <v>2223</v>
      </c>
      <c r="M5" s="2463"/>
      <c r="N5" s="2463"/>
      <c r="O5" s="2463"/>
      <c r="P5" s="2463"/>
      <c r="Q5" s="2463"/>
      <c r="R5" s="2463"/>
      <c r="S5" s="2463"/>
      <c r="T5" s="2463"/>
      <c r="U5" s="2463"/>
      <c r="V5" s="1169"/>
      <c r="AD5" s="1081">
        <v>64</v>
      </c>
    </row>
    <row r="6" spans="1:30" ht="14.65" customHeight="1">
      <c r="J6" s="312"/>
      <c r="K6" s="312"/>
      <c r="L6" s="2464" t="str">
        <f>IF(org=0,"Не определено",org)</f>
        <v>ОП АО "Байкалэнерго" - "Саяногорские тепловые сети"</v>
      </c>
      <c r="M6" s="2464"/>
      <c r="N6" s="2464"/>
      <c r="O6" s="2464"/>
      <c r="P6" s="2464"/>
      <c r="Q6" s="2464"/>
      <c r="R6" s="2464"/>
      <c r="S6" s="2464"/>
      <c r="T6" s="2464"/>
      <c r="U6" s="2464"/>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177" t="str">
        <f>IF(TITLE_NAME_OR_PR_CHANGE="",IF(TITLE_NAME_OR_PR="","",TITLE_NAME_OR_PR),TITLE_NAME_OR_PR_CHANGE)</f>
        <v/>
      </c>
      <c r="P8" s="2177"/>
      <c r="Q8" s="2177"/>
      <c r="R8" s="2177"/>
      <c r="S8" s="2177"/>
      <c r="T8" s="2177"/>
      <c r="U8" s="2177"/>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418</v>
      </c>
      <c r="N9" s="241"/>
      <c r="O9" s="2177" t="str">
        <f>IF(TITLE_DATE_CHANGE_PERIOD="",IF(TITLE_DATE_PR="","",TITLE_DATE_PR),TITLE_DATE_CHANGE_PERIOD)</f>
        <v/>
      </c>
      <c r="P9" s="2177"/>
      <c r="Q9" s="2177"/>
      <c r="R9" s="2177"/>
      <c r="S9" s="2177"/>
      <c r="T9" s="2177"/>
      <c r="U9" s="2177"/>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419</v>
      </c>
      <c r="N10" s="241"/>
      <c r="O10" s="2177" t="str">
        <f>IF(TITLE_NUMBER_PR_CHANGE="",IF(TITLE_NUMBER_PR="","",TITLE_NUMBER_PR),TITLE_NUMBER_PR_CHANGE)</f>
        <v/>
      </c>
      <c r="P10" s="2177"/>
      <c r="Q10" s="2177"/>
      <c r="R10" s="2177"/>
      <c r="S10" s="2177"/>
      <c r="T10" s="2177"/>
      <c r="U10" s="2177"/>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7" t="str">
        <f>IF(TITLE_IST_PUB_CHANGE="",IF(TITLE_IST_PUB="","",TITLE_IST_PUB),TITLE_IST_PUB_CHANGE)</f>
        <v/>
      </c>
      <c r="P11" s="2177"/>
      <c r="Q11" s="2177"/>
      <c r="R11" s="2177"/>
      <c r="S11" s="2177"/>
      <c r="T11" s="2177"/>
      <c r="U11" s="2177"/>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2"/>
      <c r="M12" s="2462"/>
      <c r="N12" s="1213"/>
      <c r="O12" s="263"/>
      <c r="P12" s="263"/>
      <c r="Q12" s="263"/>
      <c r="R12" s="263"/>
      <c r="S12" s="263"/>
      <c r="T12" s="263"/>
      <c r="U12" s="263"/>
      <c r="V12" s="215" t="s">
        <v>422</v>
      </c>
      <c r="Y12" s="304"/>
      <c r="Z12" s="304"/>
      <c r="AA12" s="304"/>
      <c r="AB12" s="304"/>
      <c r="AC12" s="304"/>
      <c r="AD12" s="354">
        <v>0</v>
      </c>
    </row>
    <row r="13" spans="1:30" ht="14.65" customHeight="1">
      <c r="J13" s="312"/>
      <c r="K13" s="312"/>
      <c r="L13" s="1201"/>
      <c r="M13" s="299"/>
      <c r="N13" s="1170"/>
      <c r="O13" s="2196"/>
      <c r="P13" s="2196"/>
      <c r="Q13" s="2196"/>
      <c r="R13" s="2196"/>
      <c r="S13" s="2196"/>
      <c r="T13" s="2196"/>
      <c r="U13" s="2196"/>
      <c r="V13" s="2196"/>
      <c r="AD13" s="1081">
        <v>14</v>
      </c>
    </row>
    <row r="14" spans="1:30" ht="14.65" customHeight="1">
      <c r="J14" s="312"/>
      <c r="K14" s="312"/>
      <c r="L14" s="2056" t="s">
        <v>295</v>
      </c>
      <c r="M14" s="2056"/>
      <c r="N14" s="2056"/>
      <c r="O14" s="2056"/>
      <c r="P14" s="2056"/>
      <c r="Q14" s="2056"/>
      <c r="R14" s="2056"/>
      <c r="S14" s="2056"/>
      <c r="T14" s="2056"/>
      <c r="U14" s="2056"/>
      <c r="V14" s="2056"/>
      <c r="W14" s="2056"/>
      <c r="X14" s="2056" t="s">
        <v>296</v>
      </c>
      <c r="AD14" s="1081">
        <v>14</v>
      </c>
    </row>
    <row r="15" spans="1:30" ht="14.65" customHeight="1">
      <c r="J15" s="312"/>
      <c r="K15" s="312"/>
      <c r="L15" s="2197" t="s">
        <v>84</v>
      </c>
      <c r="M15" s="2145" t="s">
        <v>423</v>
      </c>
      <c r="N15" s="238"/>
      <c r="O15" s="2198" t="s">
        <v>2224</v>
      </c>
      <c r="P15" s="2199"/>
      <c r="Q15" s="2199"/>
      <c r="R15" s="2199"/>
      <c r="S15" s="2199"/>
      <c r="T15" s="2199"/>
      <c r="U15" s="2200"/>
      <c r="V15" s="2201" t="s">
        <v>425</v>
      </c>
      <c r="W15" s="2204" t="s">
        <v>1143</v>
      </c>
      <c r="X15" s="2056"/>
      <c r="AD15" s="1081">
        <v>14</v>
      </c>
    </row>
    <row r="16" spans="1:30" ht="35.65" customHeight="1">
      <c r="J16" s="312"/>
      <c r="K16" s="312"/>
      <c r="L16" s="2197"/>
      <c r="M16" s="2145"/>
      <c r="N16" s="960"/>
      <c r="O16" s="2115" t="s">
        <v>428</v>
      </c>
      <c r="P16" s="2115" t="s">
        <v>429</v>
      </c>
      <c r="Q16" s="2038" t="s">
        <v>430</v>
      </c>
      <c r="R16" s="2037"/>
      <c r="S16" s="2038" t="s">
        <v>444</v>
      </c>
      <c r="T16" s="2043"/>
      <c r="U16" s="2037"/>
      <c r="V16" s="2202"/>
      <c r="W16" s="2205"/>
      <c r="X16" s="2056"/>
      <c r="AD16" s="1081">
        <v>34</v>
      </c>
    </row>
    <row r="17" spans="1:30" ht="35.65" customHeight="1">
      <c r="A17" s="1296" t="s">
        <v>131</v>
      </c>
      <c r="B17" s="1296" t="s">
        <v>132</v>
      </c>
      <c r="C17" s="1296" t="s">
        <v>133</v>
      </c>
      <c r="D17" s="1296" t="s">
        <v>134</v>
      </c>
      <c r="E17" s="1296"/>
      <c r="J17" s="312"/>
      <c r="K17" s="312"/>
      <c r="L17" s="2197"/>
      <c r="M17" s="2145"/>
      <c r="N17" s="239"/>
      <c r="O17" s="2170"/>
      <c r="P17" s="2170"/>
      <c r="Q17" s="1148" t="s">
        <v>439</v>
      </c>
      <c r="R17" s="1148" t="s">
        <v>440</v>
      </c>
      <c r="S17" s="1218" t="s">
        <v>441</v>
      </c>
      <c r="T17" s="2150" t="s">
        <v>442</v>
      </c>
      <c r="U17" s="2164"/>
      <c r="V17" s="2203"/>
      <c r="W17" s="2206"/>
      <c r="X17" s="2056"/>
      <c r="AD17" s="1081">
        <v>34</v>
      </c>
    </row>
    <row r="18" spans="1:30" s="1567" customFormat="1" ht="11.45" customHeight="1">
      <c r="A18" s="1296"/>
      <c r="B18" s="1296"/>
      <c r="C18" s="1296"/>
      <c r="D18" s="1296"/>
      <c r="E18" s="1296"/>
      <c r="F18" s="1288"/>
      <c r="G18" s="1288"/>
      <c r="H18" s="1288"/>
      <c r="I18" s="1172"/>
      <c r="J18" s="1173"/>
      <c r="K18" s="1180">
        <v>1</v>
      </c>
      <c r="L18" s="1203" t="s">
        <v>105</v>
      </c>
      <c r="M18" s="1181" t="s">
        <v>106</v>
      </c>
      <c r="N18" s="1171" t="str">
        <f ca="1">OFFSET(N18,0,-1)</f>
        <v>2</v>
      </c>
      <c r="O18" s="1215">
        <f ca="1">OFFSET(O18,0,-1)+1</f>
        <v>3</v>
      </c>
      <c r="P18" s="1215"/>
      <c r="Q18" s="1215">
        <f ca="1">OFFSET(Q18,0,-1)+1</f>
        <v>1</v>
      </c>
      <c r="R18" s="1215">
        <f ca="1">OFFSET(R18,0,-1)+1</f>
        <v>2</v>
      </c>
      <c r="S18" s="1215">
        <f ca="1">OFFSET(S18,0,-1)+1</f>
        <v>3</v>
      </c>
      <c r="T18" s="2195">
        <f ca="1">OFFSET(T18,0,-1)+1</f>
        <v>4</v>
      </c>
      <c r="U18" s="2195"/>
      <c r="V18" s="1215">
        <f ca="1">OFFSET(V18,0,-2)+1</f>
        <v>5</v>
      </c>
      <c r="W18" s="1171">
        <f ca="1">OFFSET(W18,0,-1)</f>
        <v>5</v>
      </c>
      <c r="X18" s="1215">
        <f ca="1">OFFSET(X18,0,-1)+1</f>
        <v>6</v>
      </c>
      <c r="Y18" s="447"/>
      <c r="Z18" s="447"/>
      <c r="AA18" s="447"/>
      <c r="AB18" s="447"/>
      <c r="AC18" s="447"/>
      <c r="AD18" s="432">
        <v>11</v>
      </c>
    </row>
    <row r="19" spans="1:30" ht="21" customHeight="1">
      <c r="A19" s="1289" t="s">
        <v>165</v>
      </c>
      <c r="B19" s="1289" t="s">
        <v>166</v>
      </c>
      <c r="C19" s="1289" t="s">
        <v>167</v>
      </c>
      <c r="D19" s="1289" t="s">
        <v>168</v>
      </c>
      <c r="E19" s="1289"/>
      <c r="F19" s="1291"/>
      <c r="G19" s="1291"/>
      <c r="H19" s="1291"/>
      <c r="I19" s="297"/>
      <c r="J19" s="296"/>
      <c r="K19" s="291"/>
      <c r="L19" s="1219">
        <f>INDEX(PT_DIFFERENTIATION_NUM_NTAR,MATCH(A19,PT_DIFFERENTIATION_NTAR_ID,0))</f>
        <v>0</v>
      </c>
      <c r="M19" s="235" t="s">
        <v>120</v>
      </c>
      <c r="N19" s="237"/>
      <c r="O19" s="2461" t="str">
        <f>INDEX(PT_DIFFERENTIATION_NTAR,MATCH(A19,PT_DIFFERENTIATION_NTAR_ID,0))</f>
        <v/>
      </c>
      <c r="P19" s="2461"/>
      <c r="Q19" s="2461"/>
      <c r="R19" s="2461"/>
      <c r="S19" s="2461"/>
      <c r="T19" s="2461"/>
      <c r="U19" s="2461"/>
      <c r="V19" s="2461"/>
      <c r="W19" s="2461"/>
      <c r="X19" s="1184" t="s">
        <v>391</v>
      </c>
      <c r="Z19" s="436"/>
      <c r="AA19" s="436" t="str">
        <f t="shared" ref="AA19:AA32" si="0">IF(M19="","",M19)</f>
        <v>Наименование тарифа</v>
      </c>
      <c r="AB19" s="436"/>
      <c r="AC19" s="436"/>
      <c r="AD19" s="1081">
        <v>20</v>
      </c>
    </row>
    <row r="20" spans="1:30" ht="21" customHeight="1">
      <c r="A20" s="1289" t="s">
        <v>165</v>
      </c>
      <c r="B20" s="1289" t="s">
        <v>166</v>
      </c>
      <c r="C20" s="1289" t="s">
        <v>167</v>
      </c>
      <c r="D20" s="1289" t="s">
        <v>168</v>
      </c>
      <c r="E20" s="1289"/>
      <c r="F20" s="1291"/>
      <c r="G20" s="1291"/>
      <c r="H20" s="1291"/>
      <c r="I20" s="1216"/>
      <c r="J20" s="288"/>
      <c r="K20" s="289"/>
      <c r="L20" s="1219" t="str">
        <f>INDEX(PT_DIFFERENTIATION_NUM_TER,MATCH(B19,PT_DIFFERENTIATION_TER_ID,0))</f>
        <v>.</v>
      </c>
      <c r="M20" s="245" t="s">
        <v>392</v>
      </c>
      <c r="N20" s="237"/>
      <c r="O20" s="2461" t="str">
        <f>INDEX(PT_DIFFERENTIATION_TER,MATCH(B19,PT_DIFFERENTIATION_TER_ID,0))</f>
        <v/>
      </c>
      <c r="P20" s="2461"/>
      <c r="Q20" s="2461"/>
      <c r="R20" s="2461"/>
      <c r="S20" s="2461"/>
      <c r="T20" s="2461"/>
      <c r="U20" s="2461"/>
      <c r="V20" s="2461"/>
      <c r="W20" s="2461"/>
      <c r="X20" s="1184" t="s">
        <v>393</v>
      </c>
      <c r="Z20" s="436"/>
      <c r="AA20" s="436" t="str">
        <f t="shared" si="0"/>
        <v>Территория действия тарифа</v>
      </c>
      <c r="AB20" s="436"/>
      <c r="AC20" s="436"/>
      <c r="AD20" s="1081">
        <v>20</v>
      </c>
    </row>
    <row r="21" spans="1:30" ht="24" customHeight="1">
      <c r="A21" s="1289" t="s">
        <v>165</v>
      </c>
      <c r="B21" s="1289" t="s">
        <v>166</v>
      </c>
      <c r="C21" s="1289" t="s">
        <v>167</v>
      </c>
      <c r="D21" s="1289" t="s">
        <v>168</v>
      </c>
      <c r="E21" s="1289"/>
      <c r="F21" s="1291"/>
      <c r="G21" s="1291"/>
      <c r="H21" s="1291"/>
      <c r="I21" s="290"/>
      <c r="J21" s="288"/>
      <c r="K21" s="289"/>
      <c r="L21" s="1219" t="str">
        <f>INDEX(PT_DIFFERENTIATION_NUM_CS,MATCH(C19,PT_DIFFERENTIATION_CS_ID,0))</f>
        <v>..</v>
      </c>
      <c r="M21" s="246" t="s">
        <v>394</v>
      </c>
      <c r="N21" s="237"/>
      <c r="O21" s="2461" t="str">
        <f>INDEX(PT_DIFFERENTIATION_CS,MATCH(C19,PT_DIFFERENTIATION_CS_ID,0))</f>
        <v/>
      </c>
      <c r="P21" s="2461"/>
      <c r="Q21" s="2461"/>
      <c r="R21" s="2461"/>
      <c r="S21" s="2461"/>
      <c r="T21" s="2461"/>
      <c r="U21" s="2461"/>
      <c r="V21" s="2461"/>
      <c r="W21" s="2461"/>
      <c r="X21" s="1184" t="s">
        <v>395</v>
      </c>
      <c r="Z21" s="436"/>
      <c r="AA21" s="436" t="str">
        <f t="shared" si="0"/>
        <v xml:space="preserve">Наименование системы теплоснабжения </v>
      </c>
      <c r="AB21" s="436"/>
      <c r="AC21" s="436"/>
      <c r="AD21" s="1081">
        <v>23</v>
      </c>
    </row>
    <row r="22" spans="1:30" ht="21" customHeight="1">
      <c r="A22" s="1289" t="s">
        <v>165</v>
      </c>
      <c r="B22" s="1289" t="s">
        <v>166</v>
      </c>
      <c r="C22" s="1289" t="s">
        <v>167</v>
      </c>
      <c r="D22" s="1289" t="s">
        <v>168</v>
      </c>
      <c r="E22" s="1289"/>
      <c r="F22" s="1291"/>
      <c r="G22" s="1291"/>
      <c r="H22" s="1291"/>
      <c r="I22" s="290"/>
      <c r="J22" s="288"/>
      <c r="K22" s="289"/>
      <c r="L22" s="1219" t="str">
        <f>INDEX(PT_DIFFERENTIATION_NUM_IST_TE,MATCH(D19,PT_DIFFERENTIATION_IST_TE_ID,0))</f>
        <v>...</v>
      </c>
      <c r="M22" s="247" t="s">
        <v>396</v>
      </c>
      <c r="N22" s="237"/>
      <c r="O22" s="2461" t="str">
        <f>INDEX(PT_DIFFERENTIATION_IST_TE,MATCH(D19,PT_DIFFERENTIATION_IST_TE_ID,0))</f>
        <v/>
      </c>
      <c r="P22" s="2461"/>
      <c r="Q22" s="2461"/>
      <c r="R22" s="2461"/>
      <c r="S22" s="2461"/>
      <c r="T22" s="2461"/>
      <c r="U22" s="2461"/>
      <c r="V22" s="2461"/>
      <c r="W22" s="2461"/>
      <c r="X22" s="1184" t="s">
        <v>397</v>
      </c>
      <c r="Z22" s="436"/>
      <c r="AA22" s="436" t="str">
        <f t="shared" si="0"/>
        <v xml:space="preserve">Источник тепловой энергии  </v>
      </c>
      <c r="AB22" s="436"/>
      <c r="AC22" s="436"/>
      <c r="AD22" s="1081">
        <v>20</v>
      </c>
    </row>
    <row r="23" spans="1:30" ht="96.75" customHeight="1">
      <c r="A23" s="1289" t="s">
        <v>165</v>
      </c>
      <c r="B23" s="1289" t="s">
        <v>166</v>
      </c>
      <c r="C23" s="1289" t="s">
        <v>167</v>
      </c>
      <c r="D23" s="1289" t="s">
        <v>168</v>
      </c>
      <c r="E23" s="1289"/>
      <c r="F23" s="2162" t="str">
        <f>L22&amp;".1"</f>
        <v>....1</v>
      </c>
      <c r="I23" s="2188">
        <v>1</v>
      </c>
      <c r="J23" s="1217"/>
      <c r="K23" s="292"/>
      <c r="L23" s="1219" t="str">
        <f>$F$23</f>
        <v>....1</v>
      </c>
      <c r="M23" s="222" t="s">
        <v>399</v>
      </c>
      <c r="N23" s="237"/>
      <c r="O23" s="2218"/>
      <c r="P23" s="2218"/>
      <c r="Q23" s="2218"/>
      <c r="R23" s="2218"/>
      <c r="S23" s="2218"/>
      <c r="T23" s="2218"/>
      <c r="U23" s="2218"/>
      <c r="V23" s="2218"/>
      <c r="W23" s="2218"/>
      <c r="X23" s="1184" t="s">
        <v>400</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165</v>
      </c>
      <c r="B24" s="1289" t="s">
        <v>166</v>
      </c>
      <c r="C24" s="1289" t="s">
        <v>167</v>
      </c>
      <c r="D24" s="1289" t="s">
        <v>168</v>
      </c>
      <c r="E24" s="1289"/>
      <c r="F24" s="2162"/>
      <c r="G24" s="2162" t="str">
        <f>F23&amp;".1"</f>
        <v>....1.1</v>
      </c>
      <c r="I24" s="2188"/>
      <c r="J24" s="2188">
        <v>1</v>
      </c>
      <c r="K24" s="293"/>
      <c r="L24" s="1219" t="str">
        <f>$G$24</f>
        <v>....1.1</v>
      </c>
      <c r="M24" s="223" t="s">
        <v>402</v>
      </c>
      <c r="N24" s="237"/>
      <c r="O24" s="2172"/>
      <c r="P24" s="2173"/>
      <c r="Q24" s="2173"/>
      <c r="R24" s="2173"/>
      <c r="S24" s="2173"/>
      <c r="T24" s="2173"/>
      <c r="U24" s="2173"/>
      <c r="V24" s="2173"/>
      <c r="W24" s="2174"/>
      <c r="X24" s="1184" t="s">
        <v>403</v>
      </c>
      <c r="Z24" s="436"/>
      <c r="AA24" s="436" t="str">
        <f t="shared" si="0"/>
        <v>Группа потребителей</v>
      </c>
      <c r="AB24" s="436"/>
      <c r="AC24" s="436"/>
      <c r="AD24" s="1081">
        <v>82</v>
      </c>
    </row>
    <row r="25" spans="1:30" ht="11.45" customHeight="1">
      <c r="A25" s="1289" t="s">
        <v>165</v>
      </c>
      <c r="B25" s="1289" t="s">
        <v>166</v>
      </c>
      <c r="C25" s="1289" t="s">
        <v>167</v>
      </c>
      <c r="D25" s="1289" t="s">
        <v>168</v>
      </c>
      <c r="E25" s="1289"/>
      <c r="F25" s="2162"/>
      <c r="G25" s="2162"/>
      <c r="H25" s="2162" t="str">
        <f>G24&amp;".1"</f>
        <v>....1.1.1</v>
      </c>
      <c r="I25" s="2188"/>
      <c r="J25" s="2188"/>
      <c r="K25" s="293">
        <v>1</v>
      </c>
      <c r="L25" s="1219" t="str">
        <f>$H$25</f>
        <v>....1.1.1</v>
      </c>
      <c r="M25" s="1273"/>
      <c r="N25" s="237"/>
      <c r="O25" s="687"/>
      <c r="P25" s="262"/>
      <c r="Q25" s="687"/>
      <c r="R25" s="1183"/>
      <c r="S25" s="2189"/>
      <c r="T25" s="2066" t="s">
        <v>66</v>
      </c>
      <c r="U25" s="2189"/>
      <c r="V25" s="2066" t="s">
        <v>19</v>
      </c>
      <c r="W25" s="262"/>
      <c r="X25" s="2207" t="s">
        <v>405</v>
      </c>
      <c r="Y25" s="447" t="e">
        <f ca="1">STRCHECKDATE(O26:W26)</f>
        <v>#NAME?</v>
      </c>
      <c r="Z25" s="436"/>
      <c r="AA25" s="436" t="str">
        <f t="shared" si="0"/>
        <v/>
      </c>
      <c r="AB25" s="436"/>
      <c r="AC25" s="436"/>
      <c r="AD25" s="1081">
        <v>11</v>
      </c>
    </row>
    <row r="26" spans="1:30" ht="11.45" customHeight="1">
      <c r="A26" s="1289" t="s">
        <v>165</v>
      </c>
      <c r="B26" s="1289" t="s">
        <v>166</v>
      </c>
      <c r="C26" s="1289" t="s">
        <v>167</v>
      </c>
      <c r="D26" s="1289" t="s">
        <v>168</v>
      </c>
      <c r="E26" s="1289"/>
      <c r="F26" s="2162"/>
      <c r="G26" s="2162"/>
      <c r="H26" s="2162"/>
      <c r="I26" s="2188"/>
      <c r="J26" s="2188"/>
      <c r="K26" s="293"/>
      <c r="L26" s="1220"/>
      <c r="M26" s="237"/>
      <c r="N26" s="237"/>
      <c r="O26" s="262"/>
      <c r="P26" s="262"/>
      <c r="Q26" s="262"/>
      <c r="R26" s="265" t="str">
        <f>S25&amp;"-"&amp;U25</f>
        <v>-</v>
      </c>
      <c r="S26" s="2190"/>
      <c r="T26" s="2066"/>
      <c r="U26" s="2190"/>
      <c r="V26" s="2066"/>
      <c r="W26" s="262"/>
      <c r="X26" s="2208"/>
      <c r="Z26" s="436"/>
      <c r="AA26" s="436" t="str">
        <f t="shared" si="0"/>
        <v/>
      </c>
      <c r="AB26" s="436"/>
      <c r="AC26" s="436"/>
      <c r="AD26" s="1081">
        <v>11</v>
      </c>
    </row>
    <row r="27" spans="1:30" ht="15.75" customHeight="1">
      <c r="A27" s="1289" t="s">
        <v>165</v>
      </c>
      <c r="B27" s="1289" t="s">
        <v>166</v>
      </c>
      <c r="C27" s="1289" t="s">
        <v>167</v>
      </c>
      <c r="D27" s="1289" t="s">
        <v>168</v>
      </c>
      <c r="E27" s="1289"/>
      <c r="F27" s="2162"/>
      <c r="G27" s="2162"/>
      <c r="I27" s="2188"/>
      <c r="J27" s="2188"/>
      <c r="K27" s="292"/>
      <c r="L27" s="1204"/>
      <c r="M27" s="225" t="s">
        <v>406</v>
      </c>
      <c r="N27" s="303"/>
      <c r="O27" s="303"/>
      <c r="P27" s="303"/>
      <c r="Q27" s="303"/>
      <c r="R27" s="303"/>
      <c r="S27" s="303"/>
      <c r="T27" s="303"/>
      <c r="U27" s="303"/>
      <c r="V27" s="303"/>
      <c r="W27" s="261"/>
      <c r="X27" s="2209"/>
      <c r="Z27" s="436"/>
      <c r="AA27" s="436" t="str">
        <f t="shared" si="0"/>
        <v>Добавить вид теплоносителя (параметры теплоносителя)</v>
      </c>
      <c r="AB27" s="436"/>
      <c r="AC27" s="436"/>
      <c r="AD27" s="1081">
        <v>15</v>
      </c>
    </row>
    <row r="28" spans="1:30" ht="15.75" customHeight="1">
      <c r="A28" s="1289" t="s">
        <v>165</v>
      </c>
      <c r="B28" s="1289" t="s">
        <v>166</v>
      </c>
      <c r="C28" s="1289" t="s">
        <v>167</v>
      </c>
      <c r="D28" s="1289" t="s">
        <v>168</v>
      </c>
      <c r="E28" s="1289"/>
      <c r="F28" s="2162"/>
      <c r="I28" s="2188"/>
      <c r="J28" s="1217"/>
      <c r="K28" s="292"/>
      <c r="L28" s="1204"/>
      <c r="M28" s="224" t="s">
        <v>407</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165</v>
      </c>
      <c r="B29" s="1289" t="s">
        <v>166</v>
      </c>
      <c r="C29" s="1289" t="s">
        <v>167</v>
      </c>
      <c r="D29" s="1289" t="s">
        <v>168</v>
      </c>
      <c r="E29" s="1289"/>
      <c r="F29" s="1291"/>
      <c r="G29" s="1291"/>
      <c r="H29" s="473"/>
      <c r="I29" s="296"/>
      <c r="J29" s="311"/>
      <c r="K29" s="291"/>
      <c r="L29" s="1204"/>
      <c r="M29" s="301" t="s">
        <v>408</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165</v>
      </c>
      <c r="B30" s="1289" t="s">
        <v>166</v>
      </c>
      <c r="C30" s="1289" t="s">
        <v>167</v>
      </c>
      <c r="D30" s="1289"/>
      <c r="E30" s="1289" t="s">
        <v>581</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165</v>
      </c>
      <c r="B31" s="1289" t="s">
        <v>166</v>
      </c>
      <c r="C31" s="1289"/>
      <c r="D31" s="1289"/>
      <c r="E31" s="1289" t="s">
        <v>2225</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2226</v>
      </c>
      <c r="B32" s="1289"/>
      <c r="C32" s="1289"/>
      <c r="D32" s="1289"/>
      <c r="E32" s="1289" t="s">
        <v>100</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443</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799</v>
      </c>
      <c r="M35" s="2183" t="s">
        <v>2227</v>
      </c>
      <c r="N35" s="2183"/>
      <c r="O35" s="2183"/>
      <c r="P35" s="2183"/>
      <c r="Q35" s="2183"/>
      <c r="R35" s="2183"/>
      <c r="S35" s="2183"/>
      <c r="T35" s="2183"/>
      <c r="U35" s="2183"/>
      <c r="V35" s="2183"/>
      <c r="W35" s="2183"/>
      <c r="X35" s="2183"/>
      <c r="AD35" s="1081">
        <v>27</v>
      </c>
    </row>
    <row r="36" spans="1:30" ht="109.15" customHeight="1">
      <c r="H36" s="473"/>
      <c r="I36" s="1229"/>
      <c r="M36" s="2183" t="s">
        <v>2228</v>
      </c>
      <c r="N36" s="2183"/>
      <c r="O36" s="2183"/>
      <c r="P36" s="2183"/>
      <c r="Q36" s="2183"/>
      <c r="R36" s="2183"/>
      <c r="S36" s="2183"/>
      <c r="T36" s="2183"/>
      <c r="U36" s="2183"/>
      <c r="V36" s="2183"/>
      <c r="W36" s="2183"/>
      <c r="X36" s="2183"/>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78</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294</v>
      </c>
      <c r="J1" s="391" t="s">
        <v>14</v>
      </c>
    </row>
    <row r="2" spans="1:10" ht="11.25" hidden="1" customHeight="1">
      <c r="J2" s="391">
        <v>0</v>
      </c>
    </row>
    <row r="3" spans="1:10" s="413" customFormat="1" ht="11.45" customHeight="1">
      <c r="A3" s="1612"/>
      <c r="B3" s="437"/>
      <c r="D3" s="414"/>
      <c r="J3" s="413">
        <v>11</v>
      </c>
    </row>
    <row r="4" spans="1:10" ht="27.4" customHeight="1">
      <c r="D4" s="210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7"/>
      <c r="F4" s="2108"/>
      <c r="I4" s="651"/>
      <c r="J4" s="391">
        <v>26</v>
      </c>
    </row>
    <row r="5" spans="1:10" ht="18" customHeight="1">
      <c r="D5" s="2137" t="str">
        <f>IF(org=0,"Не определено",org)</f>
        <v>ОП АО "Байкалэнерго" - "Саяногорские тепловые сети"</v>
      </c>
      <c r="E5" s="2137"/>
      <c r="F5" s="2137"/>
      <c r="I5" s="651"/>
      <c r="J5" s="391">
        <v>17</v>
      </c>
    </row>
    <row r="6" spans="1:10" s="413" customFormat="1" ht="11.45" customHeight="1">
      <c r="A6" s="1612"/>
      <c r="B6" s="437"/>
      <c r="D6" s="650"/>
      <c r="E6" s="650"/>
      <c r="F6" s="688"/>
      <c r="G6" s="650"/>
      <c r="J6" s="413">
        <v>11</v>
      </c>
    </row>
    <row r="7" spans="1:10" ht="11.25" hidden="1" customHeight="1">
      <c r="A7" s="393"/>
      <c r="B7" s="438"/>
      <c r="C7" s="393"/>
      <c r="D7" s="399"/>
      <c r="E7" s="2143"/>
      <c r="F7" s="2143"/>
      <c r="J7" s="391">
        <v>0</v>
      </c>
    </row>
    <row r="8" spans="1:10" ht="11.45" customHeight="1">
      <c r="A8" s="393"/>
      <c r="B8" s="438"/>
      <c r="C8" s="393"/>
      <c r="D8" s="2140" t="s">
        <v>295</v>
      </c>
      <c r="E8" s="2141"/>
      <c r="F8" s="2141"/>
      <c r="G8" s="2144" t="s">
        <v>296</v>
      </c>
      <c r="J8" s="391">
        <v>11</v>
      </c>
    </row>
    <row r="9" spans="1:10" ht="11.45" customHeight="1">
      <c r="A9" s="393"/>
      <c r="B9" s="438"/>
      <c r="C9" s="393"/>
      <c r="D9" s="408" t="s">
        <v>84</v>
      </c>
      <c r="E9" s="382" t="s">
        <v>297</v>
      </c>
      <c r="F9" s="382" t="s">
        <v>298</v>
      </c>
      <c r="G9" s="2145"/>
      <c r="J9" s="391">
        <v>11</v>
      </c>
    </row>
    <row r="10" spans="1:10" ht="12" hidden="1" customHeight="1">
      <c r="A10" s="393"/>
      <c r="B10" s="438"/>
      <c r="C10" s="393"/>
      <c r="D10" s="400"/>
      <c r="E10" s="400"/>
      <c r="F10" s="400"/>
      <c r="G10" s="400"/>
      <c r="J10" s="391">
        <v>0</v>
      </c>
    </row>
    <row r="11" spans="1:10" ht="22.5" hidden="1" customHeight="1">
      <c r="A11" s="393"/>
      <c r="B11" s="438"/>
      <c r="C11" s="393"/>
      <c r="D11" s="938" t="s">
        <v>105</v>
      </c>
      <c r="E11" s="941" t="s">
        <v>299</v>
      </c>
      <c r="F11" s="940" t="str">
        <f>IF(region_name="","",region_name)</f>
        <v>Республика Хакасия</v>
      </c>
      <c r="G11" s="941" t="s">
        <v>300</v>
      </c>
      <c r="H11" s="411"/>
      <c r="J11" s="391">
        <v>0</v>
      </c>
    </row>
    <row r="12" spans="1:10" ht="22.5" hidden="1" customHeight="1">
      <c r="A12" s="393"/>
      <c r="B12" s="438"/>
      <c r="C12" s="393"/>
      <c r="D12" s="381" t="s">
        <v>105</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301</v>
      </c>
      <c r="G12" s="410"/>
      <c r="H12" s="411"/>
      <c r="J12" s="391">
        <v>0</v>
      </c>
    </row>
    <row r="13" spans="1:10" ht="23.25" customHeight="1">
      <c r="A13" s="393"/>
      <c r="B13" s="438"/>
      <c r="C13" s="393"/>
      <c r="D13" s="381" t="s">
        <v>105</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302</v>
      </c>
      <c r="E14" s="939" t="s">
        <v>303</v>
      </c>
      <c r="F14" s="940" t="str">
        <f>IF(inn="","",inn)</f>
        <v>3808108339</v>
      </c>
      <c r="G14" s="941" t="s">
        <v>304</v>
      </c>
      <c r="H14" s="411"/>
      <c r="J14" s="391">
        <v>0</v>
      </c>
    </row>
    <row r="15" spans="1:10" ht="22.5" hidden="1" customHeight="1">
      <c r="A15" s="393"/>
      <c r="B15" s="438"/>
      <c r="C15" s="393"/>
      <c r="D15" s="938" t="s">
        <v>305</v>
      </c>
      <c r="E15" s="939" t="s">
        <v>306</v>
      </c>
      <c r="F15" s="940" t="str">
        <f>IF(kpp="","",kpp)</f>
        <v>190245001</v>
      </c>
      <c r="G15" s="941" t="s">
        <v>307</v>
      </c>
      <c r="H15" s="411"/>
      <c r="J15" s="391">
        <v>0</v>
      </c>
    </row>
    <row r="16" spans="1:10" ht="39" customHeight="1">
      <c r="A16" s="393"/>
      <c r="B16" s="438"/>
      <c r="C16" s="393"/>
      <c r="D16" s="381" t="s">
        <v>106</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86</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87</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8" t="s">
        <v>308</v>
      </c>
      <c r="B19" s="438"/>
      <c r="C19" s="2149"/>
      <c r="D19" s="381" t="str">
        <f>A19</f>
        <v>5.1</v>
      </c>
      <c r="E19" s="378" t="s">
        <v>309</v>
      </c>
      <c r="F19" s="379" t="s">
        <v>301</v>
      </c>
      <c r="G19" s="380" t="s">
        <v>310</v>
      </c>
      <c r="H19" s="411"/>
      <c r="I19" s="782"/>
      <c r="J19" s="391">
        <v>0</v>
      </c>
    </row>
    <row r="20" spans="1:10" ht="24" hidden="1" customHeight="1">
      <c r="A20" s="2138"/>
      <c r="B20" s="438"/>
      <c r="C20" s="2149"/>
      <c r="D20" s="376" t="str">
        <f>D19&amp;".1"</f>
        <v>5.1.1</v>
      </c>
      <c r="E20" s="375" t="s">
        <v>311</v>
      </c>
      <c r="F20" s="810" t="s">
        <v>22</v>
      </c>
      <c r="G20" s="410"/>
      <c r="H20" s="411"/>
      <c r="I20" s="782"/>
      <c r="J20" s="391">
        <v>0</v>
      </c>
    </row>
    <row r="21" spans="1:10" ht="22.5" hidden="1" customHeight="1">
      <c r="A21" s="2138"/>
      <c r="B21" s="438"/>
      <c r="C21" s="2149"/>
      <c r="D21" s="376" t="str">
        <f>D19&amp;".2"</f>
        <v>5.1.2</v>
      </c>
      <c r="E21" s="375" t="s">
        <v>312</v>
      </c>
      <c r="F21" s="1659" t="s">
        <v>22</v>
      </c>
      <c r="G21" s="380" t="s">
        <v>313</v>
      </c>
      <c r="H21" s="411"/>
      <c r="I21" s="782"/>
      <c r="J21" s="391">
        <v>0</v>
      </c>
    </row>
    <row r="22" spans="1:10" ht="22.5" hidden="1" customHeight="1">
      <c r="A22" s="2138"/>
      <c r="B22" s="438"/>
      <c r="C22" s="2149"/>
      <c r="D22" s="376" t="str">
        <f>D19&amp;".3"</f>
        <v>5.1.3</v>
      </c>
      <c r="E22" s="375" t="s">
        <v>314</v>
      </c>
      <c r="F22" s="810" t="s">
        <v>22</v>
      </c>
      <c r="G22" s="410"/>
      <c r="H22" s="411"/>
      <c r="I22" s="782"/>
      <c r="J22" s="391">
        <v>0</v>
      </c>
    </row>
    <row r="23" spans="1:10" ht="22.5" hidden="1" customHeight="1">
      <c r="A23" s="2138"/>
      <c r="B23" s="438"/>
      <c r="C23" s="2149"/>
      <c r="D23" s="376" t="str">
        <f>D19&amp;".4"</f>
        <v>5.1.4</v>
      </c>
      <c r="E23" s="375" t="s">
        <v>315</v>
      </c>
      <c r="F23" s="810" t="s">
        <v>22</v>
      </c>
      <c r="G23" s="380" t="s">
        <v>316</v>
      </c>
      <c r="H23" s="411"/>
      <c r="I23" s="782"/>
      <c r="J23" s="391">
        <v>0</v>
      </c>
    </row>
    <row r="24" spans="1:10" ht="22.5" hidden="1" customHeight="1">
      <c r="A24" s="1900"/>
      <c r="B24" s="438"/>
      <c r="C24" s="428"/>
      <c r="D24" s="403"/>
      <c r="E24" s="1094" t="s">
        <v>317</v>
      </c>
      <c r="F24" s="404"/>
      <c r="G24" s="405"/>
      <c r="H24" s="411"/>
      <c r="I24" s="782"/>
      <c r="J24" s="391">
        <v>0</v>
      </c>
    </row>
    <row r="25" spans="1:10" s="437" customFormat="1" ht="24.75" hidden="1" customHeight="1">
      <c r="A25" s="393"/>
      <c r="B25" s="438"/>
      <c r="C25" s="438"/>
      <c r="D25" s="935" t="s">
        <v>86</v>
      </c>
      <c r="E25" s="937" t="s">
        <v>318</v>
      </c>
      <c r="F25" s="942" t="s">
        <v>301</v>
      </c>
      <c r="G25" s="937"/>
      <c r="J25" s="437">
        <v>0</v>
      </c>
    </row>
    <row r="26" spans="1:10" s="437" customFormat="1" ht="11.25" hidden="1" customHeight="1">
      <c r="A26" s="393"/>
      <c r="B26" s="438"/>
      <c r="C26" s="438"/>
      <c r="D26" s="935" t="s">
        <v>319</v>
      </c>
      <c r="E26" s="936" t="s">
        <v>320</v>
      </c>
      <c r="F26" s="942" t="s">
        <v>301</v>
      </c>
      <c r="G26" s="937"/>
      <c r="J26" s="437">
        <v>0</v>
      </c>
    </row>
    <row r="27" spans="1:10" s="437" customFormat="1" ht="11.25" hidden="1" customHeight="1">
      <c r="A27" s="393"/>
      <c r="B27" s="438"/>
      <c r="C27" s="438"/>
      <c r="D27" s="935" t="s">
        <v>321</v>
      </c>
      <c r="E27" s="943" t="s">
        <v>322</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323</v>
      </c>
      <c r="E28" s="943" t="s">
        <v>324</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325</v>
      </c>
      <c r="E29" s="943" t="s">
        <v>326</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327</v>
      </c>
      <c r="E30" s="936" t="s">
        <v>328</v>
      </c>
      <c r="F30" s="944"/>
      <c r="G30" s="937"/>
      <c r="J30" s="437">
        <v>0</v>
      </c>
    </row>
    <row r="31" spans="1:10" s="437" customFormat="1" ht="11.25" hidden="1" customHeight="1">
      <c r="A31" s="393"/>
      <c r="B31" s="438"/>
      <c r="C31" s="438"/>
      <c r="D31" s="935" t="s">
        <v>329</v>
      </c>
      <c r="E31" s="936" t="s">
        <v>330</v>
      </c>
      <c r="F31" s="944"/>
      <c r="G31" s="937"/>
      <c r="J31" s="437">
        <v>0</v>
      </c>
    </row>
    <row r="32" spans="1:10" s="437" customFormat="1" ht="11.25" hidden="1" customHeight="1">
      <c r="A32" s="393"/>
      <c r="B32" s="438"/>
      <c r="C32" s="438"/>
      <c r="D32" s="935" t="s">
        <v>331</v>
      </c>
      <c r="E32" s="936" t="s">
        <v>332</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301</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333</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333</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301</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7"/>
      <c r="H40" s="411"/>
      <c r="J40" s="391">
        <v>0</v>
      </c>
    </row>
    <row r="41" spans="1:10" ht="23.25" customHeight="1">
      <c r="A41" s="393"/>
      <c r="B41" s="393"/>
      <c r="C41" s="1614"/>
      <c r="D41" s="376" t="str">
        <f>D39&amp;".1"</f>
        <v>9.1</v>
      </c>
      <c r="E41" s="790"/>
      <c r="F41" s="791"/>
      <c r="G41" s="2147"/>
      <c r="H41" s="411"/>
      <c r="J41" s="391">
        <v>22</v>
      </c>
    </row>
    <row r="42" spans="1:10" ht="15.75" customHeight="1">
      <c r="A42" s="393"/>
      <c r="B42" s="438"/>
      <c r="C42" s="393"/>
      <c r="D42" s="403"/>
      <c r="E42" s="351" t="s">
        <v>334</v>
      </c>
      <c r="F42" s="405"/>
      <c r="G42" s="2148"/>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335</v>
      </c>
      <c r="H44" s="411"/>
      <c r="J44" s="391">
        <v>22</v>
      </c>
    </row>
    <row r="45" spans="1:10" ht="23.25" customHeight="1">
      <c r="A45" s="393"/>
      <c r="B45" s="438"/>
      <c r="C45" s="393"/>
      <c r="D45" s="376">
        <f>D44+1</f>
        <v>12</v>
      </c>
      <c r="E45" s="374" t="s">
        <v>336</v>
      </c>
      <c r="F45" s="379" t="s">
        <v>301</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337</v>
      </c>
      <c r="H46" s="411"/>
      <c r="J46" s="391">
        <v>23</v>
      </c>
    </row>
    <row r="47" spans="1:10" ht="24" customHeight="1">
      <c r="A47" s="2138"/>
      <c r="B47" s="438"/>
      <c r="C47" s="428"/>
      <c r="D47" s="376" t="str">
        <f>D45&amp;".2"</f>
        <v>12.2</v>
      </c>
      <c r="E47" s="378" t="s">
        <v>338</v>
      </c>
      <c r="F47" s="426"/>
      <c r="G47" s="373" t="s">
        <v>339</v>
      </c>
      <c r="H47" s="411"/>
      <c r="J47" s="391">
        <v>23</v>
      </c>
    </row>
    <row r="48" spans="1:10" ht="24" customHeight="1">
      <c r="A48" s="2138"/>
      <c r="B48" s="438"/>
      <c r="C48" s="428"/>
      <c r="D48" s="376" t="str">
        <f>D45&amp;".3"</f>
        <v>12.3</v>
      </c>
      <c r="E48" s="378" t="s">
        <v>340</v>
      </c>
      <c r="F48" s="426"/>
      <c r="G48" s="373" t="s">
        <v>341</v>
      </c>
      <c r="H48" s="411"/>
      <c r="J48" s="391">
        <v>23</v>
      </c>
    </row>
    <row r="49" spans="1:10" ht="24" customHeight="1">
      <c r="A49" s="2138"/>
      <c r="B49" s="438"/>
      <c r="C49" s="428"/>
      <c r="D49" s="376" t="str">
        <f>IF(TEMPLATE_SPHERE="TKO",D45&amp;".0",D45&amp;".4")</f>
        <v>12.4</v>
      </c>
      <c r="E49" s="372" t="s">
        <v>342</v>
      </c>
      <c r="F49" s="1611"/>
      <c r="G49" s="1688" t="s">
        <v>343</v>
      </c>
      <c r="H49" s="411"/>
      <c r="J49" s="391">
        <v>23</v>
      </c>
    </row>
    <row r="50" spans="1:10" ht="24" customHeight="1">
      <c r="A50" s="393"/>
      <c r="B50" s="438"/>
      <c r="C50" s="393"/>
      <c r="D50" s="403"/>
      <c r="E50" s="351" t="s">
        <v>344</v>
      </c>
      <c r="F50" s="404"/>
      <c r="G50" s="1688" t="s">
        <v>345</v>
      </c>
      <c r="H50" s="412"/>
      <c r="J50" s="391">
        <v>23</v>
      </c>
    </row>
    <row r="51" spans="1:10" ht="24" customHeight="1">
      <c r="A51" s="788"/>
      <c r="B51" s="438"/>
      <c r="C51" s="428"/>
      <c r="D51" s="376">
        <f>D45+1</f>
        <v>13</v>
      </c>
      <c r="E51" s="464" t="s">
        <v>346</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2"/>
      <c r="F53" s="2142"/>
      <c r="G53" s="2142"/>
      <c r="H53" s="390"/>
      <c r="I53" s="390"/>
      <c r="J53" s="396">
        <v>30</v>
      </c>
    </row>
    <row r="54" spans="1:10" s="396" customFormat="1" ht="42" customHeight="1">
      <c r="A54" s="393"/>
      <c r="B54" s="438"/>
      <c r="C54" s="2139"/>
      <c r="D54" s="214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2"/>
      <c r="F54" s="2142"/>
      <c r="G54" s="2142"/>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78</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5" t="s">
        <v>2229</v>
      </c>
      <c r="B1" s="2006" t="s">
        <v>2230</v>
      </c>
      <c r="C1" s="2465" t="s">
        <v>2231</v>
      </c>
      <c r="D1" s="2466"/>
      <c r="E1" s="766" t="s">
        <v>2232</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1657</v>
      </c>
      <c r="C4" s="689"/>
      <c r="D4" s="698"/>
      <c r="E4" s="766"/>
    </row>
    <row r="5" spans="1:5" ht="11.25" customHeight="1">
      <c r="A5" s="2011"/>
      <c r="B5" s="700" t="s">
        <v>1651</v>
      </c>
      <c r="C5" s="2012" t="s">
        <v>1996</v>
      </c>
      <c r="D5" s="2013" t="s">
        <v>2233</v>
      </c>
      <c r="E5" s="766"/>
    </row>
    <row r="6" spans="1:5" s="1775" customFormat="1" ht="11.25" customHeight="1">
      <c r="A6" s="2014"/>
      <c r="B6" s="700" t="s">
        <v>1661</v>
      </c>
      <c r="C6" s="689"/>
      <c r="D6" s="698"/>
      <c r="E6" s="766"/>
    </row>
    <row r="7" spans="1:5" ht="11.25" customHeight="1">
      <c r="A7" s="2015"/>
      <c r="B7" s="700" t="s">
        <v>1669</v>
      </c>
      <c r="C7" s="689"/>
      <c r="D7" s="698"/>
      <c r="E7" s="766"/>
    </row>
    <row r="8" spans="1:5" ht="11.25" customHeight="1">
      <c r="A8" s="691"/>
      <c r="B8" s="700" t="s">
        <v>1664</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236"/>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2234</v>
      </c>
      <c r="B1" s="7" t="s">
        <v>2235</v>
      </c>
      <c r="C1" s="7" t="s">
        <v>2236</v>
      </c>
      <c r="D1" s="7" t="s">
        <v>2237</v>
      </c>
      <c r="E1" s="7" t="s">
        <v>2238</v>
      </c>
      <c r="F1" s="7" t="s">
        <v>2239</v>
      </c>
      <c r="G1" s="7" t="s">
        <v>2240</v>
      </c>
      <c r="H1" s="7" t="s">
        <v>2241</v>
      </c>
      <c r="I1" s="7" t="s">
        <v>2242</v>
      </c>
    </row>
    <row r="2" spans="1:9" ht="11.25" customHeight="1">
      <c r="A2" s="1775" t="s">
        <v>2243</v>
      </c>
      <c r="B2" s="1775" t="s">
        <v>16</v>
      </c>
      <c r="C2" s="1775" t="s">
        <v>2244</v>
      </c>
      <c r="D2" s="1775" t="s">
        <v>2245</v>
      </c>
      <c r="E2" s="1775" t="s">
        <v>2246</v>
      </c>
      <c r="F2" s="1775" t="s">
        <v>2247</v>
      </c>
      <c r="G2" s="1775" t="s">
        <v>2248</v>
      </c>
      <c r="H2" s="1775" t="s">
        <v>22</v>
      </c>
      <c r="I2" s="1775" t="s">
        <v>803</v>
      </c>
    </row>
    <row r="3" spans="1:9" ht="11.25" customHeight="1">
      <c r="A3" s="1775" t="s">
        <v>2243</v>
      </c>
      <c r="B3" s="1775" t="s">
        <v>16</v>
      </c>
      <c r="C3" s="1775" t="s">
        <v>2249</v>
      </c>
      <c r="D3" s="1775" t="s">
        <v>2250</v>
      </c>
      <c r="E3" s="1775" t="s">
        <v>2251</v>
      </c>
      <c r="F3" s="1775" t="s">
        <v>2252</v>
      </c>
      <c r="G3" s="1775" t="s">
        <v>22</v>
      </c>
      <c r="H3" s="1775" t="s">
        <v>22</v>
      </c>
      <c r="I3" s="1775" t="s">
        <v>803</v>
      </c>
    </row>
    <row r="4" spans="1:9" ht="11.25" customHeight="1">
      <c r="A4" s="1775" t="s">
        <v>2243</v>
      </c>
      <c r="B4" s="1775" t="s">
        <v>16</v>
      </c>
      <c r="C4" s="1775" t="s">
        <v>2253</v>
      </c>
      <c r="D4" s="1775" t="s">
        <v>2254</v>
      </c>
      <c r="E4" s="1775" t="s">
        <v>2255</v>
      </c>
      <c r="F4" s="1775" t="s">
        <v>2256</v>
      </c>
      <c r="G4" s="1775" t="s">
        <v>2257</v>
      </c>
      <c r="H4" s="1775" t="s">
        <v>22</v>
      </c>
      <c r="I4" s="1775" t="s">
        <v>803</v>
      </c>
    </row>
    <row r="5" spans="1:9" ht="11.25" customHeight="1">
      <c r="A5" s="1775" t="s">
        <v>2243</v>
      </c>
      <c r="B5" s="1775" t="s">
        <v>16</v>
      </c>
      <c r="C5" s="1775" t="s">
        <v>2258</v>
      </c>
      <c r="D5" s="1775" t="s">
        <v>2259</v>
      </c>
      <c r="E5" s="1775" t="s">
        <v>2260</v>
      </c>
      <c r="F5" s="1775" t="s">
        <v>2247</v>
      </c>
      <c r="G5" s="1775" t="s">
        <v>22</v>
      </c>
      <c r="H5" s="1775" t="s">
        <v>22</v>
      </c>
      <c r="I5" s="1775" t="s">
        <v>803</v>
      </c>
    </row>
    <row r="6" spans="1:9" ht="11.25" customHeight="1">
      <c r="A6" s="1775" t="s">
        <v>2243</v>
      </c>
      <c r="B6" s="1775" t="s">
        <v>16</v>
      </c>
      <c r="C6" s="1775" t="s">
        <v>2261</v>
      </c>
      <c r="D6" s="1775" t="s">
        <v>2262</v>
      </c>
      <c r="E6" s="1775" t="s">
        <v>2263</v>
      </c>
      <c r="F6" s="1775" t="s">
        <v>51</v>
      </c>
      <c r="G6" s="1775" t="s">
        <v>22</v>
      </c>
      <c r="H6" s="1775" t="s">
        <v>22</v>
      </c>
      <c r="I6" s="1775" t="s">
        <v>803</v>
      </c>
    </row>
    <row r="7" spans="1:9" ht="11.25" customHeight="1">
      <c r="A7" s="1775" t="s">
        <v>2243</v>
      </c>
      <c r="B7" s="1775" t="s">
        <v>16</v>
      </c>
      <c r="C7" s="1775" t="s">
        <v>2264</v>
      </c>
      <c r="D7" s="1775" t="s">
        <v>2265</v>
      </c>
      <c r="E7" s="1775" t="s">
        <v>2266</v>
      </c>
      <c r="F7" s="1775" t="s">
        <v>2267</v>
      </c>
      <c r="G7" s="1775" t="s">
        <v>22</v>
      </c>
      <c r="H7" s="1775" t="s">
        <v>22</v>
      </c>
      <c r="I7" s="1775" t="s">
        <v>803</v>
      </c>
    </row>
    <row r="8" spans="1:9" ht="11.25" customHeight="1">
      <c r="A8" s="1775" t="s">
        <v>2243</v>
      </c>
      <c r="B8" s="1775" t="s">
        <v>16</v>
      </c>
      <c r="C8" s="1775" t="s">
        <v>22</v>
      </c>
      <c r="D8" s="1775" t="s">
        <v>2268</v>
      </c>
      <c r="E8" s="1775" t="s">
        <v>2269</v>
      </c>
      <c r="F8" s="1775" t="s">
        <v>2252</v>
      </c>
      <c r="G8" s="1775" t="s">
        <v>22</v>
      </c>
      <c r="H8" s="1775" t="s">
        <v>22</v>
      </c>
      <c r="I8" s="1775" t="s">
        <v>803</v>
      </c>
    </row>
    <row r="9" spans="1:9" ht="11.25" customHeight="1">
      <c r="A9" s="1775" t="s">
        <v>2243</v>
      </c>
      <c r="B9" s="1775" t="s">
        <v>16</v>
      </c>
      <c r="C9" s="1775" t="s">
        <v>22</v>
      </c>
      <c r="D9" s="1775" t="s">
        <v>2270</v>
      </c>
      <c r="E9" s="1775" t="s">
        <v>2271</v>
      </c>
      <c r="F9" s="1775" t="s">
        <v>2252</v>
      </c>
      <c r="G9" s="1775" t="s">
        <v>22</v>
      </c>
      <c r="H9" s="1775" t="s">
        <v>22</v>
      </c>
      <c r="I9" s="1775" t="s">
        <v>803</v>
      </c>
    </row>
    <row r="10" spans="1:9" ht="11.25" customHeight="1">
      <c r="A10" s="1775" t="s">
        <v>2243</v>
      </c>
      <c r="B10" s="1775" t="s">
        <v>16</v>
      </c>
      <c r="C10" s="1775" t="s">
        <v>2272</v>
      </c>
      <c r="D10" s="1775" t="s">
        <v>2273</v>
      </c>
      <c r="E10" s="1775" t="s">
        <v>2274</v>
      </c>
      <c r="F10" s="1775" t="s">
        <v>2275</v>
      </c>
      <c r="G10" s="1775" t="s">
        <v>22</v>
      </c>
      <c r="H10" s="1775" t="s">
        <v>22</v>
      </c>
      <c r="I10" s="1775" t="s">
        <v>803</v>
      </c>
    </row>
    <row r="11" spans="1:9" ht="11.25" customHeight="1">
      <c r="A11" s="1775" t="s">
        <v>2243</v>
      </c>
      <c r="B11" s="1775" t="s">
        <v>16</v>
      </c>
      <c r="C11" s="1775" t="s">
        <v>2276</v>
      </c>
      <c r="D11" s="1775" t="s">
        <v>2277</v>
      </c>
      <c r="E11" s="1775" t="s">
        <v>2278</v>
      </c>
      <c r="F11" s="1775" t="s">
        <v>2279</v>
      </c>
      <c r="G11" s="1775" t="s">
        <v>2280</v>
      </c>
      <c r="H11" s="1775" t="s">
        <v>22</v>
      </c>
      <c r="I11" s="1775" t="s">
        <v>803</v>
      </c>
    </row>
    <row r="12" spans="1:9" ht="11.25" customHeight="1">
      <c r="A12" s="1775" t="s">
        <v>2243</v>
      </c>
      <c r="B12" s="1775" t="s">
        <v>16</v>
      </c>
      <c r="C12" s="1775" t="s">
        <v>2281</v>
      </c>
      <c r="D12" s="1775" t="s">
        <v>2282</v>
      </c>
      <c r="E12" s="1775" t="s">
        <v>2283</v>
      </c>
      <c r="F12" s="1775" t="s">
        <v>570</v>
      </c>
      <c r="G12" s="1775" t="s">
        <v>22</v>
      </c>
      <c r="H12" s="1775" t="s">
        <v>22</v>
      </c>
      <c r="I12" s="1775" t="s">
        <v>803</v>
      </c>
    </row>
    <row r="13" spans="1:9" ht="11.25" customHeight="1">
      <c r="A13" s="1775" t="s">
        <v>2243</v>
      </c>
      <c r="B13" s="1775" t="s">
        <v>16</v>
      </c>
      <c r="C13" s="1775" t="s">
        <v>2284</v>
      </c>
      <c r="D13" s="1775" t="s">
        <v>2285</v>
      </c>
      <c r="E13" s="1775" t="s">
        <v>2286</v>
      </c>
      <c r="F13" s="1775" t="s">
        <v>570</v>
      </c>
      <c r="G13" s="1775" t="s">
        <v>2287</v>
      </c>
      <c r="H13" s="1775" t="s">
        <v>22</v>
      </c>
      <c r="I13" s="1775" t="s">
        <v>803</v>
      </c>
    </row>
    <row r="14" spans="1:9" ht="11.25" customHeight="1">
      <c r="A14" s="1775" t="s">
        <v>2243</v>
      </c>
      <c r="B14" s="1775" t="s">
        <v>16</v>
      </c>
      <c r="C14" s="1775" t="s">
        <v>2288</v>
      </c>
      <c r="D14" s="1775" t="s">
        <v>2289</v>
      </c>
      <c r="E14" s="1775" t="s">
        <v>2290</v>
      </c>
      <c r="F14" s="1775" t="s">
        <v>2291</v>
      </c>
      <c r="G14" s="1775" t="s">
        <v>22</v>
      </c>
      <c r="H14" s="1775" t="s">
        <v>22</v>
      </c>
      <c r="I14" s="1775" t="s">
        <v>803</v>
      </c>
    </row>
    <row r="15" spans="1:9" ht="11.25" customHeight="1">
      <c r="A15" s="1775" t="s">
        <v>2243</v>
      </c>
      <c r="B15" s="1775" t="s">
        <v>16</v>
      </c>
      <c r="C15" s="1775" t="s">
        <v>2292</v>
      </c>
      <c r="D15" s="1775" t="s">
        <v>2293</v>
      </c>
      <c r="E15" s="1775" t="s">
        <v>2294</v>
      </c>
      <c r="F15" s="1775" t="s">
        <v>2275</v>
      </c>
      <c r="G15" s="1775" t="s">
        <v>22</v>
      </c>
      <c r="H15" s="1775" t="s">
        <v>22</v>
      </c>
      <c r="I15" s="1775" t="s">
        <v>803</v>
      </c>
    </row>
    <row r="16" spans="1:9" ht="11.25" customHeight="1">
      <c r="A16" s="1775" t="s">
        <v>2243</v>
      </c>
      <c r="B16" s="1775" t="s">
        <v>16</v>
      </c>
      <c r="C16" s="1775" t="s">
        <v>2295</v>
      </c>
      <c r="D16" s="1775" t="s">
        <v>2296</v>
      </c>
      <c r="E16" s="1775" t="s">
        <v>2297</v>
      </c>
      <c r="F16" s="1775" t="s">
        <v>2247</v>
      </c>
      <c r="G16" s="1775" t="s">
        <v>2298</v>
      </c>
      <c r="H16" s="1775" t="s">
        <v>22</v>
      </c>
      <c r="I16" s="1775" t="s">
        <v>803</v>
      </c>
    </row>
    <row r="17" spans="1:9" ht="11.25" customHeight="1">
      <c r="A17" s="1775" t="s">
        <v>2243</v>
      </c>
      <c r="B17" s="1775" t="s">
        <v>16</v>
      </c>
      <c r="C17" s="1775" t="s">
        <v>2299</v>
      </c>
      <c r="D17" s="1775" t="s">
        <v>2300</v>
      </c>
      <c r="E17" s="1775" t="s">
        <v>2301</v>
      </c>
      <c r="F17" s="1775" t="s">
        <v>2247</v>
      </c>
      <c r="G17" s="1775" t="s">
        <v>2302</v>
      </c>
      <c r="H17" s="1775" t="s">
        <v>22</v>
      </c>
      <c r="I17" s="1775" t="s">
        <v>803</v>
      </c>
    </row>
    <row r="18" spans="1:9" ht="11.25" customHeight="1">
      <c r="A18" s="1775" t="s">
        <v>2243</v>
      </c>
      <c r="B18" s="1775" t="s">
        <v>16</v>
      </c>
      <c r="C18" s="1775" t="s">
        <v>2303</v>
      </c>
      <c r="D18" s="1775" t="s">
        <v>2304</v>
      </c>
      <c r="E18" s="1775" t="s">
        <v>2305</v>
      </c>
      <c r="F18" s="1775" t="s">
        <v>2306</v>
      </c>
      <c r="G18" s="1775" t="s">
        <v>2307</v>
      </c>
      <c r="H18" s="1775" t="s">
        <v>22</v>
      </c>
      <c r="I18" s="1775" t="s">
        <v>803</v>
      </c>
    </row>
    <row r="19" spans="1:9" ht="11.25" customHeight="1">
      <c r="A19" s="1775" t="s">
        <v>2243</v>
      </c>
      <c r="B19" s="1775" t="s">
        <v>16</v>
      </c>
      <c r="C19" s="1775" t="s">
        <v>2308</v>
      </c>
      <c r="D19" s="1775" t="s">
        <v>2309</v>
      </c>
      <c r="E19" s="1775" t="s">
        <v>2310</v>
      </c>
      <c r="F19" s="1775" t="s">
        <v>2247</v>
      </c>
      <c r="G19" s="1775" t="s">
        <v>2311</v>
      </c>
      <c r="H19" s="1775" t="s">
        <v>22</v>
      </c>
      <c r="I19" s="1775" t="s">
        <v>803</v>
      </c>
    </row>
    <row r="20" spans="1:9" ht="11.25" customHeight="1">
      <c r="A20" s="1775" t="s">
        <v>2243</v>
      </c>
      <c r="B20" s="1775" t="s">
        <v>16</v>
      </c>
      <c r="C20" s="1775" t="s">
        <v>2312</v>
      </c>
      <c r="D20" s="1775" t="s">
        <v>2313</v>
      </c>
      <c r="E20" s="1775" t="s">
        <v>2314</v>
      </c>
      <c r="F20" s="1775" t="s">
        <v>2252</v>
      </c>
      <c r="G20" s="1775" t="s">
        <v>2315</v>
      </c>
      <c r="H20" s="1775" t="s">
        <v>22</v>
      </c>
      <c r="I20" s="1775" t="s">
        <v>803</v>
      </c>
    </row>
    <row r="21" spans="1:9" ht="11.25" customHeight="1">
      <c r="A21" s="1775" t="s">
        <v>2243</v>
      </c>
      <c r="B21" s="1775" t="s">
        <v>16</v>
      </c>
      <c r="C21" s="1775" t="s">
        <v>2316</v>
      </c>
      <c r="D21" s="1775" t="s">
        <v>2317</v>
      </c>
      <c r="E21" s="1775" t="s">
        <v>2318</v>
      </c>
      <c r="F21" s="1775" t="s">
        <v>2247</v>
      </c>
      <c r="G21" s="1775" t="s">
        <v>2319</v>
      </c>
      <c r="H21" s="1775" t="s">
        <v>22</v>
      </c>
      <c r="I21" s="1775" t="s">
        <v>803</v>
      </c>
    </row>
    <row r="22" spans="1:9" ht="11.25" customHeight="1">
      <c r="A22" s="1775" t="s">
        <v>2243</v>
      </c>
      <c r="B22" s="1775" t="s">
        <v>16</v>
      </c>
      <c r="C22" s="1775" t="s">
        <v>2320</v>
      </c>
      <c r="D22" s="1775" t="s">
        <v>2321</v>
      </c>
      <c r="E22" s="1775" t="s">
        <v>2322</v>
      </c>
      <c r="F22" s="1775" t="s">
        <v>2247</v>
      </c>
      <c r="G22" s="1775" t="s">
        <v>2323</v>
      </c>
      <c r="H22" s="1775" t="s">
        <v>22</v>
      </c>
      <c r="I22" s="1775" t="s">
        <v>803</v>
      </c>
    </row>
    <row r="23" spans="1:9" ht="11.25" customHeight="1">
      <c r="A23" s="1775" t="s">
        <v>2243</v>
      </c>
      <c r="B23" s="1775" t="s">
        <v>16</v>
      </c>
      <c r="C23" s="1775" t="s">
        <v>2324</v>
      </c>
      <c r="D23" s="1775" t="s">
        <v>2325</v>
      </c>
      <c r="E23" s="1775" t="s">
        <v>2326</v>
      </c>
      <c r="F23" s="1775" t="s">
        <v>2327</v>
      </c>
      <c r="G23" s="1775" t="s">
        <v>22</v>
      </c>
      <c r="H23" s="1775" t="s">
        <v>22</v>
      </c>
      <c r="I23" s="1775" t="s">
        <v>803</v>
      </c>
    </row>
    <row r="24" spans="1:9" ht="11.25" customHeight="1">
      <c r="A24" s="1775" t="s">
        <v>2243</v>
      </c>
      <c r="B24" s="1775" t="s">
        <v>16</v>
      </c>
      <c r="C24" s="1775" t="s">
        <v>2328</v>
      </c>
      <c r="D24" s="1775" t="s">
        <v>2329</v>
      </c>
      <c r="E24" s="1775" t="s">
        <v>2330</v>
      </c>
      <c r="F24" s="1775" t="s">
        <v>2327</v>
      </c>
      <c r="G24" s="1775" t="s">
        <v>22</v>
      </c>
      <c r="H24" s="1775" t="s">
        <v>22</v>
      </c>
      <c r="I24" s="1775" t="s">
        <v>803</v>
      </c>
    </row>
    <row r="25" spans="1:9" ht="11.25" customHeight="1">
      <c r="A25" s="1775" t="s">
        <v>2243</v>
      </c>
      <c r="B25" s="1775" t="s">
        <v>16</v>
      </c>
      <c r="C25" s="1775" t="s">
        <v>2331</v>
      </c>
      <c r="D25" s="1775" t="s">
        <v>2332</v>
      </c>
      <c r="E25" s="1775" t="s">
        <v>2333</v>
      </c>
      <c r="F25" s="1775" t="s">
        <v>2247</v>
      </c>
      <c r="G25" s="1775" t="s">
        <v>2334</v>
      </c>
      <c r="H25" s="1775" t="s">
        <v>22</v>
      </c>
      <c r="I25" s="1775" t="s">
        <v>803</v>
      </c>
    </row>
    <row r="26" spans="1:9" ht="11.25" customHeight="1">
      <c r="A26" s="1775" t="s">
        <v>2243</v>
      </c>
      <c r="B26" s="1775" t="s">
        <v>16</v>
      </c>
      <c r="C26" s="1775" t="s">
        <v>2335</v>
      </c>
      <c r="D26" s="1775" t="s">
        <v>2336</v>
      </c>
      <c r="E26" s="1775" t="s">
        <v>2337</v>
      </c>
      <c r="F26" s="1775" t="s">
        <v>2247</v>
      </c>
      <c r="G26" s="1775" t="s">
        <v>2338</v>
      </c>
      <c r="H26" s="1775" t="s">
        <v>22</v>
      </c>
      <c r="I26" s="1775" t="s">
        <v>803</v>
      </c>
    </row>
    <row r="27" spans="1:9" ht="11.25" customHeight="1">
      <c r="A27" s="1775" t="s">
        <v>2243</v>
      </c>
      <c r="B27" s="1775" t="s">
        <v>16</v>
      </c>
      <c r="C27" s="1775" t="s">
        <v>2339</v>
      </c>
      <c r="D27" s="1775" t="s">
        <v>2340</v>
      </c>
      <c r="E27" s="1775" t="s">
        <v>2341</v>
      </c>
      <c r="F27" s="1775" t="s">
        <v>2342</v>
      </c>
      <c r="G27" s="1775" t="s">
        <v>2343</v>
      </c>
      <c r="H27" s="1775" t="s">
        <v>22</v>
      </c>
      <c r="I27" s="1775" t="s">
        <v>803</v>
      </c>
    </row>
    <row r="28" spans="1:9" ht="11.25" customHeight="1">
      <c r="A28" s="1775" t="s">
        <v>2243</v>
      </c>
      <c r="B28" s="1775" t="s">
        <v>16</v>
      </c>
      <c r="C28" s="1775" t="s">
        <v>2344</v>
      </c>
      <c r="D28" s="1775" t="s">
        <v>2345</v>
      </c>
      <c r="E28" s="1775" t="s">
        <v>2346</v>
      </c>
      <c r="F28" s="1775" t="s">
        <v>2327</v>
      </c>
      <c r="G28" s="1775" t="s">
        <v>22</v>
      </c>
      <c r="H28" s="1775" t="s">
        <v>22</v>
      </c>
      <c r="I28" s="1775" t="s">
        <v>803</v>
      </c>
    </row>
    <row r="29" spans="1:9" ht="11.25" customHeight="1">
      <c r="A29" s="1775" t="s">
        <v>2243</v>
      </c>
      <c r="B29" s="1775" t="s">
        <v>16</v>
      </c>
      <c r="C29" s="1775" t="s">
        <v>2347</v>
      </c>
      <c r="D29" s="1775" t="s">
        <v>2348</v>
      </c>
      <c r="E29" s="1775" t="s">
        <v>2349</v>
      </c>
      <c r="F29" s="1775" t="s">
        <v>2350</v>
      </c>
      <c r="G29" s="1775" t="s">
        <v>22</v>
      </c>
      <c r="H29" s="1775" t="s">
        <v>22</v>
      </c>
      <c r="I29" s="1775" t="s">
        <v>803</v>
      </c>
    </row>
    <row r="30" spans="1:9" ht="11.25" customHeight="1">
      <c r="A30" s="1775" t="s">
        <v>2243</v>
      </c>
      <c r="B30" s="1775" t="s">
        <v>16</v>
      </c>
      <c r="C30" s="1775" t="s">
        <v>2351</v>
      </c>
      <c r="D30" s="1775" t="s">
        <v>2352</v>
      </c>
      <c r="E30" s="1775" t="s">
        <v>2353</v>
      </c>
      <c r="F30" s="1775" t="s">
        <v>2247</v>
      </c>
      <c r="G30" s="1775" t="s">
        <v>2354</v>
      </c>
      <c r="H30" s="1775" t="s">
        <v>22</v>
      </c>
      <c r="I30" s="1775" t="s">
        <v>803</v>
      </c>
    </row>
    <row r="31" spans="1:9" ht="11.25" customHeight="1">
      <c r="A31" s="1775" t="s">
        <v>2243</v>
      </c>
      <c r="B31" s="1775" t="s">
        <v>16</v>
      </c>
      <c r="C31" s="1775" t="s">
        <v>2355</v>
      </c>
      <c r="D31" s="1775" t="s">
        <v>2356</v>
      </c>
      <c r="E31" s="1775" t="s">
        <v>2357</v>
      </c>
      <c r="F31" s="1775" t="s">
        <v>2247</v>
      </c>
      <c r="G31" s="1775" t="s">
        <v>2358</v>
      </c>
      <c r="H31" s="1775" t="s">
        <v>22</v>
      </c>
      <c r="I31" s="1775" t="s">
        <v>803</v>
      </c>
    </row>
    <row r="32" spans="1:9" ht="11.25" customHeight="1">
      <c r="A32" s="1775" t="s">
        <v>2243</v>
      </c>
      <c r="B32" s="1775" t="s">
        <v>16</v>
      </c>
      <c r="C32" s="1775" t="s">
        <v>2359</v>
      </c>
      <c r="D32" s="1775" t="s">
        <v>2360</v>
      </c>
      <c r="E32" s="1775" t="s">
        <v>2361</v>
      </c>
      <c r="F32" s="1775" t="s">
        <v>2342</v>
      </c>
      <c r="G32" s="1775" t="s">
        <v>2362</v>
      </c>
      <c r="H32" s="1775" t="s">
        <v>22</v>
      </c>
      <c r="I32" s="1775" t="s">
        <v>803</v>
      </c>
    </row>
    <row r="33" spans="1:9" ht="11.25" customHeight="1">
      <c r="A33" s="1775" t="s">
        <v>2243</v>
      </c>
      <c r="B33" s="1775" t="s">
        <v>16</v>
      </c>
      <c r="C33" s="1775" t="s">
        <v>2363</v>
      </c>
      <c r="D33" s="1775" t="s">
        <v>2364</v>
      </c>
      <c r="E33" s="1775" t="s">
        <v>2365</v>
      </c>
      <c r="F33" s="1775" t="s">
        <v>2342</v>
      </c>
      <c r="G33" s="1775" t="s">
        <v>2366</v>
      </c>
      <c r="H33" s="1775" t="s">
        <v>22</v>
      </c>
      <c r="I33" s="1775" t="s">
        <v>803</v>
      </c>
    </row>
    <row r="34" spans="1:9" ht="11.25" customHeight="1">
      <c r="A34" s="1775" t="s">
        <v>2243</v>
      </c>
      <c r="B34" s="1775" t="s">
        <v>16</v>
      </c>
      <c r="C34" s="1775" t="s">
        <v>2367</v>
      </c>
      <c r="D34" s="1775" t="s">
        <v>2368</v>
      </c>
      <c r="E34" s="1775" t="s">
        <v>2369</v>
      </c>
      <c r="F34" s="1775" t="s">
        <v>2370</v>
      </c>
      <c r="G34" s="1775" t="s">
        <v>2371</v>
      </c>
      <c r="H34" s="1775" t="s">
        <v>22</v>
      </c>
      <c r="I34" s="1775" t="s">
        <v>803</v>
      </c>
    </row>
    <row r="35" spans="1:9" ht="11.25" customHeight="1">
      <c r="A35" s="1775" t="s">
        <v>2243</v>
      </c>
      <c r="B35" s="1775" t="s">
        <v>16</v>
      </c>
      <c r="C35" s="1775" t="s">
        <v>2372</v>
      </c>
      <c r="D35" s="1775" t="s">
        <v>2373</v>
      </c>
      <c r="E35" s="1775" t="s">
        <v>2374</v>
      </c>
      <c r="F35" s="1775" t="s">
        <v>2306</v>
      </c>
      <c r="G35" s="1775" t="s">
        <v>22</v>
      </c>
      <c r="H35" s="1775" t="s">
        <v>22</v>
      </c>
      <c r="I35" s="1775" t="s">
        <v>803</v>
      </c>
    </row>
    <row r="36" spans="1:9" ht="11.25" customHeight="1">
      <c r="A36" s="1775" t="s">
        <v>2243</v>
      </c>
      <c r="B36" s="1775" t="s">
        <v>16</v>
      </c>
      <c r="C36" s="1775" t="s">
        <v>2375</v>
      </c>
      <c r="D36" s="1775" t="s">
        <v>2376</v>
      </c>
      <c r="E36" s="1775" t="s">
        <v>2377</v>
      </c>
      <c r="F36" s="1775" t="s">
        <v>2342</v>
      </c>
      <c r="G36" s="1775" t="s">
        <v>2362</v>
      </c>
      <c r="H36" s="1775" t="s">
        <v>22</v>
      </c>
      <c r="I36" s="1775" t="s">
        <v>803</v>
      </c>
    </row>
    <row r="37" spans="1:9" ht="11.25" customHeight="1">
      <c r="A37" s="1775" t="s">
        <v>2243</v>
      </c>
      <c r="B37" s="1775" t="s">
        <v>16</v>
      </c>
      <c r="C37" s="1775" t="s">
        <v>2378</v>
      </c>
      <c r="D37" s="1775" t="s">
        <v>2379</v>
      </c>
      <c r="E37" s="1775" t="s">
        <v>2380</v>
      </c>
      <c r="F37" s="1775" t="s">
        <v>2306</v>
      </c>
      <c r="G37" s="1775" t="s">
        <v>2381</v>
      </c>
      <c r="H37" s="1775" t="s">
        <v>22</v>
      </c>
      <c r="I37" s="1775" t="s">
        <v>803</v>
      </c>
    </row>
    <row r="38" spans="1:9" ht="11.25" customHeight="1">
      <c r="A38" s="1775" t="s">
        <v>2243</v>
      </c>
      <c r="B38" s="1775" t="s">
        <v>16</v>
      </c>
      <c r="C38" s="1775" t="s">
        <v>2382</v>
      </c>
      <c r="D38" s="1775" t="s">
        <v>2383</v>
      </c>
      <c r="E38" s="1775" t="s">
        <v>2384</v>
      </c>
      <c r="F38" s="1775" t="s">
        <v>2306</v>
      </c>
      <c r="G38" s="1775" t="s">
        <v>2385</v>
      </c>
      <c r="H38" s="1775" t="s">
        <v>22</v>
      </c>
      <c r="I38" s="1775" t="s">
        <v>803</v>
      </c>
    </row>
    <row r="39" spans="1:9" ht="11.25" customHeight="1">
      <c r="A39" s="1775" t="s">
        <v>2243</v>
      </c>
      <c r="B39" s="1775" t="s">
        <v>16</v>
      </c>
      <c r="C39" s="1775" t="s">
        <v>2386</v>
      </c>
      <c r="D39" s="1775" t="s">
        <v>2387</v>
      </c>
      <c r="E39" s="1775" t="s">
        <v>2388</v>
      </c>
      <c r="F39" s="1775" t="s">
        <v>2306</v>
      </c>
      <c r="G39" s="1775" t="s">
        <v>2389</v>
      </c>
      <c r="H39" s="1775" t="s">
        <v>22</v>
      </c>
      <c r="I39" s="1775" t="s">
        <v>803</v>
      </c>
    </row>
    <row r="40" spans="1:9" ht="11.25" customHeight="1">
      <c r="A40" s="1775" t="s">
        <v>2243</v>
      </c>
      <c r="B40" s="1775" t="s">
        <v>16</v>
      </c>
      <c r="C40" s="1775" t="s">
        <v>2390</v>
      </c>
      <c r="D40" s="1775" t="s">
        <v>2391</v>
      </c>
      <c r="E40" s="1775" t="s">
        <v>2392</v>
      </c>
      <c r="F40" s="1775" t="s">
        <v>2267</v>
      </c>
      <c r="G40" s="1775" t="s">
        <v>2393</v>
      </c>
      <c r="H40" s="1775" t="s">
        <v>22</v>
      </c>
      <c r="I40" s="1775" t="s">
        <v>803</v>
      </c>
    </row>
    <row r="41" spans="1:9" ht="11.25" customHeight="1">
      <c r="A41" s="1775" t="s">
        <v>2243</v>
      </c>
      <c r="B41" s="1775" t="s">
        <v>16</v>
      </c>
      <c r="C41" s="1775" t="s">
        <v>2394</v>
      </c>
      <c r="D41" s="1775" t="s">
        <v>2395</v>
      </c>
      <c r="E41" s="1775" t="s">
        <v>2396</v>
      </c>
      <c r="F41" s="1775" t="s">
        <v>2306</v>
      </c>
      <c r="G41" s="1775" t="s">
        <v>2397</v>
      </c>
      <c r="H41" s="1775" t="s">
        <v>22</v>
      </c>
      <c r="I41" s="1775" t="s">
        <v>803</v>
      </c>
    </row>
    <row r="42" spans="1:9" ht="11.25" customHeight="1">
      <c r="A42" s="1775" t="s">
        <v>2243</v>
      </c>
      <c r="B42" s="1775" t="s">
        <v>16</v>
      </c>
      <c r="C42" s="1775" t="s">
        <v>2398</v>
      </c>
      <c r="D42" s="1775" t="s">
        <v>2399</v>
      </c>
      <c r="E42" s="1775" t="s">
        <v>2400</v>
      </c>
      <c r="F42" s="1775" t="s">
        <v>2256</v>
      </c>
      <c r="G42" s="1775" t="s">
        <v>2401</v>
      </c>
      <c r="H42" s="1775" t="s">
        <v>22</v>
      </c>
      <c r="I42" s="1775" t="s">
        <v>803</v>
      </c>
    </row>
    <row r="43" spans="1:9" ht="11.25" customHeight="1">
      <c r="A43" s="1775" t="s">
        <v>2243</v>
      </c>
      <c r="B43" s="1775" t="s">
        <v>16</v>
      </c>
      <c r="C43" s="1775" t="s">
        <v>2402</v>
      </c>
      <c r="D43" s="1775" t="s">
        <v>2403</v>
      </c>
      <c r="E43" s="1775" t="s">
        <v>2404</v>
      </c>
      <c r="F43" s="1775" t="s">
        <v>2327</v>
      </c>
      <c r="G43" s="1775" t="s">
        <v>22</v>
      </c>
      <c r="H43" s="1775" t="s">
        <v>22</v>
      </c>
      <c r="I43" s="1775" t="s">
        <v>803</v>
      </c>
    </row>
    <row r="44" spans="1:9" ht="11.25" customHeight="1">
      <c r="A44" s="1775" t="s">
        <v>2243</v>
      </c>
      <c r="B44" s="1775" t="s">
        <v>16</v>
      </c>
      <c r="C44" s="1775" t="s">
        <v>2405</v>
      </c>
      <c r="D44" s="1775" t="s">
        <v>2406</v>
      </c>
      <c r="E44" s="1775" t="s">
        <v>2407</v>
      </c>
      <c r="F44" s="1775" t="s">
        <v>2247</v>
      </c>
      <c r="G44" s="1775" t="s">
        <v>2408</v>
      </c>
      <c r="H44" s="1775" t="s">
        <v>22</v>
      </c>
      <c r="I44" s="1775" t="s">
        <v>803</v>
      </c>
    </row>
    <row r="45" spans="1:9" ht="11.25" customHeight="1">
      <c r="A45" s="1775" t="s">
        <v>2243</v>
      </c>
      <c r="B45" s="1775" t="s">
        <v>16</v>
      </c>
      <c r="C45" s="1775" t="s">
        <v>2409</v>
      </c>
      <c r="D45" s="1775" t="s">
        <v>2410</v>
      </c>
      <c r="E45" s="1775" t="s">
        <v>2411</v>
      </c>
      <c r="F45" s="1775" t="s">
        <v>2412</v>
      </c>
      <c r="G45" s="1775" t="s">
        <v>22</v>
      </c>
      <c r="H45" s="1775" t="s">
        <v>22</v>
      </c>
      <c r="I45" s="1775" t="s">
        <v>803</v>
      </c>
    </row>
    <row r="46" spans="1:9" ht="11.25" customHeight="1">
      <c r="A46" s="1775" t="s">
        <v>2243</v>
      </c>
      <c r="B46" s="1775" t="s">
        <v>16</v>
      </c>
      <c r="C46" s="1775" t="s">
        <v>2413</v>
      </c>
      <c r="D46" s="1775" t="s">
        <v>2414</v>
      </c>
      <c r="E46" s="1775" t="s">
        <v>2415</v>
      </c>
      <c r="F46" s="1775" t="s">
        <v>2256</v>
      </c>
      <c r="G46" s="1775" t="s">
        <v>22</v>
      </c>
      <c r="H46" s="1775" t="s">
        <v>22</v>
      </c>
      <c r="I46" s="1775" t="s">
        <v>803</v>
      </c>
    </row>
    <row r="47" spans="1:9" ht="11.25" customHeight="1">
      <c r="A47" s="1775" t="s">
        <v>2243</v>
      </c>
      <c r="B47" s="1775" t="s">
        <v>16</v>
      </c>
      <c r="C47" s="1775" t="s">
        <v>2416</v>
      </c>
      <c r="D47" s="1775" t="s">
        <v>2417</v>
      </c>
      <c r="E47" s="1775" t="s">
        <v>2418</v>
      </c>
      <c r="F47" s="1775" t="s">
        <v>2252</v>
      </c>
      <c r="G47" s="1775" t="s">
        <v>2419</v>
      </c>
      <c r="H47" s="1775" t="s">
        <v>22</v>
      </c>
      <c r="I47" s="1775" t="s">
        <v>803</v>
      </c>
    </row>
    <row r="48" spans="1:9" ht="11.25" customHeight="1">
      <c r="A48" s="1775" t="s">
        <v>2243</v>
      </c>
      <c r="B48" s="1775" t="s">
        <v>16</v>
      </c>
      <c r="C48" s="1775" t="s">
        <v>2420</v>
      </c>
      <c r="D48" s="1775" t="s">
        <v>2421</v>
      </c>
      <c r="E48" s="1775" t="s">
        <v>2422</v>
      </c>
      <c r="F48" s="1775" t="s">
        <v>2267</v>
      </c>
      <c r="G48" s="1775" t="s">
        <v>22</v>
      </c>
      <c r="H48" s="1775" t="s">
        <v>22</v>
      </c>
      <c r="I48" s="1775" t="s">
        <v>803</v>
      </c>
    </row>
    <row r="49" spans="1:9" ht="11.25" customHeight="1">
      <c r="A49" s="1775" t="s">
        <v>2243</v>
      </c>
      <c r="B49" s="1775" t="s">
        <v>16</v>
      </c>
      <c r="C49" s="1775" t="s">
        <v>2423</v>
      </c>
      <c r="D49" s="1775" t="s">
        <v>2424</v>
      </c>
      <c r="E49" s="1775" t="s">
        <v>2425</v>
      </c>
      <c r="F49" s="1775" t="s">
        <v>2252</v>
      </c>
      <c r="G49" s="1775" t="s">
        <v>22</v>
      </c>
      <c r="H49" s="1775" t="s">
        <v>22</v>
      </c>
      <c r="I49" s="1775" t="s">
        <v>803</v>
      </c>
    </row>
    <row r="50" spans="1:9" ht="11.25" customHeight="1">
      <c r="A50" s="1775" t="s">
        <v>2243</v>
      </c>
      <c r="B50" s="1775" t="s">
        <v>16</v>
      </c>
      <c r="C50" s="1775" t="s">
        <v>2426</v>
      </c>
      <c r="D50" s="1775" t="s">
        <v>2427</v>
      </c>
      <c r="E50" s="1775" t="s">
        <v>2428</v>
      </c>
      <c r="F50" s="1775" t="s">
        <v>2342</v>
      </c>
      <c r="G50" s="1775" t="s">
        <v>2429</v>
      </c>
      <c r="H50" s="1775" t="s">
        <v>22</v>
      </c>
      <c r="I50" s="1775" t="s">
        <v>803</v>
      </c>
    </row>
    <row r="51" spans="1:9" ht="11.25" customHeight="1">
      <c r="A51" s="1775" t="s">
        <v>2243</v>
      </c>
      <c r="B51" s="1775" t="s">
        <v>16</v>
      </c>
      <c r="C51" s="1775" t="s">
        <v>2430</v>
      </c>
      <c r="D51" s="1775" t="s">
        <v>2431</v>
      </c>
      <c r="E51" s="1775" t="s">
        <v>2432</v>
      </c>
      <c r="F51" s="1775" t="s">
        <v>2306</v>
      </c>
      <c r="G51" s="1775" t="s">
        <v>2433</v>
      </c>
      <c r="H51" s="1775" t="s">
        <v>22</v>
      </c>
      <c r="I51" s="1775" t="s">
        <v>803</v>
      </c>
    </row>
    <row r="52" spans="1:9" ht="11.25" customHeight="1">
      <c r="A52" s="1775" t="s">
        <v>2243</v>
      </c>
      <c r="B52" s="1775" t="s">
        <v>16</v>
      </c>
      <c r="C52" s="1775" t="s">
        <v>2434</v>
      </c>
      <c r="D52" s="1775" t="s">
        <v>2435</v>
      </c>
      <c r="E52" s="1775" t="s">
        <v>2436</v>
      </c>
      <c r="F52" s="1775" t="s">
        <v>2306</v>
      </c>
      <c r="G52" s="1775" t="s">
        <v>2437</v>
      </c>
      <c r="H52" s="1775" t="s">
        <v>22</v>
      </c>
      <c r="I52" s="1775" t="s">
        <v>803</v>
      </c>
    </row>
    <row r="53" spans="1:9" ht="11.25" customHeight="1">
      <c r="A53" s="1775" t="s">
        <v>2243</v>
      </c>
      <c r="B53" s="1775" t="s">
        <v>16</v>
      </c>
      <c r="C53" s="1775" t="s">
        <v>2438</v>
      </c>
      <c r="D53" s="1775" t="s">
        <v>2439</v>
      </c>
      <c r="E53" s="1775" t="s">
        <v>2440</v>
      </c>
      <c r="F53" s="1775" t="s">
        <v>2441</v>
      </c>
      <c r="G53" s="1775" t="s">
        <v>22</v>
      </c>
      <c r="H53" s="1775" t="s">
        <v>22</v>
      </c>
      <c r="I53" s="1775" t="s">
        <v>803</v>
      </c>
    </row>
    <row r="54" spans="1:9" ht="11.25" customHeight="1">
      <c r="A54" s="1775" t="s">
        <v>2243</v>
      </c>
      <c r="B54" s="1775" t="s">
        <v>16</v>
      </c>
      <c r="C54" s="1775" t="s">
        <v>2442</v>
      </c>
      <c r="D54" s="1775" t="s">
        <v>2443</v>
      </c>
      <c r="E54" s="1775" t="s">
        <v>2444</v>
      </c>
      <c r="F54" s="1775" t="s">
        <v>2256</v>
      </c>
      <c r="G54" s="1775" t="s">
        <v>2362</v>
      </c>
      <c r="H54" s="1775" t="s">
        <v>22</v>
      </c>
      <c r="I54" s="1775" t="s">
        <v>803</v>
      </c>
    </row>
    <row r="55" spans="1:9" ht="11.25" customHeight="1">
      <c r="A55" s="1775" t="s">
        <v>2243</v>
      </c>
      <c r="B55" s="1775" t="s">
        <v>16</v>
      </c>
      <c r="C55" s="1775" t="s">
        <v>2445</v>
      </c>
      <c r="D55" s="1775" t="s">
        <v>2446</v>
      </c>
      <c r="E55" s="1775" t="s">
        <v>2447</v>
      </c>
      <c r="F55" s="1775" t="s">
        <v>2247</v>
      </c>
      <c r="G55" s="1775" t="s">
        <v>2448</v>
      </c>
      <c r="H55" s="1775" t="s">
        <v>22</v>
      </c>
      <c r="I55" s="1775" t="s">
        <v>803</v>
      </c>
    </row>
    <row r="56" spans="1:9" ht="11.25" customHeight="1">
      <c r="A56" s="1775" t="s">
        <v>2243</v>
      </c>
      <c r="B56" s="1775" t="s">
        <v>16</v>
      </c>
      <c r="C56" s="1775" t="s">
        <v>2449</v>
      </c>
      <c r="D56" s="1775" t="s">
        <v>2450</v>
      </c>
      <c r="E56" s="1775" t="s">
        <v>2451</v>
      </c>
      <c r="F56" s="1775" t="s">
        <v>2247</v>
      </c>
      <c r="G56" s="1775" t="s">
        <v>2452</v>
      </c>
      <c r="H56" s="1775" t="s">
        <v>22</v>
      </c>
      <c r="I56" s="1775" t="s">
        <v>803</v>
      </c>
    </row>
    <row r="57" spans="1:9" ht="11.25" customHeight="1">
      <c r="A57" s="1775" t="s">
        <v>2243</v>
      </c>
      <c r="B57" s="1775" t="s">
        <v>16</v>
      </c>
      <c r="C57" s="1775" t="s">
        <v>2453</v>
      </c>
      <c r="D57" s="1775" t="s">
        <v>2454</v>
      </c>
      <c r="E57" s="1775" t="s">
        <v>2455</v>
      </c>
      <c r="F57" s="1775" t="s">
        <v>2456</v>
      </c>
      <c r="G57" s="1775" t="s">
        <v>22</v>
      </c>
      <c r="H57" s="1775" t="s">
        <v>22</v>
      </c>
      <c r="I57" s="1775" t="s">
        <v>803</v>
      </c>
    </row>
    <row r="58" spans="1:9" ht="11.25" customHeight="1">
      <c r="A58" s="1775" t="s">
        <v>2243</v>
      </c>
      <c r="B58" s="1775" t="s">
        <v>16</v>
      </c>
      <c r="C58" s="1775" t="s">
        <v>2457</v>
      </c>
      <c r="D58" s="1775" t="s">
        <v>2458</v>
      </c>
      <c r="E58" s="1775" t="s">
        <v>2459</v>
      </c>
      <c r="F58" s="1775" t="s">
        <v>2460</v>
      </c>
      <c r="G58" s="1775" t="s">
        <v>2461</v>
      </c>
      <c r="H58" s="1775" t="s">
        <v>22</v>
      </c>
      <c r="I58" s="1775" t="s">
        <v>803</v>
      </c>
    </row>
    <row r="59" spans="1:9" ht="11.25" customHeight="1">
      <c r="A59" s="1775" t="s">
        <v>2243</v>
      </c>
      <c r="B59" s="1775" t="s">
        <v>16</v>
      </c>
      <c r="C59" s="1775" t="s">
        <v>2462</v>
      </c>
      <c r="D59" s="1775" t="s">
        <v>2463</v>
      </c>
      <c r="E59" s="1775" t="s">
        <v>2464</v>
      </c>
      <c r="F59" s="1775" t="s">
        <v>2306</v>
      </c>
      <c r="G59" s="1775" t="s">
        <v>22</v>
      </c>
      <c r="H59" s="1775" t="s">
        <v>22</v>
      </c>
      <c r="I59" s="1775" t="s">
        <v>803</v>
      </c>
    </row>
    <row r="60" spans="1:9" ht="11.25" customHeight="1">
      <c r="A60" s="1775" t="s">
        <v>2243</v>
      </c>
      <c r="B60" s="1775" t="s">
        <v>16</v>
      </c>
      <c r="C60" s="1775" t="s">
        <v>2465</v>
      </c>
      <c r="D60" s="1775" t="s">
        <v>2466</v>
      </c>
      <c r="E60" s="1775" t="s">
        <v>2467</v>
      </c>
      <c r="F60" s="1775" t="s">
        <v>2370</v>
      </c>
      <c r="G60" s="1775" t="s">
        <v>2468</v>
      </c>
      <c r="H60" s="1775" t="s">
        <v>22</v>
      </c>
      <c r="I60" s="1775" t="s">
        <v>803</v>
      </c>
    </row>
    <row r="61" spans="1:9" ht="11.25" customHeight="1">
      <c r="A61" s="1775" t="s">
        <v>2243</v>
      </c>
      <c r="B61" s="1775" t="s">
        <v>16</v>
      </c>
      <c r="C61" s="1775" t="s">
        <v>2469</v>
      </c>
      <c r="D61" s="1775" t="s">
        <v>2470</v>
      </c>
      <c r="E61" s="1775" t="s">
        <v>2471</v>
      </c>
      <c r="F61" s="1775" t="s">
        <v>2342</v>
      </c>
      <c r="G61" s="1775" t="s">
        <v>2472</v>
      </c>
      <c r="H61" s="1775" t="s">
        <v>22</v>
      </c>
      <c r="I61" s="1775" t="s">
        <v>803</v>
      </c>
    </row>
    <row r="62" spans="1:9" ht="11.25" customHeight="1">
      <c r="A62" s="1775" t="s">
        <v>2243</v>
      </c>
      <c r="B62" s="1775" t="s">
        <v>16</v>
      </c>
      <c r="C62" s="1775" t="s">
        <v>2473</v>
      </c>
      <c r="D62" s="1775" t="s">
        <v>2474</v>
      </c>
      <c r="E62" s="1775" t="s">
        <v>2475</v>
      </c>
      <c r="F62" s="1775" t="s">
        <v>2306</v>
      </c>
      <c r="G62" s="1775" t="s">
        <v>2476</v>
      </c>
      <c r="H62" s="1775" t="s">
        <v>22</v>
      </c>
      <c r="I62" s="1775" t="s">
        <v>803</v>
      </c>
    </row>
    <row r="63" spans="1:9" ht="11.25" customHeight="1">
      <c r="A63" s="1775" t="s">
        <v>2243</v>
      </c>
      <c r="B63" s="1775" t="s">
        <v>16</v>
      </c>
      <c r="C63" s="1775" t="s">
        <v>2477</v>
      </c>
      <c r="D63" s="1775" t="s">
        <v>2478</v>
      </c>
      <c r="E63" s="1775" t="s">
        <v>2479</v>
      </c>
      <c r="F63" s="1775" t="s">
        <v>2456</v>
      </c>
      <c r="G63" s="1775" t="s">
        <v>2362</v>
      </c>
      <c r="H63" s="1775" t="s">
        <v>22</v>
      </c>
      <c r="I63" s="1775" t="s">
        <v>803</v>
      </c>
    </row>
    <row r="64" spans="1:9" ht="11.25" customHeight="1">
      <c r="A64" s="1775" t="s">
        <v>2243</v>
      </c>
      <c r="B64" s="1775" t="s">
        <v>16</v>
      </c>
      <c r="C64" s="1775" t="s">
        <v>2480</v>
      </c>
      <c r="D64" s="1775" t="s">
        <v>2481</v>
      </c>
      <c r="E64" s="1775" t="s">
        <v>2482</v>
      </c>
      <c r="F64" s="1775" t="s">
        <v>2306</v>
      </c>
      <c r="G64" s="1775" t="s">
        <v>2483</v>
      </c>
      <c r="H64" s="1775" t="s">
        <v>22</v>
      </c>
      <c r="I64" s="1775" t="s">
        <v>803</v>
      </c>
    </row>
    <row r="65" spans="1:9" ht="11.25" customHeight="1">
      <c r="A65" s="1775" t="s">
        <v>2243</v>
      </c>
      <c r="B65" s="1775" t="s">
        <v>16</v>
      </c>
      <c r="C65" s="1775" t="s">
        <v>2484</v>
      </c>
      <c r="D65" s="1775" t="s">
        <v>2485</v>
      </c>
      <c r="E65" s="1775" t="s">
        <v>2486</v>
      </c>
      <c r="F65" s="1775" t="s">
        <v>2256</v>
      </c>
      <c r="G65" s="1775" t="s">
        <v>2487</v>
      </c>
      <c r="H65" s="1775" t="s">
        <v>22</v>
      </c>
      <c r="I65" s="1775" t="s">
        <v>803</v>
      </c>
    </row>
    <row r="66" spans="1:9" ht="11.25" customHeight="1">
      <c r="A66" s="1775" t="s">
        <v>2243</v>
      </c>
      <c r="B66" s="1775" t="s">
        <v>16</v>
      </c>
      <c r="C66" s="1775" t="s">
        <v>13</v>
      </c>
      <c r="D66" s="1775" t="s">
        <v>46</v>
      </c>
      <c r="E66" s="1775" t="s">
        <v>49</v>
      </c>
      <c r="F66" s="1775" t="s">
        <v>51</v>
      </c>
      <c r="G66" s="1775" t="s">
        <v>22</v>
      </c>
      <c r="H66" s="1775" t="s">
        <v>22</v>
      </c>
      <c r="I66" s="1775" t="s">
        <v>803</v>
      </c>
    </row>
    <row r="67" spans="1:9" ht="11.25" customHeight="1">
      <c r="A67" s="1775" t="s">
        <v>2243</v>
      </c>
      <c r="B67" s="1775" t="s">
        <v>16</v>
      </c>
      <c r="C67" s="1775" t="s">
        <v>2488</v>
      </c>
      <c r="D67" s="1775" t="s">
        <v>2489</v>
      </c>
      <c r="E67" s="1775" t="s">
        <v>2490</v>
      </c>
      <c r="F67" s="1775" t="s">
        <v>2275</v>
      </c>
      <c r="G67" s="1775" t="s">
        <v>22</v>
      </c>
      <c r="H67" s="1775" t="s">
        <v>22</v>
      </c>
      <c r="I67" s="1775" t="s">
        <v>803</v>
      </c>
    </row>
    <row r="68" spans="1:9" ht="11.25" customHeight="1">
      <c r="A68" s="1775" t="s">
        <v>2243</v>
      </c>
      <c r="B68" s="1775" t="s">
        <v>16</v>
      </c>
      <c r="C68" s="1775" t="s">
        <v>2491</v>
      </c>
      <c r="D68" s="1775" t="s">
        <v>2492</v>
      </c>
      <c r="E68" s="1775" t="s">
        <v>2493</v>
      </c>
      <c r="F68" s="1775" t="s">
        <v>2494</v>
      </c>
      <c r="G68" s="1775" t="s">
        <v>22</v>
      </c>
      <c r="H68" s="1775" t="s">
        <v>22</v>
      </c>
      <c r="I68" s="1775" t="s">
        <v>803</v>
      </c>
    </row>
    <row r="69" spans="1:9" ht="11.25" customHeight="1">
      <c r="A69" s="1775" t="s">
        <v>2243</v>
      </c>
      <c r="B69" s="1775" t="s">
        <v>16</v>
      </c>
      <c r="C69" s="1775" t="s">
        <v>2495</v>
      </c>
      <c r="D69" s="1775" t="s">
        <v>2496</v>
      </c>
      <c r="E69" s="1775" t="s">
        <v>2497</v>
      </c>
      <c r="F69" s="1775" t="s">
        <v>2498</v>
      </c>
      <c r="G69" s="1775" t="s">
        <v>22</v>
      </c>
      <c r="H69" s="1775" t="s">
        <v>22</v>
      </c>
      <c r="I69" s="1775" t="s">
        <v>803</v>
      </c>
    </row>
    <row r="70" spans="1:9" ht="11.25" customHeight="1">
      <c r="A70" s="1775" t="s">
        <v>2243</v>
      </c>
      <c r="B70" s="1775" t="s">
        <v>16</v>
      </c>
      <c r="C70" s="1775" t="s">
        <v>2244</v>
      </c>
      <c r="D70" s="1775" t="s">
        <v>2245</v>
      </c>
      <c r="E70" s="1775" t="s">
        <v>2246</v>
      </c>
      <c r="F70" s="1775" t="s">
        <v>2247</v>
      </c>
      <c r="G70" s="1775" t="s">
        <v>2248</v>
      </c>
      <c r="H70" s="1775" t="s">
        <v>22</v>
      </c>
      <c r="I70" s="1775" t="s">
        <v>889</v>
      </c>
    </row>
    <row r="71" spans="1:9" ht="11.25" customHeight="1">
      <c r="A71" s="1775" t="s">
        <v>2243</v>
      </c>
      <c r="B71" s="1775" t="s">
        <v>16</v>
      </c>
      <c r="C71" s="1775" t="s">
        <v>22</v>
      </c>
      <c r="D71" s="1775" t="s">
        <v>2268</v>
      </c>
      <c r="E71" s="1775" t="s">
        <v>2269</v>
      </c>
      <c r="F71" s="1775" t="s">
        <v>2252</v>
      </c>
      <c r="G71" s="1775" t="s">
        <v>22</v>
      </c>
      <c r="H71" s="1775" t="s">
        <v>22</v>
      </c>
      <c r="I71" s="1775" t="s">
        <v>889</v>
      </c>
    </row>
    <row r="72" spans="1:9" ht="11.25" customHeight="1">
      <c r="A72" s="1775" t="s">
        <v>2243</v>
      </c>
      <c r="B72" s="1775" t="s">
        <v>16</v>
      </c>
      <c r="C72" s="1775" t="s">
        <v>22</v>
      </c>
      <c r="D72" s="1775" t="s">
        <v>2270</v>
      </c>
      <c r="E72" s="1775" t="s">
        <v>2271</v>
      </c>
      <c r="F72" s="1775" t="s">
        <v>2252</v>
      </c>
      <c r="G72" s="1775" t="s">
        <v>22</v>
      </c>
      <c r="H72" s="1775" t="s">
        <v>22</v>
      </c>
      <c r="I72" s="1775" t="s">
        <v>889</v>
      </c>
    </row>
    <row r="73" spans="1:9" ht="11.25" customHeight="1">
      <c r="A73" s="1775" t="s">
        <v>2243</v>
      </c>
      <c r="B73" s="1775" t="s">
        <v>16</v>
      </c>
      <c r="C73" s="1775" t="s">
        <v>2272</v>
      </c>
      <c r="D73" s="1775" t="s">
        <v>2273</v>
      </c>
      <c r="E73" s="1775" t="s">
        <v>2274</v>
      </c>
      <c r="F73" s="1775" t="s">
        <v>2275</v>
      </c>
      <c r="G73" s="1775" t="s">
        <v>22</v>
      </c>
      <c r="H73" s="1775" t="s">
        <v>22</v>
      </c>
      <c r="I73" s="1775" t="s">
        <v>889</v>
      </c>
    </row>
    <row r="74" spans="1:9" ht="11.25" customHeight="1">
      <c r="A74" s="1775" t="s">
        <v>2243</v>
      </c>
      <c r="B74" s="1775" t="s">
        <v>16</v>
      </c>
      <c r="C74" s="1775" t="s">
        <v>2281</v>
      </c>
      <c r="D74" s="1775" t="s">
        <v>2282</v>
      </c>
      <c r="E74" s="1775" t="s">
        <v>2283</v>
      </c>
      <c r="F74" s="1775" t="s">
        <v>570</v>
      </c>
      <c r="G74" s="1775" t="s">
        <v>22</v>
      </c>
      <c r="H74" s="1775" t="s">
        <v>22</v>
      </c>
      <c r="I74" s="1775" t="s">
        <v>889</v>
      </c>
    </row>
    <row r="75" spans="1:9" ht="11.25" customHeight="1">
      <c r="A75" s="1775" t="s">
        <v>2243</v>
      </c>
      <c r="B75" s="1775" t="s">
        <v>16</v>
      </c>
      <c r="C75" s="1775" t="s">
        <v>2284</v>
      </c>
      <c r="D75" s="1775" t="s">
        <v>2285</v>
      </c>
      <c r="E75" s="1775" t="s">
        <v>2286</v>
      </c>
      <c r="F75" s="1775" t="s">
        <v>570</v>
      </c>
      <c r="G75" s="1775" t="s">
        <v>2287</v>
      </c>
      <c r="H75" s="1775" t="s">
        <v>22</v>
      </c>
      <c r="I75" s="1775" t="s">
        <v>889</v>
      </c>
    </row>
    <row r="76" spans="1:9" ht="11.25" customHeight="1">
      <c r="A76" s="1775" t="s">
        <v>2243</v>
      </c>
      <c r="B76" s="1775" t="s">
        <v>16</v>
      </c>
      <c r="C76" s="1775" t="s">
        <v>2288</v>
      </c>
      <c r="D76" s="1775" t="s">
        <v>2289</v>
      </c>
      <c r="E76" s="1775" t="s">
        <v>2290</v>
      </c>
      <c r="F76" s="1775" t="s">
        <v>2291</v>
      </c>
      <c r="G76" s="1775" t="s">
        <v>22</v>
      </c>
      <c r="H76" s="1775" t="s">
        <v>22</v>
      </c>
      <c r="I76" s="1775" t="s">
        <v>889</v>
      </c>
    </row>
    <row r="77" spans="1:9" ht="11.25" customHeight="1">
      <c r="A77" s="1775" t="s">
        <v>2243</v>
      </c>
      <c r="B77" s="1775" t="s">
        <v>16</v>
      </c>
      <c r="C77" s="1775" t="s">
        <v>2295</v>
      </c>
      <c r="D77" s="1775" t="s">
        <v>2296</v>
      </c>
      <c r="E77" s="1775" t="s">
        <v>2297</v>
      </c>
      <c r="F77" s="1775" t="s">
        <v>2247</v>
      </c>
      <c r="G77" s="1775" t="s">
        <v>2298</v>
      </c>
      <c r="H77" s="1775" t="s">
        <v>22</v>
      </c>
      <c r="I77" s="1775" t="s">
        <v>889</v>
      </c>
    </row>
    <row r="78" spans="1:9" ht="11.25" customHeight="1">
      <c r="A78" s="1775" t="s">
        <v>2243</v>
      </c>
      <c r="B78" s="1775" t="s">
        <v>16</v>
      </c>
      <c r="C78" s="1775" t="s">
        <v>2303</v>
      </c>
      <c r="D78" s="1775" t="s">
        <v>2304</v>
      </c>
      <c r="E78" s="1775" t="s">
        <v>2305</v>
      </c>
      <c r="F78" s="1775" t="s">
        <v>2306</v>
      </c>
      <c r="G78" s="1775" t="s">
        <v>2307</v>
      </c>
      <c r="H78" s="1775" t="s">
        <v>22</v>
      </c>
      <c r="I78" s="1775" t="s">
        <v>889</v>
      </c>
    </row>
    <row r="79" spans="1:9" ht="11.25" customHeight="1">
      <c r="A79" s="1775" t="s">
        <v>2243</v>
      </c>
      <c r="B79" s="1775" t="s">
        <v>16</v>
      </c>
      <c r="C79" s="1775" t="s">
        <v>2308</v>
      </c>
      <c r="D79" s="1775" t="s">
        <v>2309</v>
      </c>
      <c r="E79" s="1775" t="s">
        <v>2310</v>
      </c>
      <c r="F79" s="1775" t="s">
        <v>2247</v>
      </c>
      <c r="G79" s="1775" t="s">
        <v>2311</v>
      </c>
      <c r="H79" s="1775" t="s">
        <v>22</v>
      </c>
      <c r="I79" s="1775" t="s">
        <v>889</v>
      </c>
    </row>
    <row r="80" spans="1:9" ht="11.25" customHeight="1">
      <c r="A80" s="1775" t="s">
        <v>2243</v>
      </c>
      <c r="B80" s="1775" t="s">
        <v>16</v>
      </c>
      <c r="C80" s="1775" t="s">
        <v>2316</v>
      </c>
      <c r="D80" s="1775" t="s">
        <v>2317</v>
      </c>
      <c r="E80" s="1775" t="s">
        <v>2318</v>
      </c>
      <c r="F80" s="1775" t="s">
        <v>2247</v>
      </c>
      <c r="G80" s="1775" t="s">
        <v>2319</v>
      </c>
      <c r="H80" s="1775" t="s">
        <v>22</v>
      </c>
      <c r="I80" s="1775" t="s">
        <v>889</v>
      </c>
    </row>
    <row r="81" spans="1:9" ht="11.25" customHeight="1">
      <c r="A81" s="1775" t="s">
        <v>2243</v>
      </c>
      <c r="B81" s="1775" t="s">
        <v>16</v>
      </c>
      <c r="C81" s="1775" t="s">
        <v>2320</v>
      </c>
      <c r="D81" s="1775" t="s">
        <v>2321</v>
      </c>
      <c r="E81" s="1775" t="s">
        <v>2322</v>
      </c>
      <c r="F81" s="1775" t="s">
        <v>2247</v>
      </c>
      <c r="G81" s="1775" t="s">
        <v>2323</v>
      </c>
      <c r="H81" s="1775" t="s">
        <v>22</v>
      </c>
      <c r="I81" s="1775" t="s">
        <v>889</v>
      </c>
    </row>
    <row r="82" spans="1:9" ht="11.25" customHeight="1">
      <c r="A82" s="1775" t="s">
        <v>2243</v>
      </c>
      <c r="B82" s="1775" t="s">
        <v>16</v>
      </c>
      <c r="C82" s="1775" t="s">
        <v>2324</v>
      </c>
      <c r="D82" s="1775" t="s">
        <v>2325</v>
      </c>
      <c r="E82" s="1775" t="s">
        <v>2326</v>
      </c>
      <c r="F82" s="1775" t="s">
        <v>2327</v>
      </c>
      <c r="G82" s="1775" t="s">
        <v>22</v>
      </c>
      <c r="H82" s="1775" t="s">
        <v>22</v>
      </c>
      <c r="I82" s="1775" t="s">
        <v>889</v>
      </c>
    </row>
    <row r="83" spans="1:9" ht="11.25" customHeight="1">
      <c r="A83" s="1775" t="s">
        <v>2243</v>
      </c>
      <c r="B83" s="1775" t="s">
        <v>16</v>
      </c>
      <c r="C83" s="1775" t="s">
        <v>2339</v>
      </c>
      <c r="D83" s="1775" t="s">
        <v>2340</v>
      </c>
      <c r="E83" s="1775" t="s">
        <v>2341</v>
      </c>
      <c r="F83" s="1775" t="s">
        <v>2342</v>
      </c>
      <c r="G83" s="1775" t="s">
        <v>2343</v>
      </c>
      <c r="H83" s="1775" t="s">
        <v>22</v>
      </c>
      <c r="I83" s="1775" t="s">
        <v>889</v>
      </c>
    </row>
    <row r="84" spans="1:9" ht="11.25" customHeight="1">
      <c r="A84" s="1775" t="s">
        <v>2243</v>
      </c>
      <c r="B84" s="1775" t="s">
        <v>16</v>
      </c>
      <c r="C84" s="1775" t="s">
        <v>2351</v>
      </c>
      <c r="D84" s="1775" t="s">
        <v>2352</v>
      </c>
      <c r="E84" s="1775" t="s">
        <v>2353</v>
      </c>
      <c r="F84" s="1775" t="s">
        <v>2247</v>
      </c>
      <c r="G84" s="1775" t="s">
        <v>2354</v>
      </c>
      <c r="H84" s="1775" t="s">
        <v>22</v>
      </c>
      <c r="I84" s="1775" t="s">
        <v>889</v>
      </c>
    </row>
    <row r="85" spans="1:9" ht="11.25" customHeight="1">
      <c r="A85" s="1775" t="s">
        <v>2243</v>
      </c>
      <c r="B85" s="1775" t="s">
        <v>16</v>
      </c>
      <c r="C85" s="1775" t="s">
        <v>2355</v>
      </c>
      <c r="D85" s="1775" t="s">
        <v>2356</v>
      </c>
      <c r="E85" s="1775" t="s">
        <v>2357</v>
      </c>
      <c r="F85" s="1775" t="s">
        <v>2247</v>
      </c>
      <c r="G85" s="1775" t="s">
        <v>2358</v>
      </c>
      <c r="H85" s="1775" t="s">
        <v>22</v>
      </c>
      <c r="I85" s="1775" t="s">
        <v>889</v>
      </c>
    </row>
    <row r="86" spans="1:9" ht="11.25" customHeight="1">
      <c r="A86" s="1775" t="s">
        <v>2243</v>
      </c>
      <c r="B86" s="1775" t="s">
        <v>16</v>
      </c>
      <c r="C86" s="1775" t="s">
        <v>2359</v>
      </c>
      <c r="D86" s="1775" t="s">
        <v>2360</v>
      </c>
      <c r="E86" s="1775" t="s">
        <v>2361</v>
      </c>
      <c r="F86" s="1775" t="s">
        <v>2342</v>
      </c>
      <c r="G86" s="1775" t="s">
        <v>2362</v>
      </c>
      <c r="H86" s="1775" t="s">
        <v>22</v>
      </c>
      <c r="I86" s="1775" t="s">
        <v>889</v>
      </c>
    </row>
    <row r="87" spans="1:9" ht="11.25" customHeight="1">
      <c r="A87" s="1775" t="s">
        <v>2243</v>
      </c>
      <c r="B87" s="1775" t="s">
        <v>16</v>
      </c>
      <c r="C87" s="1775" t="s">
        <v>2363</v>
      </c>
      <c r="D87" s="1775" t="s">
        <v>2364</v>
      </c>
      <c r="E87" s="1775" t="s">
        <v>2365</v>
      </c>
      <c r="F87" s="1775" t="s">
        <v>2342</v>
      </c>
      <c r="G87" s="1775" t="s">
        <v>2366</v>
      </c>
      <c r="H87" s="1775" t="s">
        <v>22</v>
      </c>
      <c r="I87" s="1775" t="s">
        <v>889</v>
      </c>
    </row>
    <row r="88" spans="1:9" ht="11.25" customHeight="1">
      <c r="A88" s="1775" t="s">
        <v>2243</v>
      </c>
      <c r="B88" s="1775" t="s">
        <v>16</v>
      </c>
      <c r="C88" s="1775" t="s">
        <v>2367</v>
      </c>
      <c r="D88" s="1775" t="s">
        <v>2368</v>
      </c>
      <c r="E88" s="1775" t="s">
        <v>2369</v>
      </c>
      <c r="F88" s="1775" t="s">
        <v>2370</v>
      </c>
      <c r="G88" s="1775" t="s">
        <v>2371</v>
      </c>
      <c r="H88" s="1775" t="s">
        <v>22</v>
      </c>
      <c r="I88" s="1775" t="s">
        <v>889</v>
      </c>
    </row>
    <row r="89" spans="1:9" ht="11.25" customHeight="1">
      <c r="A89" s="1775" t="s">
        <v>2243</v>
      </c>
      <c r="B89" s="1775" t="s">
        <v>16</v>
      </c>
      <c r="C89" s="1775" t="s">
        <v>2372</v>
      </c>
      <c r="D89" s="1775" t="s">
        <v>2373</v>
      </c>
      <c r="E89" s="1775" t="s">
        <v>2374</v>
      </c>
      <c r="F89" s="1775" t="s">
        <v>2306</v>
      </c>
      <c r="G89" s="1775" t="s">
        <v>22</v>
      </c>
      <c r="H89" s="1775" t="s">
        <v>22</v>
      </c>
      <c r="I89" s="1775" t="s">
        <v>889</v>
      </c>
    </row>
    <row r="90" spans="1:9" ht="11.25" customHeight="1">
      <c r="A90" s="1775" t="s">
        <v>2243</v>
      </c>
      <c r="B90" s="1775" t="s">
        <v>16</v>
      </c>
      <c r="C90" s="1775" t="s">
        <v>2375</v>
      </c>
      <c r="D90" s="1775" t="s">
        <v>2376</v>
      </c>
      <c r="E90" s="1775" t="s">
        <v>2377</v>
      </c>
      <c r="F90" s="1775" t="s">
        <v>2342</v>
      </c>
      <c r="G90" s="1775" t="s">
        <v>2362</v>
      </c>
      <c r="H90" s="1775" t="s">
        <v>22</v>
      </c>
      <c r="I90" s="1775" t="s">
        <v>889</v>
      </c>
    </row>
    <row r="91" spans="1:9" ht="11.25" customHeight="1">
      <c r="A91" s="1775" t="s">
        <v>2243</v>
      </c>
      <c r="B91" s="1775" t="s">
        <v>16</v>
      </c>
      <c r="C91" s="1775" t="s">
        <v>2378</v>
      </c>
      <c r="D91" s="1775" t="s">
        <v>2379</v>
      </c>
      <c r="E91" s="1775" t="s">
        <v>2380</v>
      </c>
      <c r="F91" s="1775" t="s">
        <v>2306</v>
      </c>
      <c r="G91" s="1775" t="s">
        <v>2381</v>
      </c>
      <c r="H91" s="1775" t="s">
        <v>22</v>
      </c>
      <c r="I91" s="1775" t="s">
        <v>889</v>
      </c>
    </row>
    <row r="92" spans="1:9" ht="11.25" customHeight="1">
      <c r="A92" s="1775" t="s">
        <v>2243</v>
      </c>
      <c r="B92" s="1775" t="s">
        <v>16</v>
      </c>
      <c r="C92" s="1775" t="s">
        <v>2382</v>
      </c>
      <c r="D92" s="1775" t="s">
        <v>2383</v>
      </c>
      <c r="E92" s="1775" t="s">
        <v>2384</v>
      </c>
      <c r="F92" s="1775" t="s">
        <v>2306</v>
      </c>
      <c r="G92" s="1775" t="s">
        <v>2385</v>
      </c>
      <c r="H92" s="1775" t="s">
        <v>22</v>
      </c>
      <c r="I92" s="1775" t="s">
        <v>889</v>
      </c>
    </row>
    <row r="93" spans="1:9" ht="11.25" customHeight="1">
      <c r="A93" s="1775" t="s">
        <v>2243</v>
      </c>
      <c r="B93" s="1775" t="s">
        <v>16</v>
      </c>
      <c r="C93" s="1775" t="s">
        <v>2386</v>
      </c>
      <c r="D93" s="1775" t="s">
        <v>2387</v>
      </c>
      <c r="E93" s="1775" t="s">
        <v>2388</v>
      </c>
      <c r="F93" s="1775" t="s">
        <v>2306</v>
      </c>
      <c r="G93" s="1775" t="s">
        <v>2389</v>
      </c>
      <c r="H93" s="1775" t="s">
        <v>22</v>
      </c>
      <c r="I93" s="1775" t="s">
        <v>889</v>
      </c>
    </row>
    <row r="94" spans="1:9" ht="11.25" customHeight="1">
      <c r="A94" s="1775" t="s">
        <v>2243</v>
      </c>
      <c r="B94" s="1775" t="s">
        <v>16</v>
      </c>
      <c r="C94" s="1775" t="s">
        <v>2390</v>
      </c>
      <c r="D94" s="1775" t="s">
        <v>2391</v>
      </c>
      <c r="E94" s="1775" t="s">
        <v>2392</v>
      </c>
      <c r="F94" s="1775" t="s">
        <v>2267</v>
      </c>
      <c r="G94" s="1775" t="s">
        <v>2393</v>
      </c>
      <c r="H94" s="1775" t="s">
        <v>22</v>
      </c>
      <c r="I94" s="1775" t="s">
        <v>889</v>
      </c>
    </row>
    <row r="95" spans="1:9" ht="11.25" customHeight="1">
      <c r="A95" s="1775" t="s">
        <v>2243</v>
      </c>
      <c r="B95" s="1775" t="s">
        <v>16</v>
      </c>
      <c r="C95" s="1775" t="s">
        <v>2402</v>
      </c>
      <c r="D95" s="1775" t="s">
        <v>2403</v>
      </c>
      <c r="E95" s="1775" t="s">
        <v>2404</v>
      </c>
      <c r="F95" s="1775" t="s">
        <v>2327</v>
      </c>
      <c r="G95" s="1775" t="s">
        <v>22</v>
      </c>
      <c r="H95" s="1775" t="s">
        <v>22</v>
      </c>
      <c r="I95" s="1775" t="s">
        <v>889</v>
      </c>
    </row>
    <row r="96" spans="1:9" ht="11.25" customHeight="1">
      <c r="A96" s="1775" t="s">
        <v>2243</v>
      </c>
      <c r="B96" s="1775" t="s">
        <v>16</v>
      </c>
      <c r="C96" s="1775" t="s">
        <v>2405</v>
      </c>
      <c r="D96" s="1775" t="s">
        <v>2406</v>
      </c>
      <c r="E96" s="1775" t="s">
        <v>2407</v>
      </c>
      <c r="F96" s="1775" t="s">
        <v>2247</v>
      </c>
      <c r="G96" s="1775" t="s">
        <v>2408</v>
      </c>
      <c r="H96" s="1775" t="s">
        <v>22</v>
      </c>
      <c r="I96" s="1775" t="s">
        <v>889</v>
      </c>
    </row>
    <row r="97" spans="1:9" ht="11.25" customHeight="1">
      <c r="A97" s="1775" t="s">
        <v>2243</v>
      </c>
      <c r="B97" s="1775" t="s">
        <v>16</v>
      </c>
      <c r="C97" s="1775" t="s">
        <v>2416</v>
      </c>
      <c r="D97" s="1775" t="s">
        <v>2417</v>
      </c>
      <c r="E97" s="1775" t="s">
        <v>2418</v>
      </c>
      <c r="F97" s="1775" t="s">
        <v>2252</v>
      </c>
      <c r="G97" s="1775" t="s">
        <v>2419</v>
      </c>
      <c r="H97" s="1775" t="s">
        <v>22</v>
      </c>
      <c r="I97" s="1775" t="s">
        <v>889</v>
      </c>
    </row>
    <row r="98" spans="1:9" ht="11.25" customHeight="1">
      <c r="A98" s="1775" t="s">
        <v>2243</v>
      </c>
      <c r="B98" s="1775" t="s">
        <v>16</v>
      </c>
      <c r="C98" s="1775" t="s">
        <v>2420</v>
      </c>
      <c r="D98" s="1775" t="s">
        <v>2421</v>
      </c>
      <c r="E98" s="1775" t="s">
        <v>2422</v>
      </c>
      <c r="F98" s="1775" t="s">
        <v>2267</v>
      </c>
      <c r="G98" s="1775" t="s">
        <v>22</v>
      </c>
      <c r="H98" s="1775" t="s">
        <v>22</v>
      </c>
      <c r="I98" s="1775" t="s">
        <v>889</v>
      </c>
    </row>
    <row r="99" spans="1:9" ht="11.25" customHeight="1">
      <c r="A99" s="1775" t="s">
        <v>2243</v>
      </c>
      <c r="B99" s="1775" t="s">
        <v>16</v>
      </c>
      <c r="C99" s="1775" t="s">
        <v>2426</v>
      </c>
      <c r="D99" s="1775" t="s">
        <v>2427</v>
      </c>
      <c r="E99" s="1775" t="s">
        <v>2428</v>
      </c>
      <c r="F99" s="1775" t="s">
        <v>2342</v>
      </c>
      <c r="G99" s="1775" t="s">
        <v>2429</v>
      </c>
      <c r="H99" s="1775" t="s">
        <v>22</v>
      </c>
      <c r="I99" s="1775" t="s">
        <v>889</v>
      </c>
    </row>
    <row r="100" spans="1:9" ht="11.25" customHeight="1">
      <c r="A100" s="1775" t="s">
        <v>2243</v>
      </c>
      <c r="B100" s="1775" t="s">
        <v>16</v>
      </c>
      <c r="C100" s="1775" t="s">
        <v>2442</v>
      </c>
      <c r="D100" s="1775" t="s">
        <v>2443</v>
      </c>
      <c r="E100" s="1775" t="s">
        <v>2444</v>
      </c>
      <c r="F100" s="1775" t="s">
        <v>2256</v>
      </c>
      <c r="G100" s="1775" t="s">
        <v>2362</v>
      </c>
      <c r="H100" s="1775" t="s">
        <v>22</v>
      </c>
      <c r="I100" s="1775" t="s">
        <v>889</v>
      </c>
    </row>
    <row r="101" spans="1:9" ht="11.25" customHeight="1">
      <c r="A101" s="1775" t="s">
        <v>2243</v>
      </c>
      <c r="B101" s="1775" t="s">
        <v>16</v>
      </c>
      <c r="C101" s="1775" t="s">
        <v>2445</v>
      </c>
      <c r="D101" s="1775" t="s">
        <v>2446</v>
      </c>
      <c r="E101" s="1775" t="s">
        <v>2447</v>
      </c>
      <c r="F101" s="1775" t="s">
        <v>2247</v>
      </c>
      <c r="G101" s="1775" t="s">
        <v>2448</v>
      </c>
      <c r="H101" s="1775" t="s">
        <v>22</v>
      </c>
      <c r="I101" s="1775" t="s">
        <v>889</v>
      </c>
    </row>
    <row r="102" spans="1:9" ht="11.25" customHeight="1">
      <c r="A102" s="1775" t="s">
        <v>2243</v>
      </c>
      <c r="B102" s="1775" t="s">
        <v>16</v>
      </c>
      <c r="C102" s="1775" t="s">
        <v>2449</v>
      </c>
      <c r="D102" s="1775" t="s">
        <v>2450</v>
      </c>
      <c r="E102" s="1775" t="s">
        <v>2451</v>
      </c>
      <c r="F102" s="1775" t="s">
        <v>2247</v>
      </c>
      <c r="G102" s="1775" t="s">
        <v>2452</v>
      </c>
      <c r="H102" s="1775" t="s">
        <v>22</v>
      </c>
      <c r="I102" s="1775" t="s">
        <v>889</v>
      </c>
    </row>
    <row r="103" spans="1:9" ht="11.25" customHeight="1">
      <c r="A103" s="1775" t="s">
        <v>2243</v>
      </c>
      <c r="B103" s="1775" t="s">
        <v>16</v>
      </c>
      <c r="C103" s="1775" t="s">
        <v>2457</v>
      </c>
      <c r="D103" s="1775" t="s">
        <v>2458</v>
      </c>
      <c r="E103" s="1775" t="s">
        <v>2459</v>
      </c>
      <c r="F103" s="1775" t="s">
        <v>2460</v>
      </c>
      <c r="G103" s="1775" t="s">
        <v>2461</v>
      </c>
      <c r="H103" s="1775" t="s">
        <v>22</v>
      </c>
      <c r="I103" s="1775" t="s">
        <v>889</v>
      </c>
    </row>
    <row r="104" spans="1:9" ht="11.25" customHeight="1">
      <c r="A104" s="1775" t="s">
        <v>2243</v>
      </c>
      <c r="B104" s="1775" t="s">
        <v>16</v>
      </c>
      <c r="C104" s="1775" t="s">
        <v>2462</v>
      </c>
      <c r="D104" s="1775" t="s">
        <v>2463</v>
      </c>
      <c r="E104" s="1775" t="s">
        <v>2464</v>
      </c>
      <c r="F104" s="1775" t="s">
        <v>2306</v>
      </c>
      <c r="G104" s="1775" t="s">
        <v>22</v>
      </c>
      <c r="H104" s="1775" t="s">
        <v>22</v>
      </c>
      <c r="I104" s="1775" t="s">
        <v>889</v>
      </c>
    </row>
    <row r="105" spans="1:9" ht="11.25" customHeight="1">
      <c r="A105" s="1775" t="s">
        <v>2243</v>
      </c>
      <c r="B105" s="1775" t="s">
        <v>16</v>
      </c>
      <c r="C105" s="1775" t="s">
        <v>2469</v>
      </c>
      <c r="D105" s="1775" t="s">
        <v>2470</v>
      </c>
      <c r="E105" s="1775" t="s">
        <v>2471</v>
      </c>
      <c r="F105" s="1775" t="s">
        <v>2342</v>
      </c>
      <c r="G105" s="1775" t="s">
        <v>2472</v>
      </c>
      <c r="H105" s="1775" t="s">
        <v>22</v>
      </c>
      <c r="I105" s="1775" t="s">
        <v>889</v>
      </c>
    </row>
    <row r="106" spans="1:9" ht="11.25" customHeight="1">
      <c r="A106" s="1775" t="s">
        <v>2243</v>
      </c>
      <c r="B106" s="1775" t="s">
        <v>16</v>
      </c>
      <c r="C106" s="1775" t="s">
        <v>2473</v>
      </c>
      <c r="D106" s="1775" t="s">
        <v>2474</v>
      </c>
      <c r="E106" s="1775" t="s">
        <v>2475</v>
      </c>
      <c r="F106" s="1775" t="s">
        <v>2306</v>
      </c>
      <c r="G106" s="1775" t="s">
        <v>2476</v>
      </c>
      <c r="H106" s="1775" t="s">
        <v>22</v>
      </c>
      <c r="I106" s="1775" t="s">
        <v>889</v>
      </c>
    </row>
    <row r="107" spans="1:9" ht="11.25" customHeight="1">
      <c r="A107" s="1775" t="s">
        <v>2243</v>
      </c>
      <c r="B107" s="1775" t="s">
        <v>16</v>
      </c>
      <c r="C107" s="1775" t="s">
        <v>2477</v>
      </c>
      <c r="D107" s="1775" t="s">
        <v>2478</v>
      </c>
      <c r="E107" s="1775" t="s">
        <v>2479</v>
      </c>
      <c r="F107" s="1775" t="s">
        <v>2456</v>
      </c>
      <c r="G107" s="1775" t="s">
        <v>2362</v>
      </c>
      <c r="H107" s="1775" t="s">
        <v>22</v>
      </c>
      <c r="I107" s="1775" t="s">
        <v>889</v>
      </c>
    </row>
    <row r="108" spans="1:9" ht="11.25" customHeight="1">
      <c r="A108" s="1775" t="s">
        <v>2243</v>
      </c>
      <c r="B108" s="1775" t="s">
        <v>16</v>
      </c>
      <c r="C108" s="1775" t="s">
        <v>2480</v>
      </c>
      <c r="D108" s="1775" t="s">
        <v>2481</v>
      </c>
      <c r="E108" s="1775" t="s">
        <v>2482</v>
      </c>
      <c r="F108" s="1775" t="s">
        <v>2306</v>
      </c>
      <c r="G108" s="1775" t="s">
        <v>2483</v>
      </c>
      <c r="H108" s="1775" t="s">
        <v>22</v>
      </c>
      <c r="I108" s="1775" t="s">
        <v>889</v>
      </c>
    </row>
    <row r="109" spans="1:9" ht="11.25" customHeight="1">
      <c r="A109" s="1775" t="s">
        <v>2243</v>
      </c>
      <c r="B109" s="1775" t="s">
        <v>16</v>
      </c>
      <c r="C109" s="1775" t="s">
        <v>2484</v>
      </c>
      <c r="D109" s="1775" t="s">
        <v>2485</v>
      </c>
      <c r="E109" s="1775" t="s">
        <v>2486</v>
      </c>
      <c r="F109" s="1775" t="s">
        <v>2256</v>
      </c>
      <c r="G109" s="1775" t="s">
        <v>2487</v>
      </c>
      <c r="H109" s="1775" t="s">
        <v>22</v>
      </c>
      <c r="I109" s="1775" t="s">
        <v>889</v>
      </c>
    </row>
    <row r="110" spans="1:9" ht="11.25" customHeight="1">
      <c r="A110" s="1775" t="s">
        <v>2243</v>
      </c>
      <c r="B110" s="1775" t="s">
        <v>16</v>
      </c>
      <c r="C110" s="1775" t="s">
        <v>13</v>
      </c>
      <c r="D110" s="1775" t="s">
        <v>46</v>
      </c>
      <c r="E110" s="1775" t="s">
        <v>49</v>
      </c>
      <c r="F110" s="1775" t="s">
        <v>51</v>
      </c>
      <c r="G110" s="1775" t="s">
        <v>22</v>
      </c>
      <c r="H110" s="1775" t="s">
        <v>22</v>
      </c>
      <c r="I110" s="1775" t="s">
        <v>889</v>
      </c>
    </row>
    <row r="111" spans="1:9" ht="11.25" customHeight="1">
      <c r="A111" s="1775" t="s">
        <v>2243</v>
      </c>
      <c r="B111" s="1775" t="s">
        <v>16</v>
      </c>
      <c r="C111" s="1775" t="s">
        <v>2488</v>
      </c>
      <c r="D111" s="1775" t="s">
        <v>2489</v>
      </c>
      <c r="E111" s="1775" t="s">
        <v>2490</v>
      </c>
      <c r="F111" s="1775" t="s">
        <v>2275</v>
      </c>
      <c r="G111" s="1775" t="s">
        <v>22</v>
      </c>
      <c r="H111" s="1775" t="s">
        <v>22</v>
      </c>
      <c r="I111" s="1775" t="s">
        <v>889</v>
      </c>
    </row>
    <row r="112" spans="1:9" ht="11.25" customHeight="1">
      <c r="A112" s="1775" t="s">
        <v>2243</v>
      </c>
      <c r="B112" s="1775" t="s">
        <v>16</v>
      </c>
      <c r="C112" s="1775" t="s">
        <v>2491</v>
      </c>
      <c r="D112" s="1775" t="s">
        <v>2492</v>
      </c>
      <c r="E112" s="1775" t="s">
        <v>2493</v>
      </c>
      <c r="F112" s="1775" t="s">
        <v>2494</v>
      </c>
      <c r="G112" s="1775" t="s">
        <v>22</v>
      </c>
      <c r="H112" s="1775" t="s">
        <v>22</v>
      </c>
      <c r="I112" s="1775" t="s">
        <v>889</v>
      </c>
    </row>
    <row r="113" spans="1:9" ht="11.25" customHeight="1">
      <c r="A113" s="1775" t="s">
        <v>2243</v>
      </c>
      <c r="B113" s="1775" t="s">
        <v>16</v>
      </c>
      <c r="C113" s="1775" t="s">
        <v>2249</v>
      </c>
      <c r="D113" s="1775" t="s">
        <v>2250</v>
      </c>
      <c r="E113" s="1775" t="s">
        <v>2251</v>
      </c>
      <c r="F113" s="1775" t="s">
        <v>2252</v>
      </c>
      <c r="G113" s="1775" t="s">
        <v>22</v>
      </c>
      <c r="H113" s="1775" t="s">
        <v>22</v>
      </c>
      <c r="I113" s="1775" t="s">
        <v>849</v>
      </c>
    </row>
    <row r="114" spans="1:9" ht="11.25" customHeight="1">
      <c r="A114" s="1775" t="s">
        <v>2243</v>
      </c>
      <c r="B114" s="1775" t="s">
        <v>16</v>
      </c>
      <c r="C114" s="1775" t="s">
        <v>2499</v>
      </c>
      <c r="D114" s="1775" t="s">
        <v>2500</v>
      </c>
      <c r="E114" s="1775" t="s">
        <v>2290</v>
      </c>
      <c r="F114" s="1775" t="s">
        <v>2252</v>
      </c>
      <c r="G114" s="1775" t="s">
        <v>22</v>
      </c>
      <c r="H114" s="1775" t="s">
        <v>22</v>
      </c>
      <c r="I114" s="1775" t="s">
        <v>849</v>
      </c>
    </row>
    <row r="115" spans="1:9" ht="11.25" customHeight="1">
      <c r="A115" s="1775" t="s">
        <v>2243</v>
      </c>
      <c r="B115" s="1775" t="s">
        <v>16</v>
      </c>
      <c r="C115" s="1775" t="s">
        <v>22</v>
      </c>
      <c r="D115" s="1775" t="s">
        <v>2268</v>
      </c>
      <c r="E115" s="1775" t="s">
        <v>2269</v>
      </c>
      <c r="F115" s="1775" t="s">
        <v>2252</v>
      </c>
      <c r="G115" s="1775" t="s">
        <v>22</v>
      </c>
      <c r="H115" s="1775" t="s">
        <v>22</v>
      </c>
      <c r="I115" s="1775" t="s">
        <v>849</v>
      </c>
    </row>
    <row r="116" spans="1:9" ht="11.25" customHeight="1">
      <c r="A116" s="1775" t="s">
        <v>2243</v>
      </c>
      <c r="B116" s="1775" t="s">
        <v>16</v>
      </c>
      <c r="C116" s="1775" t="s">
        <v>22</v>
      </c>
      <c r="D116" s="1775" t="s">
        <v>2270</v>
      </c>
      <c r="E116" s="1775" t="s">
        <v>2271</v>
      </c>
      <c r="F116" s="1775" t="s">
        <v>2252</v>
      </c>
      <c r="G116" s="1775" t="s">
        <v>22</v>
      </c>
      <c r="H116" s="1775" t="s">
        <v>22</v>
      </c>
      <c r="I116" s="1775" t="s">
        <v>849</v>
      </c>
    </row>
    <row r="117" spans="1:9" ht="11.25" customHeight="1">
      <c r="A117" s="1775" t="s">
        <v>2243</v>
      </c>
      <c r="B117" s="1775" t="s">
        <v>16</v>
      </c>
      <c r="C117" s="1775" t="s">
        <v>2272</v>
      </c>
      <c r="D117" s="1775" t="s">
        <v>2273</v>
      </c>
      <c r="E117" s="1775" t="s">
        <v>2274</v>
      </c>
      <c r="F117" s="1775" t="s">
        <v>2275</v>
      </c>
      <c r="G117" s="1775" t="s">
        <v>22</v>
      </c>
      <c r="H117" s="1775" t="s">
        <v>22</v>
      </c>
      <c r="I117" s="1775" t="s">
        <v>849</v>
      </c>
    </row>
    <row r="118" spans="1:9" ht="11.25" customHeight="1">
      <c r="A118" s="1775" t="s">
        <v>2243</v>
      </c>
      <c r="B118" s="1775" t="s">
        <v>16</v>
      </c>
      <c r="C118" s="1775" t="s">
        <v>2501</v>
      </c>
      <c r="D118" s="1775" t="s">
        <v>2502</v>
      </c>
      <c r="E118" s="1775" t="s">
        <v>2503</v>
      </c>
      <c r="F118" s="1775" t="s">
        <v>2247</v>
      </c>
      <c r="G118" s="1775" t="s">
        <v>2504</v>
      </c>
      <c r="H118" s="1775" t="s">
        <v>22</v>
      </c>
      <c r="I118" s="1775" t="s">
        <v>849</v>
      </c>
    </row>
    <row r="119" spans="1:9" ht="11.25" customHeight="1">
      <c r="A119" s="1775" t="s">
        <v>2243</v>
      </c>
      <c r="B119" s="1775" t="s">
        <v>16</v>
      </c>
      <c r="C119" s="1775" t="s">
        <v>2505</v>
      </c>
      <c r="D119" s="1775" t="s">
        <v>2506</v>
      </c>
      <c r="E119" s="1775" t="s">
        <v>2507</v>
      </c>
      <c r="F119" s="1775" t="s">
        <v>2370</v>
      </c>
      <c r="G119" s="1775" t="s">
        <v>22</v>
      </c>
      <c r="H119" s="1775" t="s">
        <v>22</v>
      </c>
      <c r="I119" s="1775" t="s">
        <v>849</v>
      </c>
    </row>
    <row r="120" spans="1:9" ht="11.25" customHeight="1">
      <c r="A120" s="1775" t="s">
        <v>2243</v>
      </c>
      <c r="B120" s="1775" t="s">
        <v>16</v>
      </c>
      <c r="C120" s="1775" t="s">
        <v>2288</v>
      </c>
      <c r="D120" s="1775" t="s">
        <v>2289</v>
      </c>
      <c r="E120" s="1775" t="s">
        <v>2290</v>
      </c>
      <c r="F120" s="1775" t="s">
        <v>2291</v>
      </c>
      <c r="G120" s="1775" t="s">
        <v>22</v>
      </c>
      <c r="H120" s="1775" t="s">
        <v>22</v>
      </c>
      <c r="I120" s="1775" t="s">
        <v>849</v>
      </c>
    </row>
    <row r="121" spans="1:9" ht="11.25" customHeight="1">
      <c r="A121" s="1775" t="s">
        <v>2243</v>
      </c>
      <c r="B121" s="1775" t="s">
        <v>16</v>
      </c>
      <c r="C121" s="1775" t="s">
        <v>2508</v>
      </c>
      <c r="D121" s="1775" t="s">
        <v>2509</v>
      </c>
      <c r="E121" s="1775" t="s">
        <v>2510</v>
      </c>
      <c r="F121" s="1775" t="s">
        <v>2275</v>
      </c>
      <c r="G121" s="1775" t="s">
        <v>22</v>
      </c>
      <c r="H121" s="1775" t="s">
        <v>22</v>
      </c>
      <c r="I121" s="1775" t="s">
        <v>849</v>
      </c>
    </row>
    <row r="122" spans="1:9" ht="11.25" customHeight="1">
      <c r="A122" s="1775" t="s">
        <v>2243</v>
      </c>
      <c r="B122" s="1775" t="s">
        <v>16</v>
      </c>
      <c r="C122" s="1775" t="s">
        <v>2511</v>
      </c>
      <c r="D122" s="1775" t="s">
        <v>2512</v>
      </c>
      <c r="E122" s="1775" t="s">
        <v>2513</v>
      </c>
      <c r="F122" s="1775" t="s">
        <v>2275</v>
      </c>
      <c r="G122" s="1775" t="s">
        <v>22</v>
      </c>
      <c r="H122" s="1775" t="s">
        <v>22</v>
      </c>
      <c r="I122" s="1775" t="s">
        <v>849</v>
      </c>
    </row>
    <row r="123" spans="1:9" ht="11.25" customHeight="1">
      <c r="A123" s="1775" t="s">
        <v>2243</v>
      </c>
      <c r="B123" s="1775" t="s">
        <v>16</v>
      </c>
      <c r="C123" s="1775" t="s">
        <v>2292</v>
      </c>
      <c r="D123" s="1775" t="s">
        <v>2293</v>
      </c>
      <c r="E123" s="1775" t="s">
        <v>2294</v>
      </c>
      <c r="F123" s="1775" t="s">
        <v>2275</v>
      </c>
      <c r="G123" s="1775" t="s">
        <v>22</v>
      </c>
      <c r="H123" s="1775" t="s">
        <v>22</v>
      </c>
      <c r="I123" s="1775" t="s">
        <v>849</v>
      </c>
    </row>
    <row r="124" spans="1:9" ht="11.25" customHeight="1">
      <c r="A124" s="1775" t="s">
        <v>2243</v>
      </c>
      <c r="B124" s="1775" t="s">
        <v>16</v>
      </c>
      <c r="C124" s="1775" t="s">
        <v>2514</v>
      </c>
      <c r="D124" s="1775" t="s">
        <v>2515</v>
      </c>
      <c r="E124" s="1775" t="s">
        <v>2516</v>
      </c>
      <c r="F124" s="1775" t="s">
        <v>2342</v>
      </c>
      <c r="G124" s="1775" t="s">
        <v>2517</v>
      </c>
      <c r="H124" s="1775" t="s">
        <v>22</v>
      </c>
      <c r="I124" s="1775" t="s">
        <v>849</v>
      </c>
    </row>
    <row r="125" spans="1:9" ht="11.25" customHeight="1">
      <c r="A125" s="1775" t="s">
        <v>2243</v>
      </c>
      <c r="B125" s="1775" t="s">
        <v>16</v>
      </c>
      <c r="C125" s="1775" t="s">
        <v>2518</v>
      </c>
      <c r="D125" s="1775" t="s">
        <v>2519</v>
      </c>
      <c r="E125" s="1775" t="s">
        <v>2520</v>
      </c>
      <c r="F125" s="1775" t="s">
        <v>2306</v>
      </c>
      <c r="G125" s="1775" t="s">
        <v>2521</v>
      </c>
      <c r="H125" s="1775" t="s">
        <v>22</v>
      </c>
      <c r="I125" s="1775" t="s">
        <v>849</v>
      </c>
    </row>
    <row r="126" spans="1:9" ht="11.25" customHeight="1">
      <c r="A126" s="1775" t="s">
        <v>2243</v>
      </c>
      <c r="B126" s="1775" t="s">
        <v>16</v>
      </c>
      <c r="C126" s="1775" t="s">
        <v>2295</v>
      </c>
      <c r="D126" s="1775" t="s">
        <v>2296</v>
      </c>
      <c r="E126" s="1775" t="s">
        <v>2297</v>
      </c>
      <c r="F126" s="1775" t="s">
        <v>2247</v>
      </c>
      <c r="G126" s="1775" t="s">
        <v>2298</v>
      </c>
      <c r="H126" s="1775" t="s">
        <v>22</v>
      </c>
      <c r="I126" s="1775" t="s">
        <v>849</v>
      </c>
    </row>
    <row r="127" spans="1:9" ht="11.25" customHeight="1">
      <c r="A127" s="1775" t="s">
        <v>2243</v>
      </c>
      <c r="B127" s="1775" t="s">
        <v>16</v>
      </c>
      <c r="C127" s="1775" t="s">
        <v>2299</v>
      </c>
      <c r="D127" s="1775" t="s">
        <v>2300</v>
      </c>
      <c r="E127" s="1775" t="s">
        <v>2301</v>
      </c>
      <c r="F127" s="1775" t="s">
        <v>2247</v>
      </c>
      <c r="G127" s="1775" t="s">
        <v>2302</v>
      </c>
      <c r="H127" s="1775" t="s">
        <v>22</v>
      </c>
      <c r="I127" s="1775" t="s">
        <v>849</v>
      </c>
    </row>
    <row r="128" spans="1:9" ht="11.25" customHeight="1">
      <c r="A128" s="1775" t="s">
        <v>2243</v>
      </c>
      <c r="B128" s="1775" t="s">
        <v>16</v>
      </c>
      <c r="C128" s="1775" t="s">
        <v>2303</v>
      </c>
      <c r="D128" s="1775" t="s">
        <v>2304</v>
      </c>
      <c r="E128" s="1775" t="s">
        <v>2305</v>
      </c>
      <c r="F128" s="1775" t="s">
        <v>2306</v>
      </c>
      <c r="G128" s="1775" t="s">
        <v>2307</v>
      </c>
      <c r="H128" s="1775" t="s">
        <v>22</v>
      </c>
      <c r="I128" s="1775" t="s">
        <v>849</v>
      </c>
    </row>
    <row r="129" spans="1:9" ht="11.25" customHeight="1">
      <c r="A129" s="1775" t="s">
        <v>2243</v>
      </c>
      <c r="B129" s="1775" t="s">
        <v>16</v>
      </c>
      <c r="C129" s="1775" t="s">
        <v>2308</v>
      </c>
      <c r="D129" s="1775" t="s">
        <v>2309</v>
      </c>
      <c r="E129" s="1775" t="s">
        <v>2310</v>
      </c>
      <c r="F129" s="1775" t="s">
        <v>2247</v>
      </c>
      <c r="G129" s="1775" t="s">
        <v>2311</v>
      </c>
      <c r="H129" s="1775" t="s">
        <v>22</v>
      </c>
      <c r="I129" s="1775" t="s">
        <v>849</v>
      </c>
    </row>
    <row r="130" spans="1:9" ht="11.25" customHeight="1">
      <c r="A130" s="1775" t="s">
        <v>2243</v>
      </c>
      <c r="B130" s="1775" t="s">
        <v>16</v>
      </c>
      <c r="C130" s="1775" t="s">
        <v>2312</v>
      </c>
      <c r="D130" s="1775" t="s">
        <v>2313</v>
      </c>
      <c r="E130" s="1775" t="s">
        <v>2314</v>
      </c>
      <c r="F130" s="1775" t="s">
        <v>2252</v>
      </c>
      <c r="G130" s="1775" t="s">
        <v>2315</v>
      </c>
      <c r="H130" s="1775" t="s">
        <v>22</v>
      </c>
      <c r="I130" s="1775" t="s">
        <v>849</v>
      </c>
    </row>
    <row r="131" spans="1:9" ht="11.25" customHeight="1">
      <c r="A131" s="1775" t="s">
        <v>2243</v>
      </c>
      <c r="B131" s="1775" t="s">
        <v>16</v>
      </c>
      <c r="C131" s="1775" t="s">
        <v>2316</v>
      </c>
      <c r="D131" s="1775" t="s">
        <v>2317</v>
      </c>
      <c r="E131" s="1775" t="s">
        <v>2318</v>
      </c>
      <c r="F131" s="1775" t="s">
        <v>2247</v>
      </c>
      <c r="G131" s="1775" t="s">
        <v>2319</v>
      </c>
      <c r="H131" s="1775" t="s">
        <v>22</v>
      </c>
      <c r="I131" s="1775" t="s">
        <v>849</v>
      </c>
    </row>
    <row r="132" spans="1:9" ht="11.25" customHeight="1">
      <c r="A132" s="1775" t="s">
        <v>2243</v>
      </c>
      <c r="B132" s="1775" t="s">
        <v>16</v>
      </c>
      <c r="C132" s="1775" t="s">
        <v>2320</v>
      </c>
      <c r="D132" s="1775" t="s">
        <v>2321</v>
      </c>
      <c r="E132" s="1775" t="s">
        <v>2322</v>
      </c>
      <c r="F132" s="1775" t="s">
        <v>2247</v>
      </c>
      <c r="G132" s="1775" t="s">
        <v>2323</v>
      </c>
      <c r="H132" s="1775" t="s">
        <v>22</v>
      </c>
      <c r="I132" s="1775" t="s">
        <v>849</v>
      </c>
    </row>
    <row r="133" spans="1:9" ht="11.25" customHeight="1">
      <c r="A133" s="1775" t="s">
        <v>2243</v>
      </c>
      <c r="B133" s="1775" t="s">
        <v>16</v>
      </c>
      <c r="C133" s="1775" t="s">
        <v>2324</v>
      </c>
      <c r="D133" s="1775" t="s">
        <v>2325</v>
      </c>
      <c r="E133" s="1775" t="s">
        <v>2326</v>
      </c>
      <c r="F133" s="1775" t="s">
        <v>2327</v>
      </c>
      <c r="G133" s="1775" t="s">
        <v>22</v>
      </c>
      <c r="H133" s="1775" t="s">
        <v>22</v>
      </c>
      <c r="I133" s="1775" t="s">
        <v>849</v>
      </c>
    </row>
    <row r="134" spans="1:9" ht="11.25" customHeight="1">
      <c r="A134" s="1775" t="s">
        <v>2243</v>
      </c>
      <c r="B134" s="1775" t="s">
        <v>16</v>
      </c>
      <c r="C134" s="1775" t="s">
        <v>2328</v>
      </c>
      <c r="D134" s="1775" t="s">
        <v>2329</v>
      </c>
      <c r="E134" s="1775" t="s">
        <v>2330</v>
      </c>
      <c r="F134" s="1775" t="s">
        <v>2327</v>
      </c>
      <c r="G134" s="1775" t="s">
        <v>22</v>
      </c>
      <c r="H134" s="1775" t="s">
        <v>22</v>
      </c>
      <c r="I134" s="1775" t="s">
        <v>849</v>
      </c>
    </row>
    <row r="135" spans="1:9" ht="11.25" customHeight="1">
      <c r="A135" s="1775" t="s">
        <v>2243</v>
      </c>
      <c r="B135" s="1775" t="s">
        <v>16</v>
      </c>
      <c r="C135" s="1775" t="s">
        <v>2331</v>
      </c>
      <c r="D135" s="1775" t="s">
        <v>2332</v>
      </c>
      <c r="E135" s="1775" t="s">
        <v>2333</v>
      </c>
      <c r="F135" s="1775" t="s">
        <v>2247</v>
      </c>
      <c r="G135" s="1775" t="s">
        <v>2334</v>
      </c>
      <c r="H135" s="1775" t="s">
        <v>22</v>
      </c>
      <c r="I135" s="1775" t="s">
        <v>849</v>
      </c>
    </row>
    <row r="136" spans="1:9" ht="11.25" customHeight="1">
      <c r="A136" s="1775" t="s">
        <v>2243</v>
      </c>
      <c r="B136" s="1775" t="s">
        <v>16</v>
      </c>
      <c r="C136" s="1775" t="s">
        <v>2335</v>
      </c>
      <c r="D136" s="1775" t="s">
        <v>2336</v>
      </c>
      <c r="E136" s="1775" t="s">
        <v>2337</v>
      </c>
      <c r="F136" s="1775" t="s">
        <v>2247</v>
      </c>
      <c r="G136" s="1775" t="s">
        <v>2338</v>
      </c>
      <c r="H136" s="1775" t="s">
        <v>22</v>
      </c>
      <c r="I136" s="1775" t="s">
        <v>849</v>
      </c>
    </row>
    <row r="137" spans="1:9" ht="11.25" customHeight="1">
      <c r="A137" s="1775" t="s">
        <v>2243</v>
      </c>
      <c r="B137" s="1775" t="s">
        <v>16</v>
      </c>
      <c r="C137" s="1775" t="s">
        <v>2344</v>
      </c>
      <c r="D137" s="1775" t="s">
        <v>2345</v>
      </c>
      <c r="E137" s="1775" t="s">
        <v>2346</v>
      </c>
      <c r="F137" s="1775" t="s">
        <v>2327</v>
      </c>
      <c r="G137" s="1775" t="s">
        <v>22</v>
      </c>
      <c r="H137" s="1775" t="s">
        <v>22</v>
      </c>
      <c r="I137" s="1775" t="s">
        <v>849</v>
      </c>
    </row>
    <row r="138" spans="1:9" ht="11.25" customHeight="1">
      <c r="A138" s="1775" t="s">
        <v>2243</v>
      </c>
      <c r="B138" s="1775" t="s">
        <v>16</v>
      </c>
      <c r="C138" s="1775" t="s">
        <v>2522</v>
      </c>
      <c r="D138" s="1775" t="s">
        <v>2523</v>
      </c>
      <c r="E138" s="1775" t="s">
        <v>2524</v>
      </c>
      <c r="F138" s="1775" t="s">
        <v>2342</v>
      </c>
      <c r="G138" s="1775" t="s">
        <v>2525</v>
      </c>
      <c r="H138" s="1775" t="s">
        <v>22</v>
      </c>
      <c r="I138" s="1775" t="s">
        <v>849</v>
      </c>
    </row>
    <row r="139" spans="1:9" ht="11.25" customHeight="1">
      <c r="A139" s="1775" t="s">
        <v>2243</v>
      </c>
      <c r="B139" s="1775" t="s">
        <v>16</v>
      </c>
      <c r="C139" s="1775" t="s">
        <v>2347</v>
      </c>
      <c r="D139" s="1775" t="s">
        <v>2348</v>
      </c>
      <c r="E139" s="1775" t="s">
        <v>2349</v>
      </c>
      <c r="F139" s="1775" t="s">
        <v>2350</v>
      </c>
      <c r="G139" s="1775" t="s">
        <v>22</v>
      </c>
      <c r="H139" s="1775" t="s">
        <v>22</v>
      </c>
      <c r="I139" s="1775" t="s">
        <v>849</v>
      </c>
    </row>
    <row r="140" spans="1:9" ht="11.25" customHeight="1">
      <c r="A140" s="1775" t="s">
        <v>2243</v>
      </c>
      <c r="B140" s="1775" t="s">
        <v>16</v>
      </c>
      <c r="C140" s="1775" t="s">
        <v>2351</v>
      </c>
      <c r="D140" s="1775" t="s">
        <v>2352</v>
      </c>
      <c r="E140" s="1775" t="s">
        <v>2353</v>
      </c>
      <c r="F140" s="1775" t="s">
        <v>2247</v>
      </c>
      <c r="G140" s="1775" t="s">
        <v>2354</v>
      </c>
      <c r="H140" s="1775" t="s">
        <v>22</v>
      </c>
      <c r="I140" s="1775" t="s">
        <v>849</v>
      </c>
    </row>
    <row r="141" spans="1:9" ht="11.25" customHeight="1">
      <c r="A141" s="1775" t="s">
        <v>2243</v>
      </c>
      <c r="B141" s="1775" t="s">
        <v>16</v>
      </c>
      <c r="C141" s="1775" t="s">
        <v>2526</v>
      </c>
      <c r="D141" s="1775" t="s">
        <v>2527</v>
      </c>
      <c r="E141" s="1775" t="s">
        <v>2528</v>
      </c>
      <c r="F141" s="1775" t="s">
        <v>2370</v>
      </c>
      <c r="G141" s="1775" t="s">
        <v>2529</v>
      </c>
      <c r="H141" s="1775" t="s">
        <v>22</v>
      </c>
      <c r="I141" s="1775" t="s">
        <v>849</v>
      </c>
    </row>
    <row r="142" spans="1:9" ht="11.25" customHeight="1">
      <c r="A142" s="1775" t="s">
        <v>2243</v>
      </c>
      <c r="B142" s="1775" t="s">
        <v>16</v>
      </c>
      <c r="C142" s="1775" t="s">
        <v>2530</v>
      </c>
      <c r="D142" s="1775" t="s">
        <v>2531</v>
      </c>
      <c r="E142" s="1775" t="s">
        <v>2532</v>
      </c>
      <c r="F142" s="1775" t="s">
        <v>2342</v>
      </c>
      <c r="G142" s="1775" t="s">
        <v>2533</v>
      </c>
      <c r="H142" s="1775" t="s">
        <v>22</v>
      </c>
      <c r="I142" s="1775" t="s">
        <v>849</v>
      </c>
    </row>
    <row r="143" spans="1:9" ht="11.25" customHeight="1">
      <c r="A143" s="1775" t="s">
        <v>2243</v>
      </c>
      <c r="B143" s="1775" t="s">
        <v>16</v>
      </c>
      <c r="C143" s="1775" t="s">
        <v>2534</v>
      </c>
      <c r="D143" s="1775" t="s">
        <v>2535</v>
      </c>
      <c r="E143" s="1775" t="s">
        <v>2536</v>
      </c>
      <c r="F143" s="1775" t="s">
        <v>2370</v>
      </c>
      <c r="G143" s="1775" t="s">
        <v>22</v>
      </c>
      <c r="H143" s="1775" t="s">
        <v>22</v>
      </c>
      <c r="I143" s="1775" t="s">
        <v>849</v>
      </c>
    </row>
    <row r="144" spans="1:9" ht="11.25" customHeight="1">
      <c r="A144" s="1775" t="s">
        <v>2243</v>
      </c>
      <c r="B144" s="1775" t="s">
        <v>16</v>
      </c>
      <c r="C144" s="1775" t="s">
        <v>2537</v>
      </c>
      <c r="D144" s="1775" t="s">
        <v>2538</v>
      </c>
      <c r="E144" s="1775" t="s">
        <v>2539</v>
      </c>
      <c r="F144" s="1775" t="s">
        <v>2342</v>
      </c>
      <c r="G144" s="1775" t="s">
        <v>2362</v>
      </c>
      <c r="H144" s="1775" t="s">
        <v>22</v>
      </c>
      <c r="I144" s="1775" t="s">
        <v>849</v>
      </c>
    </row>
    <row r="145" spans="1:9" ht="11.25" customHeight="1">
      <c r="A145" s="1775" t="s">
        <v>2243</v>
      </c>
      <c r="B145" s="1775" t="s">
        <v>16</v>
      </c>
      <c r="C145" s="1775" t="s">
        <v>2540</v>
      </c>
      <c r="D145" s="1775" t="s">
        <v>2541</v>
      </c>
      <c r="E145" s="1775" t="s">
        <v>2542</v>
      </c>
      <c r="F145" s="1775" t="s">
        <v>2370</v>
      </c>
      <c r="G145" s="1775" t="s">
        <v>22</v>
      </c>
      <c r="H145" s="1775" t="s">
        <v>22</v>
      </c>
      <c r="I145" s="1775" t="s">
        <v>849</v>
      </c>
    </row>
    <row r="146" spans="1:9" ht="11.25" customHeight="1">
      <c r="A146" s="1775" t="s">
        <v>2243</v>
      </c>
      <c r="B146" s="1775" t="s">
        <v>16</v>
      </c>
      <c r="C146" s="1775" t="s">
        <v>2355</v>
      </c>
      <c r="D146" s="1775" t="s">
        <v>2356</v>
      </c>
      <c r="E146" s="1775" t="s">
        <v>2357</v>
      </c>
      <c r="F146" s="1775" t="s">
        <v>2247</v>
      </c>
      <c r="G146" s="1775" t="s">
        <v>2358</v>
      </c>
      <c r="H146" s="1775" t="s">
        <v>22</v>
      </c>
      <c r="I146" s="1775" t="s">
        <v>849</v>
      </c>
    </row>
    <row r="147" spans="1:9" ht="11.25" customHeight="1">
      <c r="A147" s="1775" t="s">
        <v>2243</v>
      </c>
      <c r="B147" s="1775" t="s">
        <v>16</v>
      </c>
      <c r="C147" s="1775" t="s">
        <v>2543</v>
      </c>
      <c r="D147" s="1775" t="s">
        <v>2544</v>
      </c>
      <c r="E147" s="1775" t="s">
        <v>2545</v>
      </c>
      <c r="F147" s="1775" t="s">
        <v>2342</v>
      </c>
      <c r="G147" s="1775" t="s">
        <v>2546</v>
      </c>
      <c r="H147" s="1775" t="s">
        <v>22</v>
      </c>
      <c r="I147" s="1775" t="s">
        <v>849</v>
      </c>
    </row>
    <row r="148" spans="1:9" ht="11.25" customHeight="1">
      <c r="A148" s="1775" t="s">
        <v>2243</v>
      </c>
      <c r="B148" s="1775" t="s">
        <v>16</v>
      </c>
      <c r="C148" s="1775" t="s">
        <v>2547</v>
      </c>
      <c r="D148" s="1775" t="s">
        <v>2548</v>
      </c>
      <c r="E148" s="1775" t="s">
        <v>2549</v>
      </c>
      <c r="F148" s="1775" t="s">
        <v>2342</v>
      </c>
      <c r="G148" s="1775" t="s">
        <v>2550</v>
      </c>
      <c r="H148" s="1775" t="s">
        <v>22</v>
      </c>
      <c r="I148" s="1775" t="s">
        <v>849</v>
      </c>
    </row>
    <row r="149" spans="1:9" ht="11.25" customHeight="1">
      <c r="A149" s="1775" t="s">
        <v>2243</v>
      </c>
      <c r="B149" s="1775" t="s">
        <v>16</v>
      </c>
      <c r="C149" s="1775" t="s">
        <v>2551</v>
      </c>
      <c r="D149" s="1775" t="s">
        <v>2552</v>
      </c>
      <c r="E149" s="1775" t="s">
        <v>2553</v>
      </c>
      <c r="F149" s="1775" t="s">
        <v>2252</v>
      </c>
      <c r="G149" s="1775" t="s">
        <v>22</v>
      </c>
      <c r="H149" s="1775" t="s">
        <v>22</v>
      </c>
      <c r="I149" s="1775" t="s">
        <v>849</v>
      </c>
    </row>
    <row r="150" spans="1:9" ht="11.25" customHeight="1">
      <c r="A150" s="1775" t="s">
        <v>2243</v>
      </c>
      <c r="B150" s="1775" t="s">
        <v>16</v>
      </c>
      <c r="C150" s="1775" t="s">
        <v>2375</v>
      </c>
      <c r="D150" s="1775" t="s">
        <v>2376</v>
      </c>
      <c r="E150" s="1775" t="s">
        <v>2377</v>
      </c>
      <c r="F150" s="1775" t="s">
        <v>2342</v>
      </c>
      <c r="G150" s="1775" t="s">
        <v>2362</v>
      </c>
      <c r="H150" s="1775" t="s">
        <v>22</v>
      </c>
      <c r="I150" s="1775" t="s">
        <v>849</v>
      </c>
    </row>
    <row r="151" spans="1:9" ht="11.25" customHeight="1">
      <c r="A151" s="1775" t="s">
        <v>2243</v>
      </c>
      <c r="B151" s="1775" t="s">
        <v>16</v>
      </c>
      <c r="C151" s="1775" t="s">
        <v>2378</v>
      </c>
      <c r="D151" s="1775" t="s">
        <v>2379</v>
      </c>
      <c r="E151" s="1775" t="s">
        <v>2380</v>
      </c>
      <c r="F151" s="1775" t="s">
        <v>2306</v>
      </c>
      <c r="G151" s="1775" t="s">
        <v>2381</v>
      </c>
      <c r="H151" s="1775" t="s">
        <v>22</v>
      </c>
      <c r="I151" s="1775" t="s">
        <v>849</v>
      </c>
    </row>
    <row r="152" spans="1:9" ht="11.25" customHeight="1">
      <c r="A152" s="1775" t="s">
        <v>2243</v>
      </c>
      <c r="B152" s="1775" t="s">
        <v>16</v>
      </c>
      <c r="C152" s="1775" t="s">
        <v>2554</v>
      </c>
      <c r="D152" s="1775" t="s">
        <v>2555</v>
      </c>
      <c r="E152" s="1775" t="s">
        <v>2556</v>
      </c>
      <c r="F152" s="1775" t="s">
        <v>2306</v>
      </c>
      <c r="G152" s="1775" t="s">
        <v>22</v>
      </c>
      <c r="H152" s="1775" t="s">
        <v>22</v>
      </c>
      <c r="I152" s="1775" t="s">
        <v>849</v>
      </c>
    </row>
    <row r="153" spans="1:9" ht="11.25" customHeight="1">
      <c r="A153" s="1775" t="s">
        <v>2243</v>
      </c>
      <c r="B153" s="1775" t="s">
        <v>16</v>
      </c>
      <c r="C153" s="1775" t="s">
        <v>2386</v>
      </c>
      <c r="D153" s="1775" t="s">
        <v>2387</v>
      </c>
      <c r="E153" s="1775" t="s">
        <v>2388</v>
      </c>
      <c r="F153" s="1775" t="s">
        <v>2306</v>
      </c>
      <c r="G153" s="1775" t="s">
        <v>2389</v>
      </c>
      <c r="H153" s="1775" t="s">
        <v>22</v>
      </c>
      <c r="I153" s="1775" t="s">
        <v>849</v>
      </c>
    </row>
    <row r="154" spans="1:9" ht="11.25" customHeight="1">
      <c r="A154" s="1775" t="s">
        <v>2243</v>
      </c>
      <c r="B154" s="1775" t="s">
        <v>16</v>
      </c>
      <c r="C154" s="1775" t="s">
        <v>2390</v>
      </c>
      <c r="D154" s="1775" t="s">
        <v>2391</v>
      </c>
      <c r="E154" s="1775" t="s">
        <v>2392</v>
      </c>
      <c r="F154" s="1775" t="s">
        <v>2267</v>
      </c>
      <c r="G154" s="1775" t="s">
        <v>2393</v>
      </c>
      <c r="H154" s="1775" t="s">
        <v>22</v>
      </c>
      <c r="I154" s="1775" t="s">
        <v>849</v>
      </c>
    </row>
    <row r="155" spans="1:9" ht="11.25" customHeight="1">
      <c r="A155" s="1775" t="s">
        <v>2243</v>
      </c>
      <c r="B155" s="1775" t="s">
        <v>16</v>
      </c>
      <c r="C155" s="1775" t="s">
        <v>2557</v>
      </c>
      <c r="D155" s="1775" t="s">
        <v>2558</v>
      </c>
      <c r="E155" s="1775" t="s">
        <v>2559</v>
      </c>
      <c r="F155" s="1775" t="s">
        <v>2342</v>
      </c>
      <c r="G155" s="1775" t="s">
        <v>2560</v>
      </c>
      <c r="H155" s="1775" t="s">
        <v>22</v>
      </c>
      <c r="I155" s="1775" t="s">
        <v>849</v>
      </c>
    </row>
    <row r="156" spans="1:9" ht="11.25" customHeight="1">
      <c r="A156" s="1775" t="s">
        <v>2243</v>
      </c>
      <c r="B156" s="1775" t="s">
        <v>16</v>
      </c>
      <c r="C156" s="1775" t="s">
        <v>2394</v>
      </c>
      <c r="D156" s="1775" t="s">
        <v>2395</v>
      </c>
      <c r="E156" s="1775" t="s">
        <v>2396</v>
      </c>
      <c r="F156" s="1775" t="s">
        <v>2306</v>
      </c>
      <c r="G156" s="1775" t="s">
        <v>2397</v>
      </c>
      <c r="H156" s="1775" t="s">
        <v>22</v>
      </c>
      <c r="I156" s="1775" t="s">
        <v>849</v>
      </c>
    </row>
    <row r="157" spans="1:9" ht="11.25" customHeight="1">
      <c r="A157" s="1775" t="s">
        <v>2243</v>
      </c>
      <c r="B157" s="1775" t="s">
        <v>16</v>
      </c>
      <c r="C157" s="1775" t="s">
        <v>2398</v>
      </c>
      <c r="D157" s="1775" t="s">
        <v>2399</v>
      </c>
      <c r="E157" s="1775" t="s">
        <v>2400</v>
      </c>
      <c r="F157" s="1775" t="s">
        <v>2256</v>
      </c>
      <c r="G157" s="1775" t="s">
        <v>2401</v>
      </c>
      <c r="H157" s="1775" t="s">
        <v>22</v>
      </c>
      <c r="I157" s="1775" t="s">
        <v>849</v>
      </c>
    </row>
    <row r="158" spans="1:9" ht="11.25" customHeight="1">
      <c r="A158" s="1775" t="s">
        <v>2243</v>
      </c>
      <c r="B158" s="1775" t="s">
        <v>16</v>
      </c>
      <c r="C158" s="1775" t="s">
        <v>2561</v>
      </c>
      <c r="D158" s="1775" t="s">
        <v>2562</v>
      </c>
      <c r="E158" s="1775" t="s">
        <v>2563</v>
      </c>
      <c r="F158" s="1775" t="s">
        <v>2267</v>
      </c>
      <c r="G158" s="1775" t="s">
        <v>2564</v>
      </c>
      <c r="H158" s="1775" t="s">
        <v>22</v>
      </c>
      <c r="I158" s="1775" t="s">
        <v>849</v>
      </c>
    </row>
    <row r="159" spans="1:9" ht="11.25" customHeight="1">
      <c r="A159" s="1775" t="s">
        <v>2243</v>
      </c>
      <c r="B159" s="1775" t="s">
        <v>16</v>
      </c>
      <c r="C159" s="1775" t="s">
        <v>2565</v>
      </c>
      <c r="D159" s="1775" t="s">
        <v>2566</v>
      </c>
      <c r="E159" s="1775" t="s">
        <v>2567</v>
      </c>
      <c r="F159" s="1775" t="s">
        <v>2327</v>
      </c>
      <c r="G159" s="1775" t="s">
        <v>22</v>
      </c>
      <c r="H159" s="1775" t="s">
        <v>22</v>
      </c>
      <c r="I159" s="1775" t="s">
        <v>849</v>
      </c>
    </row>
    <row r="160" spans="1:9" ht="11.25" customHeight="1">
      <c r="A160" s="1775" t="s">
        <v>2243</v>
      </c>
      <c r="B160" s="1775" t="s">
        <v>16</v>
      </c>
      <c r="C160" s="1775" t="s">
        <v>2402</v>
      </c>
      <c r="D160" s="1775" t="s">
        <v>2403</v>
      </c>
      <c r="E160" s="1775" t="s">
        <v>2404</v>
      </c>
      <c r="F160" s="1775" t="s">
        <v>2327</v>
      </c>
      <c r="G160" s="1775" t="s">
        <v>22</v>
      </c>
      <c r="H160" s="1775" t="s">
        <v>22</v>
      </c>
      <c r="I160" s="1775" t="s">
        <v>849</v>
      </c>
    </row>
    <row r="161" spans="1:9" ht="11.25" customHeight="1">
      <c r="A161" s="1775" t="s">
        <v>2243</v>
      </c>
      <c r="B161" s="1775" t="s">
        <v>16</v>
      </c>
      <c r="C161" s="1775" t="s">
        <v>2405</v>
      </c>
      <c r="D161" s="1775" t="s">
        <v>2406</v>
      </c>
      <c r="E161" s="1775" t="s">
        <v>2407</v>
      </c>
      <c r="F161" s="1775" t="s">
        <v>2247</v>
      </c>
      <c r="G161" s="1775" t="s">
        <v>2408</v>
      </c>
      <c r="H161" s="1775" t="s">
        <v>22</v>
      </c>
      <c r="I161" s="1775" t="s">
        <v>849</v>
      </c>
    </row>
    <row r="162" spans="1:9" ht="11.25" customHeight="1">
      <c r="A162" s="1775" t="s">
        <v>2243</v>
      </c>
      <c r="B162" s="1775" t="s">
        <v>16</v>
      </c>
      <c r="C162" s="1775" t="s">
        <v>2409</v>
      </c>
      <c r="D162" s="1775" t="s">
        <v>2410</v>
      </c>
      <c r="E162" s="1775" t="s">
        <v>2411</v>
      </c>
      <c r="F162" s="1775" t="s">
        <v>2412</v>
      </c>
      <c r="G162" s="1775" t="s">
        <v>22</v>
      </c>
      <c r="H162" s="1775" t="s">
        <v>22</v>
      </c>
      <c r="I162" s="1775" t="s">
        <v>849</v>
      </c>
    </row>
    <row r="163" spans="1:9" ht="11.25" customHeight="1">
      <c r="A163" s="1775" t="s">
        <v>2243</v>
      </c>
      <c r="B163" s="1775" t="s">
        <v>16</v>
      </c>
      <c r="C163" s="1775" t="s">
        <v>2413</v>
      </c>
      <c r="D163" s="1775" t="s">
        <v>2414</v>
      </c>
      <c r="E163" s="1775" t="s">
        <v>2415</v>
      </c>
      <c r="F163" s="1775" t="s">
        <v>2256</v>
      </c>
      <c r="G163" s="1775" t="s">
        <v>22</v>
      </c>
      <c r="H163" s="1775" t="s">
        <v>22</v>
      </c>
      <c r="I163" s="1775" t="s">
        <v>849</v>
      </c>
    </row>
    <row r="164" spans="1:9" ht="11.25" customHeight="1">
      <c r="A164" s="1775" t="s">
        <v>2243</v>
      </c>
      <c r="B164" s="1775" t="s">
        <v>16</v>
      </c>
      <c r="C164" s="1775" t="s">
        <v>2420</v>
      </c>
      <c r="D164" s="1775" t="s">
        <v>2421</v>
      </c>
      <c r="E164" s="1775" t="s">
        <v>2422</v>
      </c>
      <c r="F164" s="1775" t="s">
        <v>2267</v>
      </c>
      <c r="G164" s="1775" t="s">
        <v>22</v>
      </c>
      <c r="H164" s="1775" t="s">
        <v>22</v>
      </c>
      <c r="I164" s="1775" t="s">
        <v>849</v>
      </c>
    </row>
    <row r="165" spans="1:9" ht="11.25" customHeight="1">
      <c r="A165" s="1775" t="s">
        <v>2243</v>
      </c>
      <c r="B165" s="1775" t="s">
        <v>16</v>
      </c>
      <c r="C165" s="1775" t="s">
        <v>2423</v>
      </c>
      <c r="D165" s="1775" t="s">
        <v>2424</v>
      </c>
      <c r="E165" s="1775" t="s">
        <v>2425</v>
      </c>
      <c r="F165" s="1775" t="s">
        <v>2252</v>
      </c>
      <c r="G165" s="1775" t="s">
        <v>22</v>
      </c>
      <c r="H165" s="1775" t="s">
        <v>22</v>
      </c>
      <c r="I165" s="1775" t="s">
        <v>849</v>
      </c>
    </row>
    <row r="166" spans="1:9" ht="11.25" customHeight="1">
      <c r="A166" s="1775" t="s">
        <v>2243</v>
      </c>
      <c r="B166" s="1775" t="s">
        <v>16</v>
      </c>
      <c r="C166" s="1775" t="s">
        <v>2430</v>
      </c>
      <c r="D166" s="1775" t="s">
        <v>2431</v>
      </c>
      <c r="E166" s="1775" t="s">
        <v>2432</v>
      </c>
      <c r="F166" s="1775" t="s">
        <v>2306</v>
      </c>
      <c r="G166" s="1775" t="s">
        <v>2433</v>
      </c>
      <c r="H166" s="1775" t="s">
        <v>22</v>
      </c>
      <c r="I166" s="1775" t="s">
        <v>849</v>
      </c>
    </row>
    <row r="167" spans="1:9" ht="11.25" customHeight="1">
      <c r="A167" s="1775" t="s">
        <v>2243</v>
      </c>
      <c r="B167" s="1775" t="s">
        <v>16</v>
      </c>
      <c r="C167" s="1775" t="s">
        <v>2568</v>
      </c>
      <c r="D167" s="1775" t="s">
        <v>2569</v>
      </c>
      <c r="E167" s="1775" t="s">
        <v>2570</v>
      </c>
      <c r="F167" s="1775" t="s">
        <v>2256</v>
      </c>
      <c r="G167" s="1775" t="s">
        <v>2571</v>
      </c>
      <c r="H167" s="1775" t="s">
        <v>22</v>
      </c>
      <c r="I167" s="1775" t="s">
        <v>849</v>
      </c>
    </row>
    <row r="168" spans="1:9" ht="11.25" customHeight="1">
      <c r="A168" s="1775" t="s">
        <v>2243</v>
      </c>
      <c r="B168" s="1775" t="s">
        <v>16</v>
      </c>
      <c r="C168" s="1775" t="s">
        <v>2572</v>
      </c>
      <c r="D168" s="1775" t="s">
        <v>2573</v>
      </c>
      <c r="E168" s="1775" t="s">
        <v>2574</v>
      </c>
      <c r="F168" s="1775" t="s">
        <v>2342</v>
      </c>
      <c r="G168" s="1775" t="s">
        <v>2575</v>
      </c>
      <c r="H168" s="1775" t="s">
        <v>22</v>
      </c>
      <c r="I168" s="1775" t="s">
        <v>849</v>
      </c>
    </row>
    <row r="169" spans="1:9" ht="11.25" customHeight="1">
      <c r="A169" s="1775" t="s">
        <v>2243</v>
      </c>
      <c r="B169" s="1775" t="s">
        <v>16</v>
      </c>
      <c r="C169" s="1775" t="s">
        <v>2576</v>
      </c>
      <c r="D169" s="1775" t="s">
        <v>2577</v>
      </c>
      <c r="E169" s="1775" t="s">
        <v>2578</v>
      </c>
      <c r="F169" s="1775" t="s">
        <v>2306</v>
      </c>
      <c r="G169" s="1775" t="s">
        <v>2579</v>
      </c>
      <c r="H169" s="1775" t="s">
        <v>22</v>
      </c>
      <c r="I169" s="1775" t="s">
        <v>849</v>
      </c>
    </row>
    <row r="170" spans="1:9" ht="11.25" customHeight="1">
      <c r="A170" s="1775" t="s">
        <v>2243</v>
      </c>
      <c r="B170" s="1775" t="s">
        <v>16</v>
      </c>
      <c r="C170" s="1775" t="s">
        <v>2438</v>
      </c>
      <c r="D170" s="1775" t="s">
        <v>2439</v>
      </c>
      <c r="E170" s="1775" t="s">
        <v>2440</v>
      </c>
      <c r="F170" s="1775" t="s">
        <v>2441</v>
      </c>
      <c r="G170" s="1775" t="s">
        <v>22</v>
      </c>
      <c r="H170" s="1775" t="s">
        <v>22</v>
      </c>
      <c r="I170" s="1775" t="s">
        <v>849</v>
      </c>
    </row>
    <row r="171" spans="1:9" ht="11.25" customHeight="1">
      <c r="A171" s="1775" t="s">
        <v>2243</v>
      </c>
      <c r="B171" s="1775" t="s">
        <v>16</v>
      </c>
      <c r="C171" s="1775" t="s">
        <v>2442</v>
      </c>
      <c r="D171" s="1775" t="s">
        <v>2443</v>
      </c>
      <c r="E171" s="1775" t="s">
        <v>2444</v>
      </c>
      <c r="F171" s="1775" t="s">
        <v>2256</v>
      </c>
      <c r="G171" s="1775" t="s">
        <v>2362</v>
      </c>
      <c r="H171" s="1775" t="s">
        <v>22</v>
      </c>
      <c r="I171" s="1775" t="s">
        <v>849</v>
      </c>
    </row>
    <row r="172" spans="1:9" ht="11.25" customHeight="1">
      <c r="A172" s="1775" t="s">
        <v>2243</v>
      </c>
      <c r="B172" s="1775" t="s">
        <v>16</v>
      </c>
      <c r="C172" s="1775" t="s">
        <v>2449</v>
      </c>
      <c r="D172" s="1775" t="s">
        <v>2450</v>
      </c>
      <c r="E172" s="1775" t="s">
        <v>2451</v>
      </c>
      <c r="F172" s="1775" t="s">
        <v>2247</v>
      </c>
      <c r="G172" s="1775" t="s">
        <v>2452</v>
      </c>
      <c r="H172" s="1775" t="s">
        <v>22</v>
      </c>
      <c r="I172" s="1775" t="s">
        <v>849</v>
      </c>
    </row>
    <row r="173" spans="1:9" ht="11.25" customHeight="1">
      <c r="A173" s="1775" t="s">
        <v>2243</v>
      </c>
      <c r="B173" s="1775" t="s">
        <v>16</v>
      </c>
      <c r="C173" s="1775" t="s">
        <v>2453</v>
      </c>
      <c r="D173" s="1775" t="s">
        <v>2454</v>
      </c>
      <c r="E173" s="1775" t="s">
        <v>2455</v>
      </c>
      <c r="F173" s="1775" t="s">
        <v>2456</v>
      </c>
      <c r="G173" s="1775" t="s">
        <v>22</v>
      </c>
      <c r="H173" s="1775" t="s">
        <v>22</v>
      </c>
      <c r="I173" s="1775" t="s">
        <v>849</v>
      </c>
    </row>
    <row r="174" spans="1:9" ht="11.25" customHeight="1">
      <c r="A174" s="1775" t="s">
        <v>2243</v>
      </c>
      <c r="B174" s="1775" t="s">
        <v>16</v>
      </c>
      <c r="C174" s="1775" t="s">
        <v>2457</v>
      </c>
      <c r="D174" s="1775" t="s">
        <v>2458</v>
      </c>
      <c r="E174" s="1775" t="s">
        <v>2459</v>
      </c>
      <c r="F174" s="1775" t="s">
        <v>2460</v>
      </c>
      <c r="G174" s="1775" t="s">
        <v>2461</v>
      </c>
      <c r="H174" s="1775" t="s">
        <v>22</v>
      </c>
      <c r="I174" s="1775" t="s">
        <v>849</v>
      </c>
    </row>
    <row r="175" spans="1:9" ht="11.25" customHeight="1">
      <c r="A175" s="1775" t="s">
        <v>2243</v>
      </c>
      <c r="B175" s="1775" t="s">
        <v>16</v>
      </c>
      <c r="C175" s="1775" t="s">
        <v>2469</v>
      </c>
      <c r="D175" s="1775" t="s">
        <v>2470</v>
      </c>
      <c r="E175" s="1775" t="s">
        <v>2471</v>
      </c>
      <c r="F175" s="1775" t="s">
        <v>2342</v>
      </c>
      <c r="G175" s="1775" t="s">
        <v>2472</v>
      </c>
      <c r="H175" s="1775" t="s">
        <v>22</v>
      </c>
      <c r="I175" s="1775" t="s">
        <v>849</v>
      </c>
    </row>
    <row r="176" spans="1:9" ht="11.25" customHeight="1">
      <c r="A176" s="1775" t="s">
        <v>2243</v>
      </c>
      <c r="B176" s="1775" t="s">
        <v>16</v>
      </c>
      <c r="C176" s="1775" t="s">
        <v>2477</v>
      </c>
      <c r="D176" s="1775" t="s">
        <v>2478</v>
      </c>
      <c r="E176" s="1775" t="s">
        <v>2479</v>
      </c>
      <c r="F176" s="1775" t="s">
        <v>2456</v>
      </c>
      <c r="G176" s="1775" t="s">
        <v>2362</v>
      </c>
      <c r="H176" s="1775" t="s">
        <v>22</v>
      </c>
      <c r="I176" s="1775" t="s">
        <v>849</v>
      </c>
    </row>
    <row r="177" spans="1:9" ht="11.25" customHeight="1">
      <c r="A177" s="1775" t="s">
        <v>2243</v>
      </c>
      <c r="B177" s="1775" t="s">
        <v>16</v>
      </c>
      <c r="C177" s="1775" t="s">
        <v>2580</v>
      </c>
      <c r="D177" s="1775" t="s">
        <v>2581</v>
      </c>
      <c r="E177" s="1775" t="s">
        <v>2582</v>
      </c>
      <c r="F177" s="1775" t="s">
        <v>2247</v>
      </c>
      <c r="G177" s="1775" t="s">
        <v>2583</v>
      </c>
      <c r="H177" s="1775" t="s">
        <v>22</v>
      </c>
      <c r="I177" s="1775" t="s">
        <v>849</v>
      </c>
    </row>
    <row r="178" spans="1:9" ht="11.25" customHeight="1">
      <c r="A178" s="1775" t="s">
        <v>2243</v>
      </c>
      <c r="B178" s="1775" t="s">
        <v>16</v>
      </c>
      <c r="C178" s="1775" t="s">
        <v>2480</v>
      </c>
      <c r="D178" s="1775" t="s">
        <v>2481</v>
      </c>
      <c r="E178" s="1775" t="s">
        <v>2482</v>
      </c>
      <c r="F178" s="1775" t="s">
        <v>2306</v>
      </c>
      <c r="G178" s="1775" t="s">
        <v>2483</v>
      </c>
      <c r="H178" s="1775" t="s">
        <v>22</v>
      </c>
      <c r="I178" s="1775" t="s">
        <v>849</v>
      </c>
    </row>
    <row r="179" spans="1:9" ht="11.25" customHeight="1">
      <c r="A179" s="1775" t="s">
        <v>2243</v>
      </c>
      <c r="B179" s="1775" t="s">
        <v>16</v>
      </c>
      <c r="C179" s="1775" t="s">
        <v>2484</v>
      </c>
      <c r="D179" s="1775" t="s">
        <v>2485</v>
      </c>
      <c r="E179" s="1775" t="s">
        <v>2486</v>
      </c>
      <c r="F179" s="1775" t="s">
        <v>2256</v>
      </c>
      <c r="G179" s="1775" t="s">
        <v>2487</v>
      </c>
      <c r="H179" s="1775" t="s">
        <v>22</v>
      </c>
      <c r="I179" s="1775" t="s">
        <v>849</v>
      </c>
    </row>
    <row r="180" spans="1:9" ht="11.25" customHeight="1">
      <c r="A180" s="1775" t="s">
        <v>2243</v>
      </c>
      <c r="B180" s="1775" t="s">
        <v>16</v>
      </c>
      <c r="C180" s="1775" t="s">
        <v>13</v>
      </c>
      <c r="D180" s="1775" t="s">
        <v>46</v>
      </c>
      <c r="E180" s="1775" t="s">
        <v>49</v>
      </c>
      <c r="F180" s="1775" t="s">
        <v>51</v>
      </c>
      <c r="G180" s="1775" t="s">
        <v>22</v>
      </c>
      <c r="H180" s="1775" t="s">
        <v>22</v>
      </c>
      <c r="I180" s="1775" t="s">
        <v>849</v>
      </c>
    </row>
    <row r="181" spans="1:9" ht="11.25" customHeight="1">
      <c r="A181" s="1775" t="s">
        <v>2243</v>
      </c>
      <c r="B181" s="1775" t="s">
        <v>16</v>
      </c>
      <c r="C181" s="1775" t="s">
        <v>2488</v>
      </c>
      <c r="D181" s="1775" t="s">
        <v>2489</v>
      </c>
      <c r="E181" s="1775" t="s">
        <v>2490</v>
      </c>
      <c r="F181" s="1775" t="s">
        <v>2275</v>
      </c>
      <c r="G181" s="1775" t="s">
        <v>22</v>
      </c>
      <c r="H181" s="1775" t="s">
        <v>22</v>
      </c>
      <c r="I181" s="1775" t="s">
        <v>849</v>
      </c>
    </row>
    <row r="182" spans="1:9" ht="11.25" customHeight="1">
      <c r="A182" s="1775" t="s">
        <v>2243</v>
      </c>
      <c r="B182" s="1775" t="s">
        <v>16</v>
      </c>
      <c r="C182" s="1775" t="s">
        <v>2584</v>
      </c>
      <c r="D182" s="1775" t="s">
        <v>2585</v>
      </c>
      <c r="E182" s="1775" t="s">
        <v>2586</v>
      </c>
      <c r="F182" s="1775" t="s">
        <v>2587</v>
      </c>
      <c r="G182" s="1775" t="s">
        <v>22</v>
      </c>
      <c r="H182" s="1775" t="s">
        <v>22</v>
      </c>
      <c r="I182" s="1775" t="s">
        <v>849</v>
      </c>
    </row>
    <row r="183" spans="1:9" ht="11.25" customHeight="1">
      <c r="A183" s="1775" t="s">
        <v>2243</v>
      </c>
      <c r="B183" s="1775" t="s">
        <v>16</v>
      </c>
      <c r="C183" s="1775" t="s">
        <v>2495</v>
      </c>
      <c r="D183" s="1775" t="s">
        <v>2496</v>
      </c>
      <c r="E183" s="1775" t="s">
        <v>2497</v>
      </c>
      <c r="F183" s="1775" t="s">
        <v>2498</v>
      </c>
      <c r="G183" s="1775" t="s">
        <v>22</v>
      </c>
      <c r="H183" s="1775" t="s">
        <v>22</v>
      </c>
      <c r="I183" s="1775" t="s">
        <v>849</v>
      </c>
    </row>
    <row r="184" spans="1:9" ht="11.25" customHeight="1">
      <c r="A184" s="1775" t="s">
        <v>2243</v>
      </c>
      <c r="B184" s="1775" t="s">
        <v>16</v>
      </c>
      <c r="C184" s="1775" t="s">
        <v>2249</v>
      </c>
      <c r="D184" s="1775" t="s">
        <v>2250</v>
      </c>
      <c r="E184" s="1775" t="s">
        <v>2251</v>
      </c>
      <c r="F184" s="1775" t="s">
        <v>2252</v>
      </c>
      <c r="G184" s="1775" t="s">
        <v>22</v>
      </c>
      <c r="H184" s="1775" t="s">
        <v>22</v>
      </c>
      <c r="I184" s="1775" t="s">
        <v>902</v>
      </c>
    </row>
    <row r="185" spans="1:9" ht="11.25" customHeight="1">
      <c r="A185" s="1775" t="s">
        <v>2243</v>
      </c>
      <c r="B185" s="1775" t="s">
        <v>16</v>
      </c>
      <c r="C185" s="1775" t="s">
        <v>2588</v>
      </c>
      <c r="D185" s="1775" t="s">
        <v>2589</v>
      </c>
      <c r="E185" s="1775" t="s">
        <v>2590</v>
      </c>
      <c r="F185" s="1775" t="s">
        <v>2252</v>
      </c>
      <c r="G185" s="1775" t="s">
        <v>2591</v>
      </c>
      <c r="H185" s="1775" t="s">
        <v>22</v>
      </c>
      <c r="I185" s="1775" t="s">
        <v>902</v>
      </c>
    </row>
    <row r="186" spans="1:9" ht="11.25" customHeight="1">
      <c r="A186" s="1775" t="s">
        <v>2243</v>
      </c>
      <c r="B186" s="1775" t="s">
        <v>16</v>
      </c>
      <c r="C186" s="1775" t="s">
        <v>22</v>
      </c>
      <c r="D186" s="1775" t="s">
        <v>2268</v>
      </c>
      <c r="E186" s="1775" t="s">
        <v>2269</v>
      </c>
      <c r="F186" s="1775" t="s">
        <v>2252</v>
      </c>
      <c r="G186" s="1775" t="s">
        <v>22</v>
      </c>
      <c r="H186" s="1775" t="s">
        <v>22</v>
      </c>
      <c r="I186" s="1775" t="s">
        <v>902</v>
      </c>
    </row>
    <row r="187" spans="1:9" ht="11.25" customHeight="1">
      <c r="A187" s="1775" t="s">
        <v>2243</v>
      </c>
      <c r="B187" s="1775" t="s">
        <v>16</v>
      </c>
      <c r="C187" s="1775" t="s">
        <v>22</v>
      </c>
      <c r="D187" s="1775" t="s">
        <v>2270</v>
      </c>
      <c r="E187" s="1775" t="s">
        <v>2271</v>
      </c>
      <c r="F187" s="1775" t="s">
        <v>2252</v>
      </c>
      <c r="G187" s="1775" t="s">
        <v>22</v>
      </c>
      <c r="H187" s="1775" t="s">
        <v>22</v>
      </c>
      <c r="I187" s="1775" t="s">
        <v>902</v>
      </c>
    </row>
    <row r="188" spans="1:9" ht="11.25" customHeight="1">
      <c r="A188" s="1775" t="s">
        <v>2243</v>
      </c>
      <c r="B188" s="1775" t="s">
        <v>16</v>
      </c>
      <c r="C188" s="1775" t="s">
        <v>2272</v>
      </c>
      <c r="D188" s="1775" t="s">
        <v>2273</v>
      </c>
      <c r="E188" s="1775" t="s">
        <v>2274</v>
      </c>
      <c r="F188" s="1775" t="s">
        <v>2275</v>
      </c>
      <c r="G188" s="1775" t="s">
        <v>22</v>
      </c>
      <c r="H188" s="1775" t="s">
        <v>22</v>
      </c>
      <c r="I188" s="1775" t="s">
        <v>902</v>
      </c>
    </row>
    <row r="189" spans="1:9" ht="11.25" customHeight="1">
      <c r="A189" s="1775" t="s">
        <v>2243</v>
      </c>
      <c r="B189" s="1775" t="s">
        <v>16</v>
      </c>
      <c r="C189" s="1775" t="s">
        <v>2501</v>
      </c>
      <c r="D189" s="1775" t="s">
        <v>2502</v>
      </c>
      <c r="E189" s="1775" t="s">
        <v>2503</v>
      </c>
      <c r="F189" s="1775" t="s">
        <v>2247</v>
      </c>
      <c r="G189" s="1775" t="s">
        <v>2504</v>
      </c>
      <c r="H189" s="1775" t="s">
        <v>22</v>
      </c>
      <c r="I189" s="1775" t="s">
        <v>902</v>
      </c>
    </row>
    <row r="190" spans="1:9" ht="11.25" customHeight="1">
      <c r="A190" s="1775" t="s">
        <v>2243</v>
      </c>
      <c r="B190" s="1775" t="s">
        <v>16</v>
      </c>
      <c r="C190" s="1775" t="s">
        <v>2514</v>
      </c>
      <c r="D190" s="1775" t="s">
        <v>2515</v>
      </c>
      <c r="E190" s="1775" t="s">
        <v>2516</v>
      </c>
      <c r="F190" s="1775" t="s">
        <v>2342</v>
      </c>
      <c r="G190" s="1775" t="s">
        <v>2517</v>
      </c>
      <c r="H190" s="1775" t="s">
        <v>22</v>
      </c>
      <c r="I190" s="1775" t="s">
        <v>902</v>
      </c>
    </row>
    <row r="191" spans="1:9" ht="11.25" customHeight="1">
      <c r="A191" s="1775" t="s">
        <v>2243</v>
      </c>
      <c r="B191" s="1775" t="s">
        <v>16</v>
      </c>
      <c r="C191" s="1775" t="s">
        <v>2518</v>
      </c>
      <c r="D191" s="1775" t="s">
        <v>2519</v>
      </c>
      <c r="E191" s="1775" t="s">
        <v>2520</v>
      </c>
      <c r="F191" s="1775" t="s">
        <v>2306</v>
      </c>
      <c r="G191" s="1775" t="s">
        <v>2521</v>
      </c>
      <c r="H191" s="1775" t="s">
        <v>22</v>
      </c>
      <c r="I191" s="1775" t="s">
        <v>902</v>
      </c>
    </row>
    <row r="192" spans="1:9" ht="11.25" customHeight="1">
      <c r="A192" s="1775" t="s">
        <v>2243</v>
      </c>
      <c r="B192" s="1775" t="s">
        <v>16</v>
      </c>
      <c r="C192" s="1775" t="s">
        <v>2308</v>
      </c>
      <c r="D192" s="1775" t="s">
        <v>2309</v>
      </c>
      <c r="E192" s="1775" t="s">
        <v>2310</v>
      </c>
      <c r="F192" s="1775" t="s">
        <v>2247</v>
      </c>
      <c r="G192" s="1775" t="s">
        <v>2311</v>
      </c>
      <c r="H192" s="1775" t="s">
        <v>22</v>
      </c>
      <c r="I192" s="1775" t="s">
        <v>902</v>
      </c>
    </row>
    <row r="193" spans="1:9" ht="11.25" customHeight="1">
      <c r="A193" s="1775" t="s">
        <v>2243</v>
      </c>
      <c r="B193" s="1775" t="s">
        <v>16</v>
      </c>
      <c r="C193" s="1775" t="s">
        <v>2312</v>
      </c>
      <c r="D193" s="1775" t="s">
        <v>2313</v>
      </c>
      <c r="E193" s="1775" t="s">
        <v>2314</v>
      </c>
      <c r="F193" s="1775" t="s">
        <v>2252</v>
      </c>
      <c r="G193" s="1775" t="s">
        <v>2315</v>
      </c>
      <c r="H193" s="1775" t="s">
        <v>22</v>
      </c>
      <c r="I193" s="1775" t="s">
        <v>902</v>
      </c>
    </row>
    <row r="194" spans="1:9" ht="11.25" customHeight="1">
      <c r="A194" s="1775" t="s">
        <v>2243</v>
      </c>
      <c r="B194" s="1775" t="s">
        <v>16</v>
      </c>
      <c r="C194" s="1775" t="s">
        <v>2316</v>
      </c>
      <c r="D194" s="1775" t="s">
        <v>2317</v>
      </c>
      <c r="E194" s="1775" t="s">
        <v>2318</v>
      </c>
      <c r="F194" s="1775" t="s">
        <v>2247</v>
      </c>
      <c r="G194" s="1775" t="s">
        <v>2319</v>
      </c>
      <c r="H194" s="1775" t="s">
        <v>22</v>
      </c>
      <c r="I194" s="1775" t="s">
        <v>902</v>
      </c>
    </row>
    <row r="195" spans="1:9" ht="11.25" customHeight="1">
      <c r="A195" s="1775" t="s">
        <v>2243</v>
      </c>
      <c r="B195" s="1775" t="s">
        <v>16</v>
      </c>
      <c r="C195" s="1775" t="s">
        <v>2320</v>
      </c>
      <c r="D195" s="1775" t="s">
        <v>2321</v>
      </c>
      <c r="E195" s="1775" t="s">
        <v>2322</v>
      </c>
      <c r="F195" s="1775" t="s">
        <v>2247</v>
      </c>
      <c r="G195" s="1775" t="s">
        <v>2323</v>
      </c>
      <c r="H195" s="1775" t="s">
        <v>22</v>
      </c>
      <c r="I195" s="1775" t="s">
        <v>902</v>
      </c>
    </row>
    <row r="196" spans="1:9" ht="11.25" customHeight="1">
      <c r="A196" s="1775" t="s">
        <v>2243</v>
      </c>
      <c r="B196" s="1775" t="s">
        <v>16</v>
      </c>
      <c r="C196" s="1775" t="s">
        <v>2324</v>
      </c>
      <c r="D196" s="1775" t="s">
        <v>2325</v>
      </c>
      <c r="E196" s="1775" t="s">
        <v>2326</v>
      </c>
      <c r="F196" s="1775" t="s">
        <v>2327</v>
      </c>
      <c r="G196" s="1775" t="s">
        <v>22</v>
      </c>
      <c r="H196" s="1775" t="s">
        <v>22</v>
      </c>
      <c r="I196" s="1775" t="s">
        <v>902</v>
      </c>
    </row>
    <row r="197" spans="1:9" ht="11.25" customHeight="1">
      <c r="A197" s="1775" t="s">
        <v>2243</v>
      </c>
      <c r="B197" s="1775" t="s">
        <v>16</v>
      </c>
      <c r="C197" s="1775" t="s">
        <v>2331</v>
      </c>
      <c r="D197" s="1775" t="s">
        <v>2332</v>
      </c>
      <c r="E197" s="1775" t="s">
        <v>2333</v>
      </c>
      <c r="F197" s="1775" t="s">
        <v>2247</v>
      </c>
      <c r="G197" s="1775" t="s">
        <v>2334</v>
      </c>
      <c r="H197" s="1775" t="s">
        <v>22</v>
      </c>
      <c r="I197" s="1775" t="s">
        <v>902</v>
      </c>
    </row>
    <row r="198" spans="1:9" ht="11.25" customHeight="1">
      <c r="A198" s="1775" t="s">
        <v>2243</v>
      </c>
      <c r="B198" s="1775" t="s">
        <v>16</v>
      </c>
      <c r="C198" s="1775" t="s">
        <v>2335</v>
      </c>
      <c r="D198" s="1775" t="s">
        <v>2336</v>
      </c>
      <c r="E198" s="1775" t="s">
        <v>2337</v>
      </c>
      <c r="F198" s="1775" t="s">
        <v>2247</v>
      </c>
      <c r="G198" s="1775" t="s">
        <v>2338</v>
      </c>
      <c r="H198" s="1775" t="s">
        <v>22</v>
      </c>
      <c r="I198" s="1775" t="s">
        <v>902</v>
      </c>
    </row>
    <row r="199" spans="1:9" ht="11.25" customHeight="1">
      <c r="A199" s="1775" t="s">
        <v>2243</v>
      </c>
      <c r="B199" s="1775" t="s">
        <v>16</v>
      </c>
      <c r="C199" s="1775" t="s">
        <v>2592</v>
      </c>
      <c r="D199" s="1775" t="s">
        <v>2593</v>
      </c>
      <c r="E199" s="1775" t="s">
        <v>2594</v>
      </c>
      <c r="F199" s="1775" t="s">
        <v>2247</v>
      </c>
      <c r="G199" s="1775" t="s">
        <v>2595</v>
      </c>
      <c r="H199" s="1775" t="s">
        <v>22</v>
      </c>
      <c r="I199" s="1775" t="s">
        <v>902</v>
      </c>
    </row>
    <row r="200" spans="1:9" ht="11.25" customHeight="1">
      <c r="A200" s="1775" t="s">
        <v>2243</v>
      </c>
      <c r="B200" s="1775" t="s">
        <v>16</v>
      </c>
      <c r="C200" s="1775" t="s">
        <v>2351</v>
      </c>
      <c r="D200" s="1775" t="s">
        <v>2352</v>
      </c>
      <c r="E200" s="1775" t="s">
        <v>2353</v>
      </c>
      <c r="F200" s="1775" t="s">
        <v>2247</v>
      </c>
      <c r="G200" s="1775" t="s">
        <v>2354</v>
      </c>
      <c r="H200" s="1775" t="s">
        <v>22</v>
      </c>
      <c r="I200" s="1775" t="s">
        <v>902</v>
      </c>
    </row>
    <row r="201" spans="1:9" ht="11.25" customHeight="1">
      <c r="A201" s="1775" t="s">
        <v>2243</v>
      </c>
      <c r="B201" s="1775" t="s">
        <v>16</v>
      </c>
      <c r="C201" s="1775" t="s">
        <v>2530</v>
      </c>
      <c r="D201" s="1775" t="s">
        <v>2531</v>
      </c>
      <c r="E201" s="1775" t="s">
        <v>2532</v>
      </c>
      <c r="F201" s="1775" t="s">
        <v>2342</v>
      </c>
      <c r="G201" s="1775" t="s">
        <v>2533</v>
      </c>
      <c r="H201" s="1775" t="s">
        <v>22</v>
      </c>
      <c r="I201" s="1775" t="s">
        <v>902</v>
      </c>
    </row>
    <row r="202" spans="1:9" ht="11.25" customHeight="1">
      <c r="A202" s="1775" t="s">
        <v>2243</v>
      </c>
      <c r="B202" s="1775" t="s">
        <v>16</v>
      </c>
      <c r="C202" s="1775" t="s">
        <v>2355</v>
      </c>
      <c r="D202" s="1775" t="s">
        <v>2356</v>
      </c>
      <c r="E202" s="1775" t="s">
        <v>2357</v>
      </c>
      <c r="F202" s="1775" t="s">
        <v>2247</v>
      </c>
      <c r="G202" s="1775" t="s">
        <v>2358</v>
      </c>
      <c r="H202" s="1775" t="s">
        <v>22</v>
      </c>
      <c r="I202" s="1775" t="s">
        <v>902</v>
      </c>
    </row>
    <row r="203" spans="1:9" ht="11.25" customHeight="1">
      <c r="A203" s="1775" t="s">
        <v>2243</v>
      </c>
      <c r="B203" s="1775" t="s">
        <v>16</v>
      </c>
      <c r="C203" s="1775" t="s">
        <v>2551</v>
      </c>
      <c r="D203" s="1775" t="s">
        <v>2552</v>
      </c>
      <c r="E203" s="1775" t="s">
        <v>2553</v>
      </c>
      <c r="F203" s="1775" t="s">
        <v>2252</v>
      </c>
      <c r="G203" s="1775" t="s">
        <v>22</v>
      </c>
      <c r="H203" s="1775" t="s">
        <v>22</v>
      </c>
      <c r="I203" s="1775" t="s">
        <v>902</v>
      </c>
    </row>
    <row r="204" spans="1:9" ht="11.25" customHeight="1">
      <c r="A204" s="1775" t="s">
        <v>2243</v>
      </c>
      <c r="B204" s="1775" t="s">
        <v>16</v>
      </c>
      <c r="C204" s="1775" t="s">
        <v>2375</v>
      </c>
      <c r="D204" s="1775" t="s">
        <v>2376</v>
      </c>
      <c r="E204" s="1775" t="s">
        <v>2377</v>
      </c>
      <c r="F204" s="1775" t="s">
        <v>2342</v>
      </c>
      <c r="G204" s="1775" t="s">
        <v>2362</v>
      </c>
      <c r="H204" s="1775" t="s">
        <v>22</v>
      </c>
      <c r="I204" s="1775" t="s">
        <v>902</v>
      </c>
    </row>
    <row r="205" spans="1:9" ht="11.25" customHeight="1">
      <c r="A205" s="1775" t="s">
        <v>2243</v>
      </c>
      <c r="B205" s="1775" t="s">
        <v>16</v>
      </c>
      <c r="C205" s="1775" t="s">
        <v>2378</v>
      </c>
      <c r="D205" s="1775" t="s">
        <v>2379</v>
      </c>
      <c r="E205" s="1775" t="s">
        <v>2380</v>
      </c>
      <c r="F205" s="1775" t="s">
        <v>2306</v>
      </c>
      <c r="G205" s="1775" t="s">
        <v>2381</v>
      </c>
      <c r="H205" s="1775" t="s">
        <v>22</v>
      </c>
      <c r="I205" s="1775" t="s">
        <v>902</v>
      </c>
    </row>
    <row r="206" spans="1:9" ht="11.25" customHeight="1">
      <c r="A206" s="1775" t="s">
        <v>2243</v>
      </c>
      <c r="B206" s="1775" t="s">
        <v>16</v>
      </c>
      <c r="C206" s="1775" t="s">
        <v>2554</v>
      </c>
      <c r="D206" s="1775" t="s">
        <v>2555</v>
      </c>
      <c r="E206" s="1775" t="s">
        <v>2556</v>
      </c>
      <c r="F206" s="1775" t="s">
        <v>2306</v>
      </c>
      <c r="G206" s="1775" t="s">
        <v>22</v>
      </c>
      <c r="H206" s="1775" t="s">
        <v>22</v>
      </c>
      <c r="I206" s="1775" t="s">
        <v>902</v>
      </c>
    </row>
    <row r="207" spans="1:9" ht="11.25" customHeight="1">
      <c r="A207" s="1775" t="s">
        <v>2243</v>
      </c>
      <c r="B207" s="1775" t="s">
        <v>16</v>
      </c>
      <c r="C207" s="1775" t="s">
        <v>2386</v>
      </c>
      <c r="D207" s="1775" t="s">
        <v>2387</v>
      </c>
      <c r="E207" s="1775" t="s">
        <v>2388</v>
      </c>
      <c r="F207" s="1775" t="s">
        <v>2306</v>
      </c>
      <c r="G207" s="1775" t="s">
        <v>2389</v>
      </c>
      <c r="H207" s="1775" t="s">
        <v>22</v>
      </c>
      <c r="I207" s="1775" t="s">
        <v>902</v>
      </c>
    </row>
    <row r="208" spans="1:9" ht="11.25" customHeight="1">
      <c r="A208" s="1775" t="s">
        <v>2243</v>
      </c>
      <c r="B208" s="1775" t="s">
        <v>16</v>
      </c>
      <c r="C208" s="1775" t="s">
        <v>2390</v>
      </c>
      <c r="D208" s="1775" t="s">
        <v>2391</v>
      </c>
      <c r="E208" s="1775" t="s">
        <v>2392</v>
      </c>
      <c r="F208" s="1775" t="s">
        <v>2267</v>
      </c>
      <c r="G208" s="1775" t="s">
        <v>2393</v>
      </c>
      <c r="H208" s="1775" t="s">
        <v>22</v>
      </c>
      <c r="I208" s="1775" t="s">
        <v>902</v>
      </c>
    </row>
    <row r="209" spans="1:9" ht="11.25" customHeight="1">
      <c r="A209" s="1775" t="s">
        <v>2243</v>
      </c>
      <c r="B209" s="1775" t="s">
        <v>16</v>
      </c>
      <c r="C209" s="1775" t="s">
        <v>2557</v>
      </c>
      <c r="D209" s="1775" t="s">
        <v>2558</v>
      </c>
      <c r="E209" s="1775" t="s">
        <v>2559</v>
      </c>
      <c r="F209" s="1775" t="s">
        <v>2342</v>
      </c>
      <c r="G209" s="1775" t="s">
        <v>2560</v>
      </c>
      <c r="H209" s="1775" t="s">
        <v>22</v>
      </c>
      <c r="I209" s="1775" t="s">
        <v>902</v>
      </c>
    </row>
    <row r="210" spans="1:9" ht="11.25" customHeight="1">
      <c r="A210" s="1775" t="s">
        <v>2243</v>
      </c>
      <c r="B210" s="1775" t="s">
        <v>16</v>
      </c>
      <c r="C210" s="1775" t="s">
        <v>2596</v>
      </c>
      <c r="D210" s="1775" t="s">
        <v>2597</v>
      </c>
      <c r="E210" s="1775" t="s">
        <v>2598</v>
      </c>
      <c r="F210" s="1775" t="s">
        <v>2342</v>
      </c>
      <c r="G210" s="1775" t="s">
        <v>22</v>
      </c>
      <c r="H210" s="1775" t="s">
        <v>22</v>
      </c>
      <c r="I210" s="1775" t="s">
        <v>902</v>
      </c>
    </row>
    <row r="211" spans="1:9" ht="11.25" customHeight="1">
      <c r="A211" s="1775" t="s">
        <v>2243</v>
      </c>
      <c r="B211" s="1775" t="s">
        <v>16</v>
      </c>
      <c r="C211" s="1775" t="s">
        <v>2402</v>
      </c>
      <c r="D211" s="1775" t="s">
        <v>2403</v>
      </c>
      <c r="E211" s="1775" t="s">
        <v>2404</v>
      </c>
      <c r="F211" s="1775" t="s">
        <v>2327</v>
      </c>
      <c r="G211" s="1775" t="s">
        <v>22</v>
      </c>
      <c r="H211" s="1775" t="s">
        <v>22</v>
      </c>
      <c r="I211" s="1775" t="s">
        <v>902</v>
      </c>
    </row>
    <row r="212" spans="1:9" ht="11.25" customHeight="1">
      <c r="A212" s="1775" t="s">
        <v>2243</v>
      </c>
      <c r="B212" s="1775" t="s">
        <v>16</v>
      </c>
      <c r="C212" s="1775" t="s">
        <v>2405</v>
      </c>
      <c r="D212" s="1775" t="s">
        <v>2406</v>
      </c>
      <c r="E212" s="1775" t="s">
        <v>2407</v>
      </c>
      <c r="F212" s="1775" t="s">
        <v>2247</v>
      </c>
      <c r="G212" s="1775" t="s">
        <v>2408</v>
      </c>
      <c r="H212" s="1775" t="s">
        <v>22</v>
      </c>
      <c r="I212" s="1775" t="s">
        <v>902</v>
      </c>
    </row>
    <row r="213" spans="1:9" ht="11.25" customHeight="1">
      <c r="A213" s="1775" t="s">
        <v>2243</v>
      </c>
      <c r="B213" s="1775" t="s">
        <v>16</v>
      </c>
      <c r="C213" s="1775" t="s">
        <v>2599</v>
      </c>
      <c r="D213" s="1775" t="s">
        <v>2600</v>
      </c>
      <c r="E213" s="1775" t="s">
        <v>2601</v>
      </c>
      <c r="F213" s="1775" t="s">
        <v>2342</v>
      </c>
      <c r="G213" s="1775" t="s">
        <v>2602</v>
      </c>
      <c r="H213" s="1775" t="s">
        <v>22</v>
      </c>
      <c r="I213" s="1775" t="s">
        <v>902</v>
      </c>
    </row>
    <row r="214" spans="1:9" ht="11.25" customHeight="1">
      <c r="A214" s="1775" t="s">
        <v>2243</v>
      </c>
      <c r="B214" s="1775" t="s">
        <v>16</v>
      </c>
      <c r="C214" s="1775" t="s">
        <v>2420</v>
      </c>
      <c r="D214" s="1775" t="s">
        <v>2421</v>
      </c>
      <c r="E214" s="1775" t="s">
        <v>2422</v>
      </c>
      <c r="F214" s="1775" t="s">
        <v>2267</v>
      </c>
      <c r="G214" s="1775" t="s">
        <v>22</v>
      </c>
      <c r="H214" s="1775" t="s">
        <v>22</v>
      </c>
      <c r="I214" s="1775" t="s">
        <v>902</v>
      </c>
    </row>
    <row r="215" spans="1:9" ht="11.25" customHeight="1">
      <c r="A215" s="1775" t="s">
        <v>2243</v>
      </c>
      <c r="B215" s="1775" t="s">
        <v>16</v>
      </c>
      <c r="C215" s="1775" t="s">
        <v>2426</v>
      </c>
      <c r="D215" s="1775" t="s">
        <v>2427</v>
      </c>
      <c r="E215" s="1775" t="s">
        <v>2428</v>
      </c>
      <c r="F215" s="1775" t="s">
        <v>2342</v>
      </c>
      <c r="G215" s="1775" t="s">
        <v>2429</v>
      </c>
      <c r="H215" s="1775" t="s">
        <v>22</v>
      </c>
      <c r="I215" s="1775" t="s">
        <v>902</v>
      </c>
    </row>
    <row r="216" spans="1:9" ht="11.25" customHeight="1">
      <c r="A216" s="1775" t="s">
        <v>2243</v>
      </c>
      <c r="B216" s="1775" t="s">
        <v>16</v>
      </c>
      <c r="C216" s="1775" t="s">
        <v>2430</v>
      </c>
      <c r="D216" s="1775" t="s">
        <v>2431</v>
      </c>
      <c r="E216" s="1775" t="s">
        <v>2432</v>
      </c>
      <c r="F216" s="1775" t="s">
        <v>2306</v>
      </c>
      <c r="G216" s="1775" t="s">
        <v>2433</v>
      </c>
      <c r="H216" s="1775" t="s">
        <v>22</v>
      </c>
      <c r="I216" s="1775" t="s">
        <v>902</v>
      </c>
    </row>
    <row r="217" spans="1:9" ht="11.25" customHeight="1">
      <c r="A217" s="1775" t="s">
        <v>2243</v>
      </c>
      <c r="B217" s="1775" t="s">
        <v>16</v>
      </c>
      <c r="C217" s="1775" t="s">
        <v>2603</v>
      </c>
      <c r="D217" s="1775" t="s">
        <v>2604</v>
      </c>
      <c r="E217" s="1775" t="s">
        <v>2605</v>
      </c>
      <c r="F217" s="1775" t="s">
        <v>2256</v>
      </c>
      <c r="G217" s="1775" t="s">
        <v>2571</v>
      </c>
      <c r="H217" s="1775" t="s">
        <v>22</v>
      </c>
      <c r="I217" s="1775" t="s">
        <v>902</v>
      </c>
    </row>
    <row r="218" spans="1:9" ht="11.25" customHeight="1">
      <c r="A218" s="1775" t="s">
        <v>2243</v>
      </c>
      <c r="B218" s="1775" t="s">
        <v>16</v>
      </c>
      <c r="C218" s="1775" t="s">
        <v>2572</v>
      </c>
      <c r="D218" s="1775" t="s">
        <v>2573</v>
      </c>
      <c r="E218" s="1775" t="s">
        <v>2574</v>
      </c>
      <c r="F218" s="1775" t="s">
        <v>2342</v>
      </c>
      <c r="G218" s="1775" t="s">
        <v>2575</v>
      </c>
      <c r="H218" s="1775" t="s">
        <v>22</v>
      </c>
      <c r="I218" s="1775" t="s">
        <v>902</v>
      </c>
    </row>
    <row r="219" spans="1:9" ht="11.25" customHeight="1">
      <c r="A219" s="1775" t="s">
        <v>2243</v>
      </c>
      <c r="B219" s="1775" t="s">
        <v>16</v>
      </c>
      <c r="C219" s="1775" t="s">
        <v>2606</v>
      </c>
      <c r="D219" s="1775" t="s">
        <v>2607</v>
      </c>
      <c r="E219" s="1775" t="s">
        <v>2608</v>
      </c>
      <c r="F219" s="1775" t="s">
        <v>2306</v>
      </c>
      <c r="G219" s="1775" t="s">
        <v>2609</v>
      </c>
      <c r="H219" s="1775" t="s">
        <v>22</v>
      </c>
      <c r="I219" s="1775" t="s">
        <v>902</v>
      </c>
    </row>
    <row r="220" spans="1:9" ht="11.25" customHeight="1">
      <c r="A220" s="1775" t="s">
        <v>2243</v>
      </c>
      <c r="B220" s="1775" t="s">
        <v>16</v>
      </c>
      <c r="C220" s="1775" t="s">
        <v>2442</v>
      </c>
      <c r="D220" s="1775" t="s">
        <v>2443</v>
      </c>
      <c r="E220" s="1775" t="s">
        <v>2444</v>
      </c>
      <c r="F220" s="1775" t="s">
        <v>2256</v>
      </c>
      <c r="G220" s="1775" t="s">
        <v>2362</v>
      </c>
      <c r="H220" s="1775" t="s">
        <v>22</v>
      </c>
      <c r="I220" s="1775" t="s">
        <v>902</v>
      </c>
    </row>
    <row r="221" spans="1:9" ht="11.25" customHeight="1">
      <c r="A221" s="1775" t="s">
        <v>2243</v>
      </c>
      <c r="B221" s="1775" t="s">
        <v>16</v>
      </c>
      <c r="C221" s="1775" t="s">
        <v>2457</v>
      </c>
      <c r="D221" s="1775" t="s">
        <v>2458</v>
      </c>
      <c r="E221" s="1775" t="s">
        <v>2459</v>
      </c>
      <c r="F221" s="1775" t="s">
        <v>2460</v>
      </c>
      <c r="G221" s="1775" t="s">
        <v>2461</v>
      </c>
      <c r="H221" s="1775" t="s">
        <v>22</v>
      </c>
      <c r="I221" s="1775" t="s">
        <v>902</v>
      </c>
    </row>
    <row r="222" spans="1:9" ht="11.25" customHeight="1">
      <c r="A222" s="1775" t="s">
        <v>2243</v>
      </c>
      <c r="B222" s="1775" t="s">
        <v>16</v>
      </c>
      <c r="C222" s="1775" t="s">
        <v>2480</v>
      </c>
      <c r="D222" s="1775" t="s">
        <v>2481</v>
      </c>
      <c r="E222" s="1775" t="s">
        <v>2482</v>
      </c>
      <c r="F222" s="1775" t="s">
        <v>2306</v>
      </c>
      <c r="G222" s="1775" t="s">
        <v>2483</v>
      </c>
      <c r="H222" s="1775" t="s">
        <v>22</v>
      </c>
      <c r="I222" s="1775" t="s">
        <v>902</v>
      </c>
    </row>
    <row r="223" spans="1:9" ht="11.25" customHeight="1">
      <c r="A223" s="1775" t="s">
        <v>2243</v>
      </c>
      <c r="B223" s="1775" t="s">
        <v>16</v>
      </c>
      <c r="C223" s="1775" t="s">
        <v>2484</v>
      </c>
      <c r="D223" s="1775" t="s">
        <v>2485</v>
      </c>
      <c r="E223" s="1775" t="s">
        <v>2486</v>
      </c>
      <c r="F223" s="1775" t="s">
        <v>2256</v>
      </c>
      <c r="G223" s="1775" t="s">
        <v>2487</v>
      </c>
      <c r="H223" s="1775" t="s">
        <v>22</v>
      </c>
      <c r="I223" s="1775" t="s">
        <v>902</v>
      </c>
    </row>
    <row r="224" spans="1:9" ht="11.25" customHeight="1">
      <c r="A224" s="1775" t="s">
        <v>2243</v>
      </c>
      <c r="B224" s="1775" t="s">
        <v>16</v>
      </c>
      <c r="C224" s="1775" t="s">
        <v>13</v>
      </c>
      <c r="D224" s="1775" t="s">
        <v>46</v>
      </c>
      <c r="E224" s="1775" t="s">
        <v>49</v>
      </c>
      <c r="F224" s="1775" t="s">
        <v>51</v>
      </c>
      <c r="G224" s="1775" t="s">
        <v>22</v>
      </c>
      <c r="H224" s="1775" t="s">
        <v>22</v>
      </c>
      <c r="I224" s="1775" t="s">
        <v>902</v>
      </c>
    </row>
    <row r="225" spans="1:9" ht="11.25" customHeight="1">
      <c r="A225" s="1775" t="s">
        <v>2243</v>
      </c>
      <c r="B225" s="1775" t="s">
        <v>16</v>
      </c>
      <c r="C225" s="1775" t="s">
        <v>2495</v>
      </c>
      <c r="D225" s="1775" t="s">
        <v>2496</v>
      </c>
      <c r="E225" s="1775" t="s">
        <v>2497</v>
      </c>
      <c r="F225" s="1775" t="s">
        <v>2498</v>
      </c>
      <c r="G225" s="1775" t="s">
        <v>22</v>
      </c>
      <c r="H225" s="1775" t="s">
        <v>22</v>
      </c>
      <c r="I225" s="1775" t="s">
        <v>902</v>
      </c>
    </row>
    <row r="226" spans="1:9" ht="11.25" customHeight="1">
      <c r="A226" s="1775" t="s">
        <v>2243</v>
      </c>
      <c r="B226" s="1775" t="s">
        <v>16</v>
      </c>
      <c r="C226" s="1775" t="s">
        <v>2610</v>
      </c>
      <c r="D226" s="1775" t="s">
        <v>2611</v>
      </c>
      <c r="E226" s="1775" t="s">
        <v>2612</v>
      </c>
      <c r="F226" s="1775" t="s">
        <v>2247</v>
      </c>
      <c r="G226" s="1775" t="s">
        <v>2613</v>
      </c>
      <c r="H226" s="1775" t="s">
        <v>22</v>
      </c>
      <c r="I226" s="1775" t="s">
        <v>1616</v>
      </c>
    </row>
    <row r="227" spans="1:9" ht="11.25" customHeight="1">
      <c r="A227" s="1775" t="s">
        <v>2243</v>
      </c>
      <c r="B227" s="1775" t="s">
        <v>16</v>
      </c>
      <c r="C227" s="1775" t="s">
        <v>22</v>
      </c>
      <c r="D227" s="1775" t="s">
        <v>2268</v>
      </c>
      <c r="E227" s="1775" t="s">
        <v>2269</v>
      </c>
      <c r="F227" s="1775" t="s">
        <v>2252</v>
      </c>
      <c r="G227" s="1775" t="s">
        <v>22</v>
      </c>
      <c r="H227" s="1775" t="s">
        <v>22</v>
      </c>
      <c r="I227" s="1775" t="s">
        <v>1616</v>
      </c>
    </row>
    <row r="228" spans="1:9" ht="11.25" customHeight="1">
      <c r="A228" s="1775" t="s">
        <v>2243</v>
      </c>
      <c r="B228" s="1775" t="s">
        <v>16</v>
      </c>
      <c r="C228" s="1775" t="s">
        <v>22</v>
      </c>
      <c r="D228" s="1775" t="s">
        <v>2270</v>
      </c>
      <c r="E228" s="1775" t="s">
        <v>2271</v>
      </c>
      <c r="F228" s="1775" t="s">
        <v>2252</v>
      </c>
      <c r="G228" s="1775" t="s">
        <v>22</v>
      </c>
      <c r="H228" s="1775" t="s">
        <v>22</v>
      </c>
      <c r="I228" s="1775" t="s">
        <v>1616</v>
      </c>
    </row>
    <row r="229" spans="1:9" ht="11.25" customHeight="1">
      <c r="A229" s="1775" t="s">
        <v>2243</v>
      </c>
      <c r="B229" s="1775" t="s">
        <v>16</v>
      </c>
      <c r="C229" s="1775" t="s">
        <v>2614</v>
      </c>
      <c r="D229" s="1775" t="s">
        <v>2615</v>
      </c>
      <c r="E229" s="1775" t="s">
        <v>2616</v>
      </c>
      <c r="F229" s="1775" t="s">
        <v>2617</v>
      </c>
      <c r="G229" s="1775" t="s">
        <v>2618</v>
      </c>
      <c r="H229" s="1775" t="s">
        <v>22</v>
      </c>
      <c r="I229" s="1775" t="s">
        <v>1616</v>
      </c>
    </row>
    <row r="230" spans="1:9" ht="11.25" customHeight="1">
      <c r="A230" s="1775" t="s">
        <v>2243</v>
      </c>
      <c r="B230" s="1775" t="s">
        <v>16</v>
      </c>
      <c r="C230" s="1775" t="s">
        <v>2619</v>
      </c>
      <c r="D230" s="1775" t="s">
        <v>2620</v>
      </c>
      <c r="E230" s="1775" t="s">
        <v>2621</v>
      </c>
      <c r="F230" s="1775" t="s">
        <v>2247</v>
      </c>
      <c r="G230" s="1775" t="s">
        <v>2622</v>
      </c>
      <c r="H230" s="1775" t="s">
        <v>22</v>
      </c>
      <c r="I230" s="1775" t="s">
        <v>1616</v>
      </c>
    </row>
    <row r="231" spans="1:9" ht="11.25" customHeight="1">
      <c r="A231" s="1775" t="s">
        <v>2243</v>
      </c>
      <c r="B231" s="1775" t="s">
        <v>16</v>
      </c>
      <c r="C231" s="1775" t="s">
        <v>2623</v>
      </c>
      <c r="D231" s="1775" t="s">
        <v>2624</v>
      </c>
      <c r="E231" s="1775" t="s">
        <v>2625</v>
      </c>
      <c r="F231" s="1775" t="s">
        <v>2370</v>
      </c>
      <c r="G231" s="1775" t="s">
        <v>2626</v>
      </c>
      <c r="H231" s="1775" t="s">
        <v>22</v>
      </c>
      <c r="I231" s="1775" t="s">
        <v>1616</v>
      </c>
    </row>
    <row r="232" spans="1:9" ht="11.25" customHeight="1">
      <c r="A232" s="1775" t="s">
        <v>2243</v>
      </c>
      <c r="B232" s="1775" t="s">
        <v>16</v>
      </c>
      <c r="C232" s="1775" t="s">
        <v>2627</v>
      </c>
      <c r="D232" s="1775" t="s">
        <v>2628</v>
      </c>
      <c r="E232" s="1775" t="s">
        <v>2629</v>
      </c>
      <c r="F232" s="1775" t="s">
        <v>2630</v>
      </c>
      <c r="G232" s="1775" t="s">
        <v>22</v>
      </c>
      <c r="H232" s="1775" t="s">
        <v>22</v>
      </c>
      <c r="I232" s="1775" t="s">
        <v>1616</v>
      </c>
    </row>
    <row r="233" spans="1:9" ht="11.25" customHeight="1">
      <c r="A233" s="1775" t="s">
        <v>2243</v>
      </c>
      <c r="B233" s="1775" t="s">
        <v>16</v>
      </c>
      <c r="C233" s="1775" t="s">
        <v>2631</v>
      </c>
      <c r="D233" s="1775" t="s">
        <v>2632</v>
      </c>
      <c r="E233" s="1775" t="s">
        <v>2633</v>
      </c>
      <c r="F233" s="1775" t="s">
        <v>2247</v>
      </c>
      <c r="G233" s="1775" t="s">
        <v>2634</v>
      </c>
      <c r="H233" s="1775" t="s">
        <v>22</v>
      </c>
      <c r="I233" s="1775" t="s">
        <v>1616</v>
      </c>
    </row>
    <row r="234" spans="1:9" ht="11.25" customHeight="1">
      <c r="A234" s="1775" t="s">
        <v>2243</v>
      </c>
      <c r="B234" s="1775" t="s">
        <v>16</v>
      </c>
      <c r="C234" s="1775" t="s">
        <v>2465</v>
      </c>
      <c r="D234" s="1775" t="s">
        <v>2466</v>
      </c>
      <c r="E234" s="1775" t="s">
        <v>2467</v>
      </c>
      <c r="F234" s="1775" t="s">
        <v>2370</v>
      </c>
      <c r="G234" s="1775" t="s">
        <v>2468</v>
      </c>
      <c r="H234" s="1775" t="s">
        <v>22</v>
      </c>
      <c r="I234" s="1775" t="s">
        <v>1616</v>
      </c>
    </row>
    <row r="235" spans="1:9" ht="11.25" customHeight="1">
      <c r="A235" s="1775" t="s">
        <v>2243</v>
      </c>
      <c r="B235" s="1775" t="s">
        <v>16</v>
      </c>
      <c r="C235" s="1775" t="s">
        <v>2635</v>
      </c>
      <c r="D235" s="1775" t="s">
        <v>2636</v>
      </c>
      <c r="E235" s="1775" t="s">
        <v>2637</v>
      </c>
      <c r="F235" s="1775" t="s">
        <v>2306</v>
      </c>
      <c r="G235" s="1775" t="s">
        <v>22</v>
      </c>
      <c r="H235" s="1775" t="s">
        <v>22</v>
      </c>
      <c r="I235" s="1775" t="s">
        <v>1616</v>
      </c>
    </row>
    <row r="236" spans="1:9" ht="11.25" customHeight="1">
      <c r="A236" s="1775" t="s">
        <v>2243</v>
      </c>
      <c r="B236" s="1775" t="s">
        <v>16</v>
      </c>
      <c r="C236" s="1775" t="s">
        <v>2638</v>
      </c>
      <c r="D236" s="1775" t="s">
        <v>2639</v>
      </c>
      <c r="E236" s="1775" t="s">
        <v>2640</v>
      </c>
      <c r="F236" s="1775" t="s">
        <v>2306</v>
      </c>
      <c r="G236" s="1775" t="s">
        <v>2641</v>
      </c>
      <c r="H236" s="1775" t="s">
        <v>22</v>
      </c>
      <c r="I236" s="1775"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2"/>
  <sheetViews>
    <sheetView showGridLines="0" workbookViewId="0"/>
  </sheetViews>
  <sheetFormatPr defaultRowHeight="11.25" customHeight="1"/>
  <cols>
    <col min="1" max="1" width="9.140625" style="1775"/>
  </cols>
  <sheetData>
    <row r="1" spans="1:7" ht="11.25" customHeight="1">
      <c r="A1" s="309" t="s">
        <v>2642</v>
      </c>
      <c r="B1" s="3" t="s">
        <v>2643</v>
      </c>
      <c r="C1" s="3" t="s">
        <v>2644</v>
      </c>
      <c r="D1" s="3" t="s">
        <v>2645</v>
      </c>
      <c r="E1" t="s">
        <v>2646</v>
      </c>
      <c r="F1" t="s">
        <v>2647</v>
      </c>
      <c r="G1" t="s">
        <v>2648</v>
      </c>
    </row>
    <row r="2" spans="1:7" ht="11.25" customHeight="1">
      <c r="A2" s="309" t="s">
        <v>16</v>
      </c>
      <c r="B2" t="s">
        <v>2649</v>
      </c>
      <c r="C2" t="s">
        <v>2650</v>
      </c>
      <c r="D2" t="s">
        <v>2649</v>
      </c>
      <c r="E2" t="s">
        <v>2650</v>
      </c>
      <c r="F2" t="s">
        <v>2651</v>
      </c>
      <c r="G2" t="s">
        <v>105</v>
      </c>
    </row>
    <row r="3" spans="1:7" ht="11.25" customHeight="1">
      <c r="A3" s="309" t="s">
        <v>16</v>
      </c>
      <c r="B3" t="s">
        <v>2649</v>
      </c>
      <c r="C3" t="s">
        <v>2650</v>
      </c>
      <c r="D3" t="s">
        <v>2652</v>
      </c>
      <c r="E3" t="s">
        <v>2653</v>
      </c>
      <c r="F3" t="s">
        <v>2654</v>
      </c>
      <c r="G3" t="s">
        <v>106</v>
      </c>
    </row>
    <row r="4" spans="1:7" ht="11.25" customHeight="1">
      <c r="A4" s="309" t="s">
        <v>16</v>
      </c>
      <c r="B4" t="s">
        <v>2649</v>
      </c>
      <c r="C4" t="s">
        <v>2650</v>
      </c>
      <c r="D4" t="s">
        <v>2655</v>
      </c>
      <c r="E4" t="s">
        <v>2656</v>
      </c>
      <c r="F4" t="s">
        <v>2654</v>
      </c>
      <c r="G4" t="s">
        <v>86</v>
      </c>
    </row>
    <row r="5" spans="1:7" ht="11.25" customHeight="1">
      <c r="A5" s="309" t="s">
        <v>16</v>
      </c>
      <c r="B5" t="s">
        <v>2649</v>
      </c>
      <c r="C5" t="s">
        <v>2650</v>
      </c>
      <c r="D5" t="s">
        <v>2657</v>
      </c>
      <c r="E5" t="s">
        <v>2658</v>
      </c>
      <c r="F5" t="s">
        <v>2654</v>
      </c>
      <c r="G5" t="s">
        <v>87</v>
      </c>
    </row>
    <row r="6" spans="1:7" ht="11.25" customHeight="1">
      <c r="A6" s="309" t="s">
        <v>16</v>
      </c>
      <c r="B6" t="s">
        <v>2649</v>
      </c>
      <c r="C6" t="s">
        <v>2650</v>
      </c>
      <c r="D6" t="s">
        <v>2659</v>
      </c>
      <c r="E6" t="s">
        <v>2660</v>
      </c>
      <c r="F6" t="s">
        <v>2654</v>
      </c>
      <c r="G6" t="s">
        <v>107</v>
      </c>
    </row>
    <row r="7" spans="1:7" ht="11.25" customHeight="1">
      <c r="A7" s="309" t="s">
        <v>16</v>
      </c>
      <c r="B7" t="s">
        <v>2649</v>
      </c>
      <c r="C7" t="s">
        <v>2650</v>
      </c>
      <c r="D7" t="s">
        <v>2661</v>
      </c>
      <c r="E7" t="s">
        <v>2662</v>
      </c>
      <c r="F7" t="s">
        <v>2654</v>
      </c>
      <c r="G7" t="s">
        <v>88</v>
      </c>
    </row>
    <row r="8" spans="1:7" ht="11.25" customHeight="1">
      <c r="A8" s="309" t="s">
        <v>16</v>
      </c>
      <c r="B8" t="s">
        <v>2649</v>
      </c>
      <c r="C8" t="s">
        <v>2650</v>
      </c>
      <c r="D8" t="s">
        <v>2663</v>
      </c>
      <c r="E8" t="s">
        <v>2664</v>
      </c>
      <c r="F8" t="s">
        <v>2654</v>
      </c>
      <c r="G8" t="s">
        <v>89</v>
      </c>
    </row>
    <row r="9" spans="1:7" ht="11.25" customHeight="1">
      <c r="A9" s="309" t="s">
        <v>16</v>
      </c>
      <c r="B9" t="s">
        <v>2649</v>
      </c>
      <c r="C9" t="s">
        <v>2650</v>
      </c>
      <c r="D9" t="s">
        <v>2665</v>
      </c>
      <c r="E9" t="s">
        <v>2666</v>
      </c>
      <c r="F9" t="s">
        <v>2654</v>
      </c>
      <c r="G9" t="s">
        <v>108</v>
      </c>
    </row>
    <row r="10" spans="1:7" ht="11.25" customHeight="1">
      <c r="A10" s="309" t="s">
        <v>16</v>
      </c>
      <c r="B10" t="s">
        <v>2649</v>
      </c>
      <c r="C10" t="s">
        <v>2650</v>
      </c>
      <c r="D10" t="s">
        <v>2667</v>
      </c>
      <c r="E10" t="s">
        <v>2668</v>
      </c>
      <c r="F10" t="s">
        <v>2654</v>
      </c>
      <c r="G10" t="s">
        <v>145</v>
      </c>
    </row>
    <row r="11" spans="1:7" ht="11.25" customHeight="1">
      <c r="A11" s="309" t="s">
        <v>16</v>
      </c>
      <c r="B11" t="s">
        <v>2649</v>
      </c>
      <c r="C11" t="s">
        <v>2650</v>
      </c>
      <c r="D11" t="s">
        <v>2669</v>
      </c>
      <c r="E11" t="s">
        <v>2670</v>
      </c>
      <c r="F11" t="s">
        <v>2654</v>
      </c>
      <c r="G11" t="s">
        <v>146</v>
      </c>
    </row>
    <row r="12" spans="1:7" ht="11.25" customHeight="1">
      <c r="A12" s="309" t="s">
        <v>16</v>
      </c>
      <c r="B12" t="s">
        <v>2671</v>
      </c>
      <c r="C12" t="s">
        <v>2672</v>
      </c>
      <c r="D12" t="s">
        <v>2671</v>
      </c>
      <c r="E12" t="s">
        <v>2672</v>
      </c>
      <c r="F12" t="s">
        <v>2651</v>
      </c>
      <c r="G12" t="s">
        <v>147</v>
      </c>
    </row>
    <row r="13" spans="1:7" ht="11.25" customHeight="1">
      <c r="A13" s="309" t="s">
        <v>16</v>
      </c>
      <c r="B13" t="s">
        <v>2671</v>
      </c>
      <c r="C13" t="s">
        <v>2672</v>
      </c>
      <c r="D13" t="s">
        <v>2673</v>
      </c>
      <c r="E13" t="s">
        <v>2674</v>
      </c>
      <c r="F13" t="s">
        <v>2654</v>
      </c>
      <c r="G13" t="s">
        <v>148</v>
      </c>
    </row>
    <row r="14" spans="1:7" ht="11.25" customHeight="1">
      <c r="A14" s="309" t="s">
        <v>16</v>
      </c>
      <c r="B14" t="s">
        <v>2671</v>
      </c>
      <c r="C14" t="s">
        <v>2672</v>
      </c>
      <c r="D14" t="s">
        <v>2675</v>
      </c>
      <c r="E14" t="s">
        <v>2676</v>
      </c>
      <c r="F14" t="s">
        <v>2654</v>
      </c>
      <c r="G14" t="s">
        <v>149</v>
      </c>
    </row>
    <row r="15" spans="1:7" ht="11.25" customHeight="1">
      <c r="A15" s="309" t="s">
        <v>16</v>
      </c>
      <c r="B15" t="s">
        <v>2671</v>
      </c>
      <c r="C15" t="s">
        <v>2672</v>
      </c>
      <c r="D15" t="s">
        <v>2677</v>
      </c>
      <c r="E15" t="s">
        <v>2678</v>
      </c>
      <c r="F15" t="s">
        <v>2654</v>
      </c>
      <c r="G15" t="s">
        <v>150</v>
      </c>
    </row>
    <row r="16" spans="1:7" ht="11.25" customHeight="1">
      <c r="A16" s="309" t="s">
        <v>16</v>
      </c>
      <c r="B16" t="s">
        <v>2671</v>
      </c>
      <c r="C16" t="s">
        <v>2672</v>
      </c>
      <c r="D16" t="s">
        <v>2679</v>
      </c>
      <c r="E16" t="s">
        <v>2680</v>
      </c>
      <c r="F16" t="s">
        <v>2654</v>
      </c>
      <c r="G16" t="s">
        <v>1459</v>
      </c>
    </row>
    <row r="17" spans="1:7" ht="11.25" customHeight="1">
      <c r="A17" s="309" t="s">
        <v>16</v>
      </c>
      <c r="B17" t="s">
        <v>2671</v>
      </c>
      <c r="C17" t="s">
        <v>2672</v>
      </c>
      <c r="D17" t="s">
        <v>2681</v>
      </c>
      <c r="E17" t="s">
        <v>2682</v>
      </c>
      <c r="F17" t="s">
        <v>2654</v>
      </c>
      <c r="G17" t="s">
        <v>1465</v>
      </c>
    </row>
    <row r="18" spans="1:7" ht="11.25" customHeight="1">
      <c r="A18" s="309" t="s">
        <v>16</v>
      </c>
      <c r="B18" t="s">
        <v>2671</v>
      </c>
      <c r="C18" t="s">
        <v>2672</v>
      </c>
      <c r="D18" t="s">
        <v>2683</v>
      </c>
      <c r="E18" t="s">
        <v>2684</v>
      </c>
      <c r="F18" t="s">
        <v>2654</v>
      </c>
      <c r="G18" t="s">
        <v>1477</v>
      </c>
    </row>
    <row r="19" spans="1:7" ht="11.25" customHeight="1">
      <c r="A19" s="309" t="s">
        <v>16</v>
      </c>
      <c r="B19" t="s">
        <v>2671</v>
      </c>
      <c r="C19" t="s">
        <v>2672</v>
      </c>
      <c r="D19" t="s">
        <v>2685</v>
      </c>
      <c r="E19" t="s">
        <v>2686</v>
      </c>
      <c r="F19" t="s">
        <v>2654</v>
      </c>
      <c r="G19" t="s">
        <v>1491</v>
      </c>
    </row>
    <row r="20" spans="1:7" ht="11.25" customHeight="1">
      <c r="A20" s="309" t="s">
        <v>16</v>
      </c>
      <c r="B20" t="s">
        <v>2671</v>
      </c>
      <c r="C20" t="s">
        <v>2672</v>
      </c>
      <c r="D20" t="s">
        <v>2687</v>
      </c>
      <c r="E20" t="s">
        <v>2688</v>
      </c>
      <c r="F20" t="s">
        <v>2654</v>
      </c>
      <c r="G20" t="s">
        <v>1503</v>
      </c>
    </row>
    <row r="21" spans="1:7" ht="11.25" customHeight="1">
      <c r="A21" s="309" t="s">
        <v>16</v>
      </c>
      <c r="B21" t="s">
        <v>2671</v>
      </c>
      <c r="C21" t="s">
        <v>2672</v>
      </c>
      <c r="D21" t="s">
        <v>2689</v>
      </c>
      <c r="E21" t="s">
        <v>2690</v>
      </c>
      <c r="F21" t="s">
        <v>2691</v>
      </c>
      <c r="G21" t="s">
        <v>1512</v>
      </c>
    </row>
    <row r="22" spans="1:7" ht="11.25" customHeight="1">
      <c r="A22" s="309" t="s">
        <v>16</v>
      </c>
      <c r="B22" t="s">
        <v>2671</v>
      </c>
      <c r="C22" t="s">
        <v>2672</v>
      </c>
      <c r="D22" t="s">
        <v>2692</v>
      </c>
      <c r="E22" t="s">
        <v>2693</v>
      </c>
      <c r="F22" t="s">
        <v>2691</v>
      </c>
      <c r="G22" t="s">
        <v>1528</v>
      </c>
    </row>
    <row r="23" spans="1:7" ht="11.25" customHeight="1">
      <c r="A23" s="309" t="s">
        <v>16</v>
      </c>
      <c r="B23" t="s">
        <v>2671</v>
      </c>
      <c r="C23" t="s">
        <v>2672</v>
      </c>
      <c r="D23" t="s">
        <v>2694</v>
      </c>
      <c r="E23" t="s">
        <v>2695</v>
      </c>
      <c r="F23" t="s">
        <v>2691</v>
      </c>
      <c r="G23" t="s">
        <v>1535</v>
      </c>
    </row>
    <row r="24" spans="1:7" ht="11.25" customHeight="1">
      <c r="A24" s="309" t="s">
        <v>16</v>
      </c>
      <c r="B24" t="s">
        <v>2671</v>
      </c>
      <c r="C24" t="s">
        <v>2672</v>
      </c>
      <c r="D24" t="s">
        <v>2696</v>
      </c>
      <c r="E24" t="s">
        <v>2697</v>
      </c>
      <c r="F24" t="s">
        <v>2654</v>
      </c>
      <c r="G24" t="s">
        <v>1543</v>
      </c>
    </row>
    <row r="25" spans="1:7" ht="11.25" customHeight="1">
      <c r="A25" s="309" t="s">
        <v>16</v>
      </c>
      <c r="B25" t="s">
        <v>2671</v>
      </c>
      <c r="C25" t="s">
        <v>2672</v>
      </c>
      <c r="D25" t="s">
        <v>2698</v>
      </c>
      <c r="E25" t="s">
        <v>2699</v>
      </c>
      <c r="F25" t="s">
        <v>2654</v>
      </c>
      <c r="G25" t="s">
        <v>1550</v>
      </c>
    </row>
    <row r="26" spans="1:7" ht="11.25" customHeight="1">
      <c r="A26" s="309" t="s">
        <v>16</v>
      </c>
      <c r="B26" t="s">
        <v>2671</v>
      </c>
      <c r="C26" t="s">
        <v>2672</v>
      </c>
      <c r="D26" t="s">
        <v>2700</v>
      </c>
      <c r="E26" t="s">
        <v>2701</v>
      </c>
      <c r="F26" t="s">
        <v>2654</v>
      </c>
      <c r="G26" t="s">
        <v>1554</v>
      </c>
    </row>
    <row r="27" spans="1:7" ht="11.25" customHeight="1">
      <c r="A27" s="309" t="s">
        <v>16</v>
      </c>
      <c r="B27" t="s">
        <v>2702</v>
      </c>
      <c r="C27" t="s">
        <v>2703</v>
      </c>
      <c r="D27" t="s">
        <v>2702</v>
      </c>
      <c r="E27" t="s">
        <v>2703</v>
      </c>
      <c r="F27" t="s">
        <v>2651</v>
      </c>
      <c r="G27" t="s">
        <v>1559</v>
      </c>
    </row>
    <row r="28" spans="1:7" ht="11.25" customHeight="1">
      <c r="A28" s="309" t="s">
        <v>16</v>
      </c>
      <c r="B28" t="s">
        <v>2702</v>
      </c>
      <c r="C28" t="s">
        <v>2703</v>
      </c>
      <c r="D28" t="s">
        <v>2704</v>
      </c>
      <c r="E28" t="s">
        <v>2705</v>
      </c>
      <c r="F28" t="s">
        <v>2654</v>
      </c>
      <c r="G28" t="s">
        <v>1567</v>
      </c>
    </row>
    <row r="29" spans="1:7" ht="11.25" customHeight="1">
      <c r="A29" s="309" t="s">
        <v>16</v>
      </c>
      <c r="B29" t="s">
        <v>2702</v>
      </c>
      <c r="C29" t="s">
        <v>2703</v>
      </c>
      <c r="D29" t="s">
        <v>2706</v>
      </c>
      <c r="E29" t="s">
        <v>2707</v>
      </c>
      <c r="F29" t="s">
        <v>2654</v>
      </c>
      <c r="G29" t="s">
        <v>1569</v>
      </c>
    </row>
    <row r="30" spans="1:7" ht="11.25" customHeight="1">
      <c r="A30" s="309" t="s">
        <v>16</v>
      </c>
      <c r="B30" t="s">
        <v>2702</v>
      </c>
      <c r="C30" t="s">
        <v>2703</v>
      </c>
      <c r="D30" t="s">
        <v>2708</v>
      </c>
      <c r="E30" t="s">
        <v>2709</v>
      </c>
      <c r="F30" t="s">
        <v>2654</v>
      </c>
      <c r="G30" t="s">
        <v>1572</v>
      </c>
    </row>
    <row r="31" spans="1:7" ht="11.25" customHeight="1">
      <c r="A31" s="309" t="s">
        <v>16</v>
      </c>
      <c r="B31" t="s">
        <v>2702</v>
      </c>
      <c r="C31" t="s">
        <v>2703</v>
      </c>
      <c r="D31" t="s">
        <v>2710</v>
      </c>
      <c r="E31" t="s">
        <v>2711</v>
      </c>
      <c r="F31" t="s">
        <v>2654</v>
      </c>
      <c r="G31" t="s">
        <v>1578</v>
      </c>
    </row>
    <row r="32" spans="1:7" ht="11.25" customHeight="1">
      <c r="A32" s="309" t="s">
        <v>16</v>
      </c>
      <c r="B32" t="s">
        <v>2702</v>
      </c>
      <c r="C32" t="s">
        <v>2703</v>
      </c>
      <c r="D32" t="s">
        <v>2712</v>
      </c>
      <c r="E32" t="s">
        <v>2713</v>
      </c>
      <c r="F32" t="s">
        <v>2654</v>
      </c>
      <c r="G32" t="s">
        <v>1580</v>
      </c>
    </row>
    <row r="33" spans="1:7" ht="11.25" customHeight="1">
      <c r="A33" s="309" t="s">
        <v>16</v>
      </c>
      <c r="B33" t="s">
        <v>2702</v>
      </c>
      <c r="C33" t="s">
        <v>2703</v>
      </c>
      <c r="D33" t="s">
        <v>2714</v>
      </c>
      <c r="E33" t="s">
        <v>2715</v>
      </c>
      <c r="F33" t="s">
        <v>2716</v>
      </c>
      <c r="G33" t="s">
        <v>1582</v>
      </c>
    </row>
    <row r="34" spans="1:7" ht="11.25" customHeight="1">
      <c r="A34" s="309" t="s">
        <v>16</v>
      </c>
      <c r="B34" t="s">
        <v>2702</v>
      </c>
      <c r="C34" t="s">
        <v>2703</v>
      </c>
      <c r="D34" t="s">
        <v>2717</v>
      </c>
      <c r="E34" t="s">
        <v>2718</v>
      </c>
      <c r="F34" t="s">
        <v>2654</v>
      </c>
      <c r="G34" t="s">
        <v>1584</v>
      </c>
    </row>
    <row r="35" spans="1:7" ht="11.25" customHeight="1">
      <c r="A35" s="309" t="s">
        <v>16</v>
      </c>
      <c r="B35" t="s">
        <v>2702</v>
      </c>
      <c r="C35" t="s">
        <v>2703</v>
      </c>
      <c r="D35" t="s">
        <v>2719</v>
      </c>
      <c r="E35" t="s">
        <v>2720</v>
      </c>
      <c r="F35" t="s">
        <v>2654</v>
      </c>
      <c r="G35" t="s">
        <v>1589</v>
      </c>
    </row>
    <row r="36" spans="1:7" ht="11.25" customHeight="1">
      <c r="A36" s="309" t="s">
        <v>16</v>
      </c>
      <c r="B36" t="s">
        <v>2702</v>
      </c>
      <c r="C36" t="s">
        <v>2703</v>
      </c>
      <c r="D36" t="s">
        <v>2721</v>
      </c>
      <c r="E36" t="s">
        <v>2722</v>
      </c>
      <c r="F36" t="s">
        <v>2654</v>
      </c>
      <c r="G36" t="s">
        <v>1594</v>
      </c>
    </row>
    <row r="37" spans="1:7" ht="11.25" customHeight="1">
      <c r="A37" s="309" t="s">
        <v>16</v>
      </c>
      <c r="B37" t="s">
        <v>2723</v>
      </c>
      <c r="C37" t="s">
        <v>2724</v>
      </c>
      <c r="D37" t="s">
        <v>2723</v>
      </c>
      <c r="E37" t="s">
        <v>2724</v>
      </c>
      <c r="F37" t="s">
        <v>2651</v>
      </c>
      <c r="G37" t="s">
        <v>1598</v>
      </c>
    </row>
    <row r="38" spans="1:7" ht="11.25" customHeight="1">
      <c r="A38" s="309" t="s">
        <v>16</v>
      </c>
      <c r="B38" t="s">
        <v>2723</v>
      </c>
      <c r="C38" t="s">
        <v>2724</v>
      </c>
      <c r="D38" t="s">
        <v>2725</v>
      </c>
      <c r="E38" t="s">
        <v>2726</v>
      </c>
      <c r="F38" t="s">
        <v>2654</v>
      </c>
      <c r="G38" t="s">
        <v>1606</v>
      </c>
    </row>
    <row r="39" spans="1:7" ht="11.25" customHeight="1">
      <c r="A39" s="309" t="s">
        <v>16</v>
      </c>
      <c r="B39" t="s">
        <v>2723</v>
      </c>
      <c r="C39" t="s">
        <v>2724</v>
      </c>
      <c r="D39" t="s">
        <v>2727</v>
      </c>
      <c r="E39" t="s">
        <v>2728</v>
      </c>
      <c r="F39" t="s">
        <v>2654</v>
      </c>
      <c r="G39" t="s">
        <v>1612</v>
      </c>
    </row>
    <row r="40" spans="1:7" ht="11.25" customHeight="1">
      <c r="A40" s="309" t="s">
        <v>16</v>
      </c>
      <c r="B40" t="s">
        <v>2723</v>
      </c>
      <c r="C40" t="s">
        <v>2724</v>
      </c>
      <c r="D40" t="s">
        <v>2729</v>
      </c>
      <c r="E40" t="s">
        <v>2730</v>
      </c>
      <c r="F40" t="s">
        <v>2654</v>
      </c>
      <c r="G40" t="s">
        <v>1617</v>
      </c>
    </row>
    <row r="41" spans="1:7" ht="11.25" customHeight="1">
      <c r="A41" s="309" t="s">
        <v>16</v>
      </c>
      <c r="B41" t="s">
        <v>2723</v>
      </c>
      <c r="C41" t="s">
        <v>2724</v>
      </c>
      <c r="D41" t="s">
        <v>2731</v>
      </c>
      <c r="E41" t="s">
        <v>2732</v>
      </c>
      <c r="F41" t="s">
        <v>2654</v>
      </c>
      <c r="G41" t="s">
        <v>1621</v>
      </c>
    </row>
    <row r="42" spans="1:7" ht="11.25" customHeight="1">
      <c r="A42" s="309" t="s">
        <v>16</v>
      </c>
      <c r="B42" t="s">
        <v>2723</v>
      </c>
      <c r="C42" t="s">
        <v>2724</v>
      </c>
      <c r="D42" t="s">
        <v>2733</v>
      </c>
      <c r="E42" t="s">
        <v>2734</v>
      </c>
      <c r="F42" t="s">
        <v>2654</v>
      </c>
      <c r="G42" t="s">
        <v>1624</v>
      </c>
    </row>
    <row r="43" spans="1:7" ht="11.25" customHeight="1">
      <c r="A43" s="309" t="s">
        <v>16</v>
      </c>
      <c r="B43" t="s">
        <v>2723</v>
      </c>
      <c r="C43" t="s">
        <v>2724</v>
      </c>
      <c r="D43" t="s">
        <v>2735</v>
      </c>
      <c r="E43" t="s">
        <v>2736</v>
      </c>
      <c r="F43" t="s">
        <v>2654</v>
      </c>
      <c r="G43" t="s">
        <v>1631</v>
      </c>
    </row>
    <row r="44" spans="1:7" ht="11.25" customHeight="1">
      <c r="A44" s="309" t="s">
        <v>16</v>
      </c>
      <c r="B44" t="s">
        <v>2723</v>
      </c>
      <c r="C44" t="s">
        <v>2724</v>
      </c>
      <c r="D44" t="s">
        <v>2737</v>
      </c>
      <c r="E44" t="s">
        <v>2738</v>
      </c>
      <c r="F44" t="s">
        <v>2654</v>
      </c>
      <c r="G44" t="s">
        <v>1640</v>
      </c>
    </row>
    <row r="45" spans="1:7" ht="11.25" customHeight="1">
      <c r="A45" s="309" t="s">
        <v>16</v>
      </c>
      <c r="B45" t="s">
        <v>2723</v>
      </c>
      <c r="C45" t="s">
        <v>2724</v>
      </c>
      <c r="D45" t="s">
        <v>2739</v>
      </c>
      <c r="E45" t="s">
        <v>2740</v>
      </c>
      <c r="F45" t="s">
        <v>2654</v>
      </c>
      <c r="G45" t="s">
        <v>1645</v>
      </c>
    </row>
    <row r="46" spans="1:7" ht="11.25" customHeight="1">
      <c r="A46" s="309" t="s">
        <v>16</v>
      </c>
      <c r="B46" t="s">
        <v>2723</v>
      </c>
      <c r="C46" t="s">
        <v>2724</v>
      </c>
      <c r="D46" t="s">
        <v>2741</v>
      </c>
      <c r="E46" t="s">
        <v>2742</v>
      </c>
      <c r="F46" t="s">
        <v>2654</v>
      </c>
      <c r="G46" t="s">
        <v>1648</v>
      </c>
    </row>
    <row r="47" spans="1:7" ht="11.25" customHeight="1">
      <c r="A47" s="309" t="s">
        <v>16</v>
      </c>
      <c r="B47" t="s">
        <v>2723</v>
      </c>
      <c r="C47" t="s">
        <v>2724</v>
      </c>
      <c r="D47" t="s">
        <v>2743</v>
      </c>
      <c r="E47" t="s">
        <v>2744</v>
      </c>
      <c r="F47" t="s">
        <v>2654</v>
      </c>
      <c r="G47" t="s">
        <v>1654</v>
      </c>
    </row>
    <row r="48" spans="1:7" ht="11.25" customHeight="1">
      <c r="A48" s="309" t="s">
        <v>16</v>
      </c>
      <c r="B48" t="s">
        <v>2745</v>
      </c>
      <c r="C48" t="s">
        <v>2746</v>
      </c>
      <c r="D48" t="s">
        <v>2747</v>
      </c>
      <c r="E48" t="s">
        <v>2748</v>
      </c>
      <c r="F48" t="s">
        <v>2654</v>
      </c>
      <c r="G48" t="s">
        <v>1659</v>
      </c>
    </row>
    <row r="49" spans="1:7" ht="11.25" customHeight="1">
      <c r="A49" s="309" t="s">
        <v>16</v>
      </c>
      <c r="B49" t="s">
        <v>2745</v>
      </c>
      <c r="C49" t="s">
        <v>2746</v>
      </c>
      <c r="D49" t="s">
        <v>2749</v>
      </c>
      <c r="E49" t="s">
        <v>2750</v>
      </c>
      <c r="F49" t="s">
        <v>2654</v>
      </c>
      <c r="G49" t="s">
        <v>1662</v>
      </c>
    </row>
    <row r="50" spans="1:7" ht="11.25" customHeight="1">
      <c r="A50" s="309" t="s">
        <v>16</v>
      </c>
      <c r="B50" t="s">
        <v>2745</v>
      </c>
      <c r="C50" t="s">
        <v>2746</v>
      </c>
      <c r="D50" t="s">
        <v>2751</v>
      </c>
      <c r="E50" t="s">
        <v>2752</v>
      </c>
      <c r="F50" t="s">
        <v>2654</v>
      </c>
      <c r="G50" t="s">
        <v>1666</v>
      </c>
    </row>
    <row r="51" spans="1:7" ht="11.25" customHeight="1">
      <c r="A51" s="309" t="s">
        <v>16</v>
      </c>
      <c r="B51" t="s">
        <v>2745</v>
      </c>
      <c r="C51" t="s">
        <v>2746</v>
      </c>
      <c r="D51" t="s">
        <v>2753</v>
      </c>
      <c r="E51" t="s">
        <v>2754</v>
      </c>
      <c r="F51" t="s">
        <v>2654</v>
      </c>
      <c r="G51" t="s">
        <v>1671</v>
      </c>
    </row>
    <row r="52" spans="1:7" ht="11.25" customHeight="1">
      <c r="A52" s="309" t="s">
        <v>16</v>
      </c>
      <c r="B52" t="s">
        <v>2745</v>
      </c>
      <c r="C52" t="s">
        <v>2746</v>
      </c>
      <c r="D52" t="s">
        <v>2755</v>
      </c>
      <c r="E52" t="s">
        <v>2756</v>
      </c>
      <c r="F52" t="s">
        <v>2654</v>
      </c>
      <c r="G52" t="s">
        <v>1675</v>
      </c>
    </row>
    <row r="53" spans="1:7" ht="11.25" customHeight="1">
      <c r="A53" s="309" t="s">
        <v>16</v>
      </c>
      <c r="B53" t="s">
        <v>2745</v>
      </c>
      <c r="C53" t="s">
        <v>2746</v>
      </c>
      <c r="D53" t="s">
        <v>2745</v>
      </c>
      <c r="E53" t="s">
        <v>2746</v>
      </c>
      <c r="F53" t="s">
        <v>2651</v>
      </c>
      <c r="G53" t="s">
        <v>1677</v>
      </c>
    </row>
    <row r="54" spans="1:7" ht="11.25" customHeight="1">
      <c r="A54" s="309" t="s">
        <v>16</v>
      </c>
      <c r="B54" t="s">
        <v>2745</v>
      </c>
      <c r="C54" t="s">
        <v>2746</v>
      </c>
      <c r="D54" t="s">
        <v>2757</v>
      </c>
      <c r="E54" t="s">
        <v>2758</v>
      </c>
      <c r="F54" t="s">
        <v>2654</v>
      </c>
      <c r="G54" t="s">
        <v>1680</v>
      </c>
    </row>
    <row r="55" spans="1:7" ht="11.25" customHeight="1">
      <c r="A55" s="309" t="s">
        <v>16</v>
      </c>
      <c r="B55" t="s">
        <v>2745</v>
      </c>
      <c r="C55" t="s">
        <v>2746</v>
      </c>
      <c r="D55" t="s">
        <v>2759</v>
      </c>
      <c r="E55" t="s">
        <v>2760</v>
      </c>
      <c r="F55" t="s">
        <v>2654</v>
      </c>
      <c r="G55" t="s">
        <v>1684</v>
      </c>
    </row>
    <row r="56" spans="1:7" ht="11.25" customHeight="1">
      <c r="A56" s="309" t="s">
        <v>16</v>
      </c>
      <c r="B56" t="s">
        <v>2745</v>
      </c>
      <c r="C56" t="s">
        <v>2746</v>
      </c>
      <c r="D56" t="s">
        <v>2761</v>
      </c>
      <c r="E56" t="s">
        <v>2762</v>
      </c>
      <c r="F56" t="s">
        <v>2654</v>
      </c>
      <c r="G56" t="s">
        <v>1687</v>
      </c>
    </row>
    <row r="57" spans="1:7" ht="11.25" customHeight="1">
      <c r="A57" s="309" t="s">
        <v>16</v>
      </c>
      <c r="B57" t="s">
        <v>2745</v>
      </c>
      <c r="C57" t="s">
        <v>2746</v>
      </c>
      <c r="D57" t="s">
        <v>2763</v>
      </c>
      <c r="E57" t="s">
        <v>2764</v>
      </c>
      <c r="F57" t="s">
        <v>2654</v>
      </c>
      <c r="G57" t="s">
        <v>1690</v>
      </c>
    </row>
    <row r="58" spans="1:7" ht="11.25" customHeight="1">
      <c r="A58" s="309" t="s">
        <v>16</v>
      </c>
      <c r="B58" t="s">
        <v>2765</v>
      </c>
      <c r="C58" t="s">
        <v>2766</v>
      </c>
      <c r="D58" t="s">
        <v>2767</v>
      </c>
      <c r="E58" t="s">
        <v>2768</v>
      </c>
      <c r="F58" t="s">
        <v>2654</v>
      </c>
      <c r="G58" t="s">
        <v>1693</v>
      </c>
    </row>
    <row r="59" spans="1:7" ht="11.25" customHeight="1">
      <c r="A59" s="309" t="s">
        <v>16</v>
      </c>
      <c r="B59" t="s">
        <v>2765</v>
      </c>
      <c r="C59" t="s">
        <v>2766</v>
      </c>
      <c r="D59" t="s">
        <v>2769</v>
      </c>
      <c r="E59" t="s">
        <v>2770</v>
      </c>
      <c r="F59" t="s">
        <v>2654</v>
      </c>
      <c r="G59" t="s">
        <v>1697</v>
      </c>
    </row>
    <row r="60" spans="1:7" ht="11.25" customHeight="1">
      <c r="A60" s="309" t="s">
        <v>16</v>
      </c>
      <c r="B60" t="s">
        <v>2765</v>
      </c>
      <c r="C60" t="s">
        <v>2766</v>
      </c>
      <c r="D60" t="s">
        <v>2771</v>
      </c>
      <c r="E60" t="s">
        <v>2772</v>
      </c>
      <c r="F60" t="s">
        <v>2654</v>
      </c>
      <c r="G60" t="s">
        <v>1700</v>
      </c>
    </row>
    <row r="61" spans="1:7" ht="11.25" customHeight="1">
      <c r="A61" s="309" t="s">
        <v>16</v>
      </c>
      <c r="B61" t="s">
        <v>2765</v>
      </c>
      <c r="C61" t="s">
        <v>2766</v>
      </c>
      <c r="D61" t="s">
        <v>2773</v>
      </c>
      <c r="E61" t="s">
        <v>2774</v>
      </c>
      <c r="F61" t="s">
        <v>2654</v>
      </c>
      <c r="G61" t="s">
        <v>2775</v>
      </c>
    </row>
    <row r="62" spans="1:7" ht="11.25" customHeight="1">
      <c r="A62" s="309" t="s">
        <v>16</v>
      </c>
      <c r="B62" t="s">
        <v>2765</v>
      </c>
      <c r="C62" t="s">
        <v>2766</v>
      </c>
      <c r="D62" t="s">
        <v>2776</v>
      </c>
      <c r="E62" t="s">
        <v>2777</v>
      </c>
      <c r="F62" t="s">
        <v>2654</v>
      </c>
      <c r="G62" t="s">
        <v>2778</v>
      </c>
    </row>
    <row r="63" spans="1:7" ht="11.25" customHeight="1">
      <c r="A63" s="309" t="s">
        <v>16</v>
      </c>
      <c r="B63" t="s">
        <v>2765</v>
      </c>
      <c r="C63" t="s">
        <v>2766</v>
      </c>
      <c r="D63" t="s">
        <v>2779</v>
      </c>
      <c r="E63" t="s">
        <v>2780</v>
      </c>
      <c r="F63" t="s">
        <v>2654</v>
      </c>
      <c r="G63" t="s">
        <v>2781</v>
      </c>
    </row>
    <row r="64" spans="1:7" ht="11.25" customHeight="1">
      <c r="A64" s="309" t="s">
        <v>16</v>
      </c>
      <c r="B64" t="s">
        <v>2765</v>
      </c>
      <c r="C64" t="s">
        <v>2766</v>
      </c>
      <c r="D64" t="s">
        <v>2782</v>
      </c>
      <c r="E64" t="s">
        <v>2783</v>
      </c>
      <c r="F64" t="s">
        <v>2716</v>
      </c>
      <c r="G64" t="s">
        <v>2784</v>
      </c>
    </row>
    <row r="65" spans="1:7" ht="11.25" customHeight="1">
      <c r="A65" s="309" t="s">
        <v>16</v>
      </c>
      <c r="B65" t="s">
        <v>2765</v>
      </c>
      <c r="C65" t="s">
        <v>2766</v>
      </c>
      <c r="D65" t="s">
        <v>2785</v>
      </c>
      <c r="E65" t="s">
        <v>2786</v>
      </c>
      <c r="F65" t="s">
        <v>2654</v>
      </c>
      <c r="G65" t="s">
        <v>2787</v>
      </c>
    </row>
    <row r="66" spans="1:7" ht="11.25" customHeight="1">
      <c r="A66" s="309" t="s">
        <v>16</v>
      </c>
      <c r="B66" t="s">
        <v>2765</v>
      </c>
      <c r="C66" t="s">
        <v>2766</v>
      </c>
      <c r="D66" t="s">
        <v>2765</v>
      </c>
      <c r="E66" t="s">
        <v>2766</v>
      </c>
      <c r="F66" t="s">
        <v>2651</v>
      </c>
      <c r="G66" t="s">
        <v>2788</v>
      </c>
    </row>
    <row r="67" spans="1:7" ht="11.25" customHeight="1">
      <c r="A67" s="309" t="s">
        <v>16</v>
      </c>
      <c r="B67" t="s">
        <v>2765</v>
      </c>
      <c r="C67" t="s">
        <v>2766</v>
      </c>
      <c r="D67" t="s">
        <v>2789</v>
      </c>
      <c r="E67" t="s">
        <v>2790</v>
      </c>
      <c r="F67" t="s">
        <v>2654</v>
      </c>
      <c r="G67" t="s">
        <v>2017</v>
      </c>
    </row>
    <row r="68" spans="1:7" ht="11.25" customHeight="1">
      <c r="A68" s="309" t="s">
        <v>16</v>
      </c>
      <c r="B68" t="s">
        <v>2791</v>
      </c>
      <c r="C68" t="s">
        <v>2792</v>
      </c>
      <c r="D68" t="s">
        <v>2793</v>
      </c>
      <c r="E68" t="s">
        <v>2794</v>
      </c>
      <c r="F68" t="s">
        <v>2654</v>
      </c>
      <c r="G68" t="s">
        <v>2795</v>
      </c>
    </row>
    <row r="69" spans="1:7" ht="11.25" customHeight="1">
      <c r="A69" s="309" t="s">
        <v>16</v>
      </c>
      <c r="B69" t="s">
        <v>2791</v>
      </c>
      <c r="C69" t="s">
        <v>2792</v>
      </c>
      <c r="D69" t="s">
        <v>2796</v>
      </c>
      <c r="E69" t="s">
        <v>2797</v>
      </c>
      <c r="F69" t="s">
        <v>2654</v>
      </c>
      <c r="G69" t="s">
        <v>2220</v>
      </c>
    </row>
    <row r="70" spans="1:7" ht="11.25" customHeight="1">
      <c r="A70" s="309" t="s">
        <v>16</v>
      </c>
      <c r="B70" t="s">
        <v>2791</v>
      </c>
      <c r="C70" t="s">
        <v>2792</v>
      </c>
      <c r="D70" t="s">
        <v>2798</v>
      </c>
      <c r="E70" t="s">
        <v>2799</v>
      </c>
      <c r="F70" t="s">
        <v>2654</v>
      </c>
      <c r="G70" t="s">
        <v>2800</v>
      </c>
    </row>
    <row r="71" spans="1:7" ht="11.25" customHeight="1">
      <c r="A71" s="309" t="s">
        <v>16</v>
      </c>
      <c r="B71" t="s">
        <v>2791</v>
      </c>
      <c r="C71" t="s">
        <v>2792</v>
      </c>
      <c r="D71" t="s">
        <v>2801</v>
      </c>
      <c r="E71" t="s">
        <v>2802</v>
      </c>
      <c r="F71" t="s">
        <v>2654</v>
      </c>
      <c r="G71" t="s">
        <v>2803</v>
      </c>
    </row>
    <row r="72" spans="1:7" ht="11.25" customHeight="1">
      <c r="A72" s="309" t="s">
        <v>16</v>
      </c>
      <c r="B72" t="s">
        <v>2791</v>
      </c>
      <c r="C72" t="s">
        <v>2792</v>
      </c>
      <c r="D72" t="s">
        <v>2804</v>
      </c>
      <c r="E72" t="s">
        <v>2805</v>
      </c>
      <c r="F72" t="s">
        <v>2654</v>
      </c>
      <c r="G72" t="s">
        <v>2806</v>
      </c>
    </row>
    <row r="73" spans="1:7" ht="11.25" customHeight="1">
      <c r="A73" s="309" t="s">
        <v>16</v>
      </c>
      <c r="B73" t="s">
        <v>2791</v>
      </c>
      <c r="C73" t="s">
        <v>2792</v>
      </c>
      <c r="D73" t="s">
        <v>2807</v>
      </c>
      <c r="E73" t="s">
        <v>2808</v>
      </c>
      <c r="F73" t="s">
        <v>2654</v>
      </c>
      <c r="G73" t="s">
        <v>2809</v>
      </c>
    </row>
    <row r="74" spans="1:7" ht="11.25" customHeight="1">
      <c r="A74" s="309" t="s">
        <v>16</v>
      </c>
      <c r="B74" t="s">
        <v>2791</v>
      </c>
      <c r="C74" t="s">
        <v>2792</v>
      </c>
      <c r="D74" t="s">
        <v>2810</v>
      </c>
      <c r="E74" t="s">
        <v>2811</v>
      </c>
      <c r="F74" t="s">
        <v>2691</v>
      </c>
      <c r="G74" t="s">
        <v>2812</v>
      </c>
    </row>
    <row r="75" spans="1:7" ht="11.25" customHeight="1">
      <c r="A75" s="309" t="s">
        <v>16</v>
      </c>
      <c r="B75" t="s">
        <v>2791</v>
      </c>
      <c r="C75" t="s">
        <v>2792</v>
      </c>
      <c r="D75" t="s">
        <v>2813</v>
      </c>
      <c r="E75" t="s">
        <v>2814</v>
      </c>
      <c r="F75" t="s">
        <v>2654</v>
      </c>
      <c r="G75" t="s">
        <v>2815</v>
      </c>
    </row>
    <row r="76" spans="1:7" ht="11.25" customHeight="1">
      <c r="A76" s="309" t="s">
        <v>16</v>
      </c>
      <c r="B76" t="s">
        <v>2791</v>
      </c>
      <c r="C76" t="s">
        <v>2792</v>
      </c>
      <c r="D76" t="s">
        <v>2816</v>
      </c>
      <c r="E76" t="s">
        <v>2817</v>
      </c>
      <c r="F76" t="s">
        <v>2654</v>
      </c>
      <c r="G76" t="s">
        <v>2818</v>
      </c>
    </row>
    <row r="77" spans="1:7" ht="11.25" customHeight="1">
      <c r="A77" s="309" t="s">
        <v>16</v>
      </c>
      <c r="B77" t="s">
        <v>2791</v>
      </c>
      <c r="C77" t="s">
        <v>2792</v>
      </c>
      <c r="D77" t="s">
        <v>2819</v>
      </c>
      <c r="E77" t="s">
        <v>2820</v>
      </c>
      <c r="F77" t="s">
        <v>2654</v>
      </c>
      <c r="G77" t="s">
        <v>2821</v>
      </c>
    </row>
    <row r="78" spans="1:7" ht="11.25" customHeight="1">
      <c r="A78" s="309" t="s">
        <v>16</v>
      </c>
      <c r="B78" t="s">
        <v>2791</v>
      </c>
      <c r="C78" t="s">
        <v>2792</v>
      </c>
      <c r="D78" t="s">
        <v>2822</v>
      </c>
      <c r="E78" t="s">
        <v>2823</v>
      </c>
      <c r="F78" t="s">
        <v>2654</v>
      </c>
      <c r="G78" t="s">
        <v>2824</v>
      </c>
    </row>
    <row r="79" spans="1:7" ht="11.25" customHeight="1">
      <c r="A79" s="309" t="s">
        <v>16</v>
      </c>
      <c r="B79" t="s">
        <v>2791</v>
      </c>
      <c r="C79" t="s">
        <v>2792</v>
      </c>
      <c r="D79" t="s">
        <v>2791</v>
      </c>
      <c r="E79" t="s">
        <v>2792</v>
      </c>
      <c r="F79" t="s">
        <v>2651</v>
      </c>
      <c r="G79" t="s">
        <v>2825</v>
      </c>
    </row>
    <row r="80" spans="1:7" ht="11.25" customHeight="1">
      <c r="A80" s="309" t="s">
        <v>16</v>
      </c>
      <c r="B80" t="s">
        <v>2791</v>
      </c>
      <c r="C80" t="s">
        <v>2792</v>
      </c>
      <c r="D80" t="s">
        <v>2826</v>
      </c>
      <c r="E80" t="s">
        <v>2827</v>
      </c>
      <c r="F80" t="s">
        <v>2654</v>
      </c>
      <c r="G80" t="s">
        <v>2828</v>
      </c>
    </row>
    <row r="81" spans="1:7" ht="11.25" customHeight="1">
      <c r="A81" s="309" t="s">
        <v>16</v>
      </c>
      <c r="B81" t="s">
        <v>2791</v>
      </c>
      <c r="C81" t="s">
        <v>2792</v>
      </c>
      <c r="D81" t="s">
        <v>2829</v>
      </c>
      <c r="E81" t="s">
        <v>2830</v>
      </c>
      <c r="F81" t="s">
        <v>2654</v>
      </c>
      <c r="G81" t="s">
        <v>2831</v>
      </c>
    </row>
    <row r="82" spans="1:7" ht="11.25" customHeight="1">
      <c r="A82" s="309" t="s">
        <v>16</v>
      </c>
      <c r="B82" t="s">
        <v>2832</v>
      </c>
      <c r="C82" t="s">
        <v>2833</v>
      </c>
      <c r="D82" t="s">
        <v>2834</v>
      </c>
      <c r="E82" t="s">
        <v>2835</v>
      </c>
      <c r="F82" t="s">
        <v>2654</v>
      </c>
      <c r="G82" t="s">
        <v>2836</v>
      </c>
    </row>
    <row r="83" spans="1:7" ht="11.25" customHeight="1">
      <c r="A83" s="309" t="s">
        <v>16</v>
      </c>
      <c r="B83" t="s">
        <v>2832</v>
      </c>
      <c r="C83" t="s">
        <v>2833</v>
      </c>
      <c r="D83" t="s">
        <v>2837</v>
      </c>
      <c r="E83" t="s">
        <v>2838</v>
      </c>
      <c r="F83" t="s">
        <v>2654</v>
      </c>
      <c r="G83" t="s">
        <v>2839</v>
      </c>
    </row>
    <row r="84" spans="1:7" ht="11.25" customHeight="1">
      <c r="A84" s="309" t="s">
        <v>16</v>
      </c>
      <c r="B84" t="s">
        <v>2832</v>
      </c>
      <c r="C84" t="s">
        <v>2833</v>
      </c>
      <c r="D84" t="s">
        <v>2840</v>
      </c>
      <c r="E84" t="s">
        <v>2841</v>
      </c>
      <c r="F84" t="s">
        <v>2654</v>
      </c>
      <c r="G84" t="s">
        <v>2842</v>
      </c>
    </row>
    <row r="85" spans="1:7" ht="11.25" customHeight="1">
      <c r="A85" s="309" t="s">
        <v>16</v>
      </c>
      <c r="B85" t="s">
        <v>2832</v>
      </c>
      <c r="C85" t="s">
        <v>2833</v>
      </c>
      <c r="D85" t="s">
        <v>2843</v>
      </c>
      <c r="E85" t="s">
        <v>2844</v>
      </c>
      <c r="F85" t="s">
        <v>2654</v>
      </c>
      <c r="G85" t="s">
        <v>2845</v>
      </c>
    </row>
    <row r="86" spans="1:7" ht="11.25" customHeight="1">
      <c r="A86" s="309" t="s">
        <v>16</v>
      </c>
      <c r="B86" t="s">
        <v>2832</v>
      </c>
      <c r="C86" t="s">
        <v>2833</v>
      </c>
      <c r="D86" t="s">
        <v>2846</v>
      </c>
      <c r="E86" t="s">
        <v>2847</v>
      </c>
      <c r="F86" t="s">
        <v>2654</v>
      </c>
      <c r="G86" t="s">
        <v>2848</v>
      </c>
    </row>
    <row r="87" spans="1:7" ht="11.25" customHeight="1">
      <c r="A87" s="309" t="s">
        <v>16</v>
      </c>
      <c r="B87" t="s">
        <v>2832</v>
      </c>
      <c r="C87" t="s">
        <v>2833</v>
      </c>
      <c r="D87" t="s">
        <v>2849</v>
      </c>
      <c r="E87" t="s">
        <v>2850</v>
      </c>
      <c r="F87" t="s">
        <v>2654</v>
      </c>
      <c r="G87" t="s">
        <v>2851</v>
      </c>
    </row>
    <row r="88" spans="1:7" ht="11.25" customHeight="1">
      <c r="A88" s="309" t="s">
        <v>16</v>
      </c>
      <c r="B88" t="s">
        <v>2832</v>
      </c>
      <c r="C88" t="s">
        <v>2833</v>
      </c>
      <c r="D88" t="s">
        <v>2852</v>
      </c>
      <c r="E88" t="s">
        <v>2853</v>
      </c>
      <c r="F88" t="s">
        <v>2654</v>
      </c>
      <c r="G88" t="s">
        <v>2854</v>
      </c>
    </row>
    <row r="89" spans="1:7" ht="11.25" customHeight="1">
      <c r="A89" s="309" t="s">
        <v>16</v>
      </c>
      <c r="B89" t="s">
        <v>2832</v>
      </c>
      <c r="C89" t="s">
        <v>2833</v>
      </c>
      <c r="D89" t="s">
        <v>2855</v>
      </c>
      <c r="E89" t="s">
        <v>2856</v>
      </c>
      <c r="F89" t="s">
        <v>2654</v>
      </c>
      <c r="G89" t="s">
        <v>2857</v>
      </c>
    </row>
    <row r="90" spans="1:7" ht="11.25" customHeight="1">
      <c r="A90" s="309" t="s">
        <v>16</v>
      </c>
      <c r="B90" t="s">
        <v>2832</v>
      </c>
      <c r="C90" t="s">
        <v>2833</v>
      </c>
      <c r="D90" t="s">
        <v>2858</v>
      </c>
      <c r="E90" t="s">
        <v>2859</v>
      </c>
      <c r="F90" t="s">
        <v>2654</v>
      </c>
      <c r="G90" t="s">
        <v>2860</v>
      </c>
    </row>
    <row r="91" spans="1:7" ht="11.25" customHeight="1">
      <c r="A91" s="309" t="s">
        <v>16</v>
      </c>
      <c r="B91" t="s">
        <v>2832</v>
      </c>
      <c r="C91" t="s">
        <v>2833</v>
      </c>
      <c r="D91" t="s">
        <v>2861</v>
      </c>
      <c r="E91" t="s">
        <v>2862</v>
      </c>
      <c r="F91" t="s">
        <v>2654</v>
      </c>
      <c r="G91" t="s">
        <v>2863</v>
      </c>
    </row>
    <row r="92" spans="1:7" ht="11.25" customHeight="1">
      <c r="A92" s="309" t="s">
        <v>16</v>
      </c>
      <c r="B92" t="s">
        <v>2832</v>
      </c>
      <c r="C92" t="s">
        <v>2833</v>
      </c>
      <c r="D92" t="s">
        <v>2864</v>
      </c>
      <c r="E92" t="s">
        <v>2865</v>
      </c>
      <c r="F92" t="s">
        <v>2654</v>
      </c>
      <c r="G92" t="s">
        <v>2866</v>
      </c>
    </row>
    <row r="93" spans="1:7" ht="11.25" customHeight="1">
      <c r="A93" s="309" t="s">
        <v>16</v>
      </c>
      <c r="B93" t="s">
        <v>2832</v>
      </c>
      <c r="C93" t="s">
        <v>2833</v>
      </c>
      <c r="D93" t="s">
        <v>2867</v>
      </c>
      <c r="E93" t="s">
        <v>2868</v>
      </c>
      <c r="F93" t="s">
        <v>2654</v>
      </c>
      <c r="G93" t="s">
        <v>2869</v>
      </c>
    </row>
    <row r="94" spans="1:7" ht="11.25" customHeight="1">
      <c r="A94" s="309" t="s">
        <v>16</v>
      </c>
      <c r="B94" t="s">
        <v>2832</v>
      </c>
      <c r="C94" t="s">
        <v>2833</v>
      </c>
      <c r="D94" t="s">
        <v>2870</v>
      </c>
      <c r="E94" t="s">
        <v>2871</v>
      </c>
      <c r="F94" t="s">
        <v>2654</v>
      </c>
      <c r="G94" t="s">
        <v>2872</v>
      </c>
    </row>
    <row r="95" spans="1:7" ht="11.25" customHeight="1">
      <c r="A95" s="309" t="s">
        <v>16</v>
      </c>
      <c r="B95" t="s">
        <v>2832</v>
      </c>
      <c r="C95" t="s">
        <v>2833</v>
      </c>
      <c r="D95" t="s">
        <v>2832</v>
      </c>
      <c r="E95" t="s">
        <v>2833</v>
      </c>
      <c r="F95" t="s">
        <v>2651</v>
      </c>
      <c r="G95" t="s">
        <v>2873</v>
      </c>
    </row>
    <row r="96" spans="1:7" ht="11.25" customHeight="1">
      <c r="A96" s="309" t="s">
        <v>16</v>
      </c>
      <c r="B96" t="s">
        <v>2832</v>
      </c>
      <c r="C96" t="s">
        <v>2833</v>
      </c>
      <c r="D96" t="s">
        <v>2874</v>
      </c>
      <c r="E96" t="s">
        <v>2875</v>
      </c>
      <c r="F96" t="s">
        <v>2654</v>
      </c>
      <c r="G96" t="s">
        <v>2876</v>
      </c>
    </row>
    <row r="97" spans="1:7" ht="11.25" customHeight="1">
      <c r="A97" s="309" t="s">
        <v>16</v>
      </c>
      <c r="B97" t="s">
        <v>2832</v>
      </c>
      <c r="C97" t="s">
        <v>2833</v>
      </c>
      <c r="D97" t="s">
        <v>2877</v>
      </c>
      <c r="E97" t="s">
        <v>2878</v>
      </c>
      <c r="F97" t="s">
        <v>2654</v>
      </c>
      <c r="G97" t="s">
        <v>2879</v>
      </c>
    </row>
    <row r="98" spans="1:7" ht="11.25" customHeight="1">
      <c r="A98" s="309" t="s">
        <v>16</v>
      </c>
      <c r="B98" t="s">
        <v>2880</v>
      </c>
      <c r="C98" t="s">
        <v>2881</v>
      </c>
      <c r="D98" t="s">
        <v>2880</v>
      </c>
      <c r="E98" t="s">
        <v>2881</v>
      </c>
      <c r="F98" t="s">
        <v>2882</v>
      </c>
      <c r="G98" t="s">
        <v>2883</v>
      </c>
    </row>
    <row r="99" spans="1:7" ht="11.25" customHeight="1">
      <c r="A99" s="309" t="s">
        <v>16</v>
      </c>
      <c r="B99" t="s">
        <v>2884</v>
      </c>
      <c r="C99" t="s">
        <v>2885</v>
      </c>
      <c r="D99" t="s">
        <v>2884</v>
      </c>
      <c r="E99" t="s">
        <v>2885</v>
      </c>
      <c r="F99" t="s">
        <v>2882</v>
      </c>
      <c r="G99" t="s">
        <v>2886</v>
      </c>
    </row>
    <row r="100" spans="1:7" ht="11.25" customHeight="1">
      <c r="A100" s="309" t="s">
        <v>16</v>
      </c>
      <c r="B100" t="s">
        <v>96</v>
      </c>
      <c r="C100" t="s">
        <v>97</v>
      </c>
      <c r="D100" t="s">
        <v>96</v>
      </c>
      <c r="E100" t="s">
        <v>97</v>
      </c>
      <c r="F100" t="s">
        <v>2882</v>
      </c>
      <c r="G100" t="s">
        <v>95</v>
      </c>
    </row>
    <row r="101" spans="1:7" ht="11.25" customHeight="1">
      <c r="A101" s="309" t="s">
        <v>16</v>
      </c>
      <c r="B101" t="s">
        <v>2887</v>
      </c>
      <c r="C101" t="s">
        <v>2888</v>
      </c>
      <c r="D101" t="s">
        <v>2887</v>
      </c>
      <c r="E101" t="s">
        <v>2888</v>
      </c>
      <c r="F101" t="s">
        <v>2882</v>
      </c>
      <c r="G101" t="s">
        <v>2889</v>
      </c>
    </row>
    <row r="102" spans="1:7" ht="11.25" customHeight="1">
      <c r="A102" s="309" t="s">
        <v>16</v>
      </c>
      <c r="B102" t="s">
        <v>2890</v>
      </c>
      <c r="C102" t="s">
        <v>2891</v>
      </c>
      <c r="D102" t="s">
        <v>2890</v>
      </c>
      <c r="E102" t="s">
        <v>2891</v>
      </c>
      <c r="F102" t="s">
        <v>2882</v>
      </c>
      <c r="G102" t="s">
        <v>2892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6"/>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2893</v>
      </c>
      <c r="B1" s="765" t="s">
        <v>2894</v>
      </c>
      <c r="C1" s="1085" t="s">
        <v>2895</v>
      </c>
      <c r="D1" s="765" t="s">
        <v>2896</v>
      </c>
      <c r="E1" s="765" t="s">
        <v>2897</v>
      </c>
      <c r="F1" s="1085" t="s">
        <v>2898</v>
      </c>
      <c r="G1" s="1085" t="s">
        <v>2899</v>
      </c>
      <c r="H1" s="1085" t="s">
        <v>2900</v>
      </c>
      <c r="I1" s="1085" t="s">
        <v>2901</v>
      </c>
    </row>
    <row r="2" spans="1:9" ht="11.25" customHeight="1">
      <c r="A2" s="1617" t="s">
        <v>105</v>
      </c>
      <c r="B2" s="1617" t="s">
        <v>2902</v>
      </c>
      <c r="C2" s="1617" t="s">
        <v>22</v>
      </c>
      <c r="D2" s="1617" t="s">
        <v>2903</v>
      </c>
      <c r="E2" s="1617" t="s">
        <v>2904</v>
      </c>
      <c r="F2" s="1617" t="s">
        <v>22</v>
      </c>
      <c r="G2" s="1617" t="s">
        <v>22</v>
      </c>
      <c r="H2" s="1617" t="s">
        <v>22</v>
      </c>
      <c r="I2" s="1617" t="s">
        <v>22</v>
      </c>
    </row>
    <row r="3" spans="1:9" ht="11.25" customHeight="1">
      <c r="A3" s="1617" t="s">
        <v>106</v>
      </c>
      <c r="B3" s="1617" t="s">
        <v>2905</v>
      </c>
      <c r="C3" s="1617" t="s">
        <v>22</v>
      </c>
      <c r="D3" s="1617" t="s">
        <v>2903</v>
      </c>
      <c r="E3" s="1617" t="s">
        <v>2904</v>
      </c>
      <c r="F3" s="1617" t="s">
        <v>22</v>
      </c>
      <c r="G3" s="1617" t="s">
        <v>22</v>
      </c>
      <c r="H3" s="1617" t="s">
        <v>22</v>
      </c>
      <c r="I3" s="1617" t="s">
        <v>22</v>
      </c>
    </row>
    <row r="4" spans="1:9" ht="11.25" customHeight="1">
      <c r="A4" s="1617" t="s">
        <v>86</v>
      </c>
      <c r="B4" s="1617" t="s">
        <v>2906</v>
      </c>
      <c r="C4" s="1617" t="s">
        <v>22</v>
      </c>
      <c r="D4" s="1617" t="s">
        <v>2907</v>
      </c>
      <c r="E4" s="1617" t="s">
        <v>2908</v>
      </c>
      <c r="F4" s="1617" t="s">
        <v>22</v>
      </c>
      <c r="G4" s="1617" t="s">
        <v>22</v>
      </c>
      <c r="H4" s="1617" t="s">
        <v>22</v>
      </c>
      <c r="I4" s="1617" t="s">
        <v>22</v>
      </c>
    </row>
    <row r="5" spans="1:9" ht="11.25" customHeight="1">
      <c r="A5" s="1617" t="s">
        <v>87</v>
      </c>
      <c r="B5" s="1617" t="s">
        <v>2909</v>
      </c>
      <c r="C5" s="1617" t="s">
        <v>22</v>
      </c>
      <c r="D5" s="1617" t="s">
        <v>2907</v>
      </c>
      <c r="E5" s="1617" t="s">
        <v>2908</v>
      </c>
      <c r="F5" s="1617" t="s">
        <v>22</v>
      </c>
      <c r="G5" s="1617" t="s">
        <v>22</v>
      </c>
      <c r="H5" s="1617" t="s">
        <v>22</v>
      </c>
      <c r="I5" s="1617" t="s">
        <v>22</v>
      </c>
    </row>
    <row r="6" spans="1:9" ht="11.25" customHeight="1">
      <c r="A6" s="1617" t="s">
        <v>107</v>
      </c>
      <c r="B6" s="1617" t="s">
        <v>2910</v>
      </c>
      <c r="C6" s="1617" t="s">
        <v>22</v>
      </c>
      <c r="D6" s="1617" t="s">
        <v>2911</v>
      </c>
      <c r="E6" s="1617" t="s">
        <v>2912</v>
      </c>
      <c r="F6" s="1617" t="s">
        <v>22</v>
      </c>
      <c r="G6" s="1617" t="s">
        <v>22</v>
      </c>
      <c r="H6" s="1617" t="s">
        <v>22</v>
      </c>
      <c r="I6"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62" t="s">
        <v>347</v>
      </c>
      <c r="I1" s="2162"/>
      <c r="J1" s="2162"/>
      <c r="K1" s="2162"/>
      <c r="L1" s="2162"/>
      <c r="M1" s="2162"/>
      <c r="N1" s="2162"/>
      <c r="O1" s="2162"/>
      <c r="P1" s="2162"/>
      <c r="Q1" s="2162"/>
      <c r="R1" s="2162"/>
      <c r="T1" s="2162" t="s">
        <v>348</v>
      </c>
      <c r="U1" s="2162"/>
      <c r="V1" s="2162"/>
      <c r="X1" s="2162" t="s">
        <v>349</v>
      </c>
      <c r="Y1" s="2162"/>
      <c r="Z1" s="2162"/>
      <c r="AB1" s="2162" t="s">
        <v>350</v>
      </c>
      <c r="AC1" s="2162"/>
      <c r="AT1" s="383" t="s">
        <v>14</v>
      </c>
    </row>
    <row r="2" spans="1:46" ht="14.25" hidden="1" customHeight="1">
      <c r="AT2" s="383">
        <v>0</v>
      </c>
    </row>
    <row r="3" spans="1:46" s="1539" customFormat="1" ht="5.25" customHeight="1">
      <c r="C3" s="637"/>
      <c r="D3" s="638"/>
      <c r="E3" s="638"/>
      <c r="F3" s="638"/>
      <c r="G3" s="638"/>
      <c r="H3" s="638" t="s">
        <v>351</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7"/>
      <c r="F4" s="2107"/>
      <c r="G4" s="2107"/>
      <c r="H4" s="2107"/>
      <c r="I4" s="2107"/>
      <c r="J4" s="2107"/>
      <c r="K4" s="2107"/>
      <c r="L4" s="2107"/>
      <c r="M4" s="2107"/>
      <c r="N4" s="2107"/>
      <c r="O4" s="2107"/>
      <c r="P4" s="2107"/>
      <c r="Q4" s="2107"/>
      <c r="R4" s="2108"/>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59" t="str">
        <f>IF(org=0,"Не определено",org)</f>
        <v>ОП АО "Байкалэнерго" - "Саяногорские тепловые сети"</v>
      </c>
      <c r="E5" s="2160"/>
      <c r="F5" s="2160"/>
      <c r="G5" s="2160"/>
      <c r="H5" s="2160"/>
      <c r="I5" s="2160"/>
      <c r="J5" s="2160"/>
      <c r="K5" s="2160"/>
      <c r="L5" s="2160"/>
      <c r="M5" s="2160"/>
      <c r="N5" s="2160"/>
      <c r="O5" s="2160"/>
      <c r="P5" s="2160"/>
      <c r="Q5" s="2160"/>
      <c r="R5" s="216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0" t="s">
        <v>295</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296</v>
      </c>
      <c r="AF7" s="2113" t="s">
        <v>296</v>
      </c>
      <c r="AG7" s="2113" t="s">
        <v>296</v>
      </c>
      <c r="AH7" s="2113" t="s">
        <v>296</v>
      </c>
      <c r="AT7" s="383">
        <v>14</v>
      </c>
    </row>
    <row r="8" spans="1:46" ht="27.4" customHeight="1">
      <c r="C8" s="386"/>
      <c r="D8" s="2056" t="s">
        <v>84</v>
      </c>
      <c r="E8" s="2113" t="str">
        <f>"Наименование "&amp;IF(TEMPLATE_SPHERE&lt;&gt;"HEAT","централизованной ","")&amp;"системы "&amp;TEMPLATE_SPHERE_RUS</f>
        <v>Наименование системы теплоснабжения</v>
      </c>
      <c r="F8" s="2113" t="str">
        <f>IF(TEMPLATE_SPHERE&lt;&gt;"HEAT","Регулируемый вид деятельности","Вид регулируемой деятельности")</f>
        <v>Вид регулируемой деятельности</v>
      </c>
      <c r="G8" s="758"/>
      <c r="H8" s="2151" t="s">
        <v>352</v>
      </c>
      <c r="I8" s="2155" t="s">
        <v>353</v>
      </c>
      <c r="J8" s="2113" t="s">
        <v>354</v>
      </c>
      <c r="K8" s="2113"/>
      <c r="L8" s="2113"/>
      <c r="M8" s="2150"/>
      <c r="N8" s="2113" t="s">
        <v>355</v>
      </c>
      <c r="O8" s="2113"/>
      <c r="P8" s="2113" t="s">
        <v>356</v>
      </c>
      <c r="Q8" s="2113"/>
      <c r="R8" s="2153" t="s">
        <v>357</v>
      </c>
      <c r="S8" s="754"/>
      <c r="T8" s="2151" t="s">
        <v>358</v>
      </c>
      <c r="U8" s="2151" t="s">
        <v>359</v>
      </c>
      <c r="V8" s="2151" t="s">
        <v>360</v>
      </c>
      <c r="W8" s="756"/>
      <c r="X8" s="2151" t="s">
        <v>361</v>
      </c>
      <c r="Y8" s="2151" t="s">
        <v>362</v>
      </c>
      <c r="Z8" s="2151" t="s">
        <v>363</v>
      </c>
      <c r="AA8" s="756"/>
      <c r="AB8" s="2151" t="s">
        <v>364</v>
      </c>
      <c r="AC8" s="2151" t="s">
        <v>357</v>
      </c>
      <c r="AD8" s="756"/>
      <c r="AE8" s="2113"/>
      <c r="AF8" s="2113"/>
      <c r="AG8" s="2113"/>
      <c r="AH8" s="2113"/>
      <c r="AT8" s="383">
        <v>26</v>
      </c>
    </row>
    <row r="9" spans="1:46" ht="46.15" customHeight="1">
      <c r="C9" s="386"/>
      <c r="D9" s="2056"/>
      <c r="E9" s="2113"/>
      <c r="F9" s="2113"/>
      <c r="G9" s="759"/>
      <c r="H9" s="2152"/>
      <c r="I9" s="2156"/>
      <c r="J9" s="361" t="s">
        <v>365</v>
      </c>
      <c r="K9" s="361" t="s">
        <v>366</v>
      </c>
      <c r="L9" s="361" t="s">
        <v>367</v>
      </c>
      <c r="M9" s="367" t="s">
        <v>368</v>
      </c>
      <c r="N9" s="361" t="s">
        <v>369</v>
      </c>
      <c r="O9" s="361" t="s">
        <v>368</v>
      </c>
      <c r="P9" s="361" t="s">
        <v>370</v>
      </c>
      <c r="Q9" s="361" t="s">
        <v>368</v>
      </c>
      <c r="R9" s="2154"/>
      <c r="S9" s="755"/>
      <c r="T9" s="2152"/>
      <c r="U9" s="2152"/>
      <c r="V9" s="2152"/>
      <c r="W9" s="757"/>
      <c r="X9" s="2152"/>
      <c r="Y9" s="2152"/>
      <c r="Z9" s="2152"/>
      <c r="AA9" s="757"/>
      <c r="AB9" s="2152"/>
      <c r="AC9" s="2152"/>
      <c r="AD9" s="757"/>
      <c r="AE9" s="2113"/>
      <c r="AF9" s="2113"/>
      <c r="AG9" s="2113"/>
      <c r="AH9" s="211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371</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105</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7" t="s">
        <v>372</v>
      </c>
      <c r="AF12" s="2157" t="s">
        <v>373</v>
      </c>
      <c r="AG12" s="2157" t="s">
        <v>374</v>
      </c>
      <c r="AH12" s="2157" t="s">
        <v>375</v>
      </c>
      <c r="AI12" s="383"/>
      <c r="AM12" s="447"/>
      <c r="AP12" s="436" t="s">
        <v>376</v>
      </c>
      <c r="AQ12" s="436" t="s">
        <v>376</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8"/>
      <c r="AF13" s="2158"/>
      <c r="AG13" s="2158"/>
      <c r="AH13" s="2158"/>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78</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127</v>
      </c>
      <c r="B1" s="120" t="s">
        <v>2913</v>
      </c>
    </row>
    <row r="2" spans="1:2" ht="11.25" customHeight="1">
      <c r="A2" s="120" t="s">
        <v>94</v>
      </c>
      <c r="B2" s="120" t="s">
        <v>2914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2915</v>
      </c>
      <c r="B1" s="765" t="s">
        <v>2916</v>
      </c>
    </row>
    <row r="2" spans="1:2" ht="11.25" customHeight="1">
      <c r="A2" s="765">
        <v>4213775</v>
      </c>
      <c r="B2" s="765" t="s">
        <v>1217</v>
      </c>
    </row>
    <row r="3" spans="1:2" ht="11.25" customHeight="1">
      <c r="A3" s="765">
        <v>4213784</v>
      </c>
      <c r="B3" s="765" t="s">
        <v>1251</v>
      </c>
    </row>
    <row r="4" spans="1:2" ht="11.25" customHeight="1">
      <c r="A4" s="765">
        <v>4213781</v>
      </c>
      <c r="B4" s="765" t="s">
        <v>1244</v>
      </c>
    </row>
    <row r="5" spans="1:2" ht="11.25" customHeight="1">
      <c r="A5" s="765">
        <v>4213776</v>
      </c>
      <c r="B5" s="765" t="s">
        <v>163</v>
      </c>
    </row>
    <row r="6" spans="1:2" ht="11.25" customHeight="1">
      <c r="A6" s="765">
        <v>4213777</v>
      </c>
      <c r="B6" s="765" t="s">
        <v>169</v>
      </c>
    </row>
    <row r="7" spans="1:2" ht="11.25" customHeight="1">
      <c r="A7" s="765">
        <v>4213778</v>
      </c>
      <c r="B7" s="765" t="s">
        <v>175</v>
      </c>
    </row>
    <row r="8" spans="1:2" ht="11.25" customHeight="1">
      <c r="A8" s="765">
        <v>4213780</v>
      </c>
      <c r="B8" s="765" t="s">
        <v>181</v>
      </c>
    </row>
    <row r="9" spans="1:2" ht="11.25" customHeight="1">
      <c r="A9" s="765">
        <v>4213779</v>
      </c>
      <c r="B9" s="765" t="s">
        <v>1384</v>
      </c>
    </row>
    <row r="10" spans="1:2" ht="11.25" customHeight="1">
      <c r="A10" s="765">
        <v>4213783</v>
      </c>
      <c r="B10" s="765" t="s">
        <v>1399</v>
      </c>
    </row>
    <row r="11" spans="1:2" ht="11.25" customHeight="1">
      <c r="A11" s="765">
        <v>4213782</v>
      </c>
      <c r="B11" s="765" t="s">
        <v>187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2915</v>
      </c>
      <c r="B1" s="765" t="s">
        <v>2917</v>
      </c>
    </row>
    <row r="2" spans="1:2" ht="11.25" customHeight="1">
      <c r="A2" s="765" t="s">
        <v>2918</v>
      </c>
      <c r="B2" s="765" t="s">
        <v>1497</v>
      </c>
    </row>
    <row r="3" spans="1:2" ht="11.25" customHeight="1">
      <c r="A3" s="765" t="s">
        <v>2919</v>
      </c>
      <c r="B3" s="765" t="s">
        <v>1507</v>
      </c>
    </row>
    <row r="4" spans="1:2" ht="11.25" customHeight="1">
      <c r="A4" s="765" t="s">
        <v>2920</v>
      </c>
      <c r="B4" s="765" t="s">
        <v>1516</v>
      </c>
    </row>
    <row r="5" spans="1:2" ht="11.25" customHeight="1">
      <c r="A5" s="765" t="s">
        <v>2921</v>
      </c>
      <c r="B5" s="765" t="s">
        <v>1525</v>
      </c>
    </row>
    <row r="6" spans="1:2" ht="11.25" customHeight="1">
      <c r="A6" s="765" t="s">
        <v>2922</v>
      </c>
      <c r="B6" s="765" t="s">
        <v>1531</v>
      </c>
    </row>
    <row r="7" spans="1:2" ht="11.25" customHeight="1">
      <c r="A7" s="765" t="s">
        <v>2923</v>
      </c>
      <c r="B7" s="765" t="s">
        <v>1539</v>
      </c>
    </row>
    <row r="8" spans="1:2" ht="11.25" customHeight="1">
      <c r="A8" s="765" t="s">
        <v>2924</v>
      </c>
      <c r="B8" s="765" t="s">
        <v>1546</v>
      </c>
    </row>
    <row r="9" spans="1:2" ht="11.25" customHeight="1">
      <c r="A9" s="765" t="s">
        <v>2925</v>
      </c>
      <c r="B9" s="765" t="s">
        <v>1552</v>
      </c>
    </row>
    <row r="10" spans="1:2" ht="11.25" customHeight="1">
      <c r="A10" s="765" t="s">
        <v>114</v>
      </c>
      <c r="B10" s="765" t="s">
        <v>1556</v>
      </c>
    </row>
    <row r="11" spans="1:2" ht="11.25" customHeight="1">
      <c r="A11" s="765" t="s">
        <v>2926</v>
      </c>
      <c r="B11" s="765" t="s">
        <v>1563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2"/>
  <sheetViews>
    <sheetView showGridLines="0" workbookViewId="0"/>
  </sheetViews>
  <sheetFormatPr defaultRowHeight="11.25" customHeight="1"/>
  <sheetData>
    <row r="1" spans="1:7" ht="11.25" customHeight="1">
      <c r="A1" s="309" t="s">
        <v>2642</v>
      </c>
      <c r="B1" s="309" t="s">
        <v>2643</v>
      </c>
      <c r="C1" s="309" t="s">
        <v>2644</v>
      </c>
      <c r="D1" s="309" t="s">
        <v>2645</v>
      </c>
      <c r="E1" t="s">
        <v>2646</v>
      </c>
      <c r="F1" t="s">
        <v>2647</v>
      </c>
      <c r="G1" t="s">
        <v>2648</v>
      </c>
    </row>
    <row r="2" spans="1:7" ht="11.25" customHeight="1">
      <c r="A2" t="s">
        <v>16</v>
      </c>
      <c r="B2" t="s">
        <v>2649</v>
      </c>
      <c r="C2" t="s">
        <v>2650</v>
      </c>
      <c r="D2" t="s">
        <v>2649</v>
      </c>
      <c r="E2" t="s">
        <v>2650</v>
      </c>
      <c r="F2" t="s">
        <v>2651</v>
      </c>
      <c r="G2" t="s">
        <v>105</v>
      </c>
    </row>
    <row r="3" spans="1:7" ht="11.25" customHeight="1">
      <c r="A3" t="s">
        <v>16</v>
      </c>
      <c r="B3" t="s">
        <v>2649</v>
      </c>
      <c r="C3" t="s">
        <v>2650</v>
      </c>
      <c r="D3" t="s">
        <v>2652</v>
      </c>
      <c r="E3" t="s">
        <v>2653</v>
      </c>
      <c r="F3" t="s">
        <v>2654</v>
      </c>
      <c r="G3" t="s">
        <v>106</v>
      </c>
    </row>
    <row r="4" spans="1:7" ht="11.25" customHeight="1">
      <c r="A4" t="s">
        <v>16</v>
      </c>
      <c r="B4" t="s">
        <v>2649</v>
      </c>
      <c r="C4" t="s">
        <v>2650</v>
      </c>
      <c r="D4" t="s">
        <v>2655</v>
      </c>
      <c r="E4" t="s">
        <v>2656</v>
      </c>
      <c r="F4" t="s">
        <v>2654</v>
      </c>
      <c r="G4" t="s">
        <v>86</v>
      </c>
    </row>
    <row r="5" spans="1:7" ht="11.25" customHeight="1">
      <c r="A5" t="s">
        <v>16</v>
      </c>
      <c r="B5" t="s">
        <v>2649</v>
      </c>
      <c r="C5" t="s">
        <v>2650</v>
      </c>
      <c r="D5" t="s">
        <v>2657</v>
      </c>
      <c r="E5" t="s">
        <v>2658</v>
      </c>
      <c r="F5" t="s">
        <v>2654</v>
      </c>
      <c r="G5" t="s">
        <v>87</v>
      </c>
    </row>
    <row r="6" spans="1:7" ht="11.25" customHeight="1">
      <c r="A6" t="s">
        <v>16</v>
      </c>
      <c r="B6" t="s">
        <v>2649</v>
      </c>
      <c r="C6" t="s">
        <v>2650</v>
      </c>
      <c r="D6" t="s">
        <v>2659</v>
      </c>
      <c r="E6" t="s">
        <v>2660</v>
      </c>
      <c r="F6" t="s">
        <v>2654</v>
      </c>
      <c r="G6" t="s">
        <v>107</v>
      </c>
    </row>
    <row r="7" spans="1:7" ht="11.25" customHeight="1">
      <c r="A7" t="s">
        <v>16</v>
      </c>
      <c r="B7" t="s">
        <v>2649</v>
      </c>
      <c r="C7" t="s">
        <v>2650</v>
      </c>
      <c r="D7" t="s">
        <v>2661</v>
      </c>
      <c r="E7" t="s">
        <v>2662</v>
      </c>
      <c r="F7" t="s">
        <v>2654</v>
      </c>
      <c r="G7" t="s">
        <v>88</v>
      </c>
    </row>
    <row r="8" spans="1:7" ht="11.25" customHeight="1">
      <c r="A8" t="s">
        <v>16</v>
      </c>
      <c r="B8" t="s">
        <v>2649</v>
      </c>
      <c r="C8" t="s">
        <v>2650</v>
      </c>
      <c r="D8" t="s">
        <v>2663</v>
      </c>
      <c r="E8" t="s">
        <v>2664</v>
      </c>
      <c r="F8" t="s">
        <v>2654</v>
      </c>
      <c r="G8" t="s">
        <v>89</v>
      </c>
    </row>
    <row r="9" spans="1:7" ht="11.25" customHeight="1">
      <c r="A9" t="s">
        <v>16</v>
      </c>
      <c r="B9" t="s">
        <v>2649</v>
      </c>
      <c r="C9" t="s">
        <v>2650</v>
      </c>
      <c r="D9" t="s">
        <v>2665</v>
      </c>
      <c r="E9" t="s">
        <v>2666</v>
      </c>
      <c r="F9" t="s">
        <v>2654</v>
      </c>
      <c r="G9" t="s">
        <v>108</v>
      </c>
    </row>
    <row r="10" spans="1:7" ht="11.25" customHeight="1">
      <c r="A10" t="s">
        <v>16</v>
      </c>
      <c r="B10" t="s">
        <v>2649</v>
      </c>
      <c r="C10" t="s">
        <v>2650</v>
      </c>
      <c r="D10" t="s">
        <v>2667</v>
      </c>
      <c r="E10" t="s">
        <v>2668</v>
      </c>
      <c r="F10" t="s">
        <v>2654</v>
      </c>
      <c r="G10" t="s">
        <v>145</v>
      </c>
    </row>
    <row r="11" spans="1:7" ht="11.25" customHeight="1">
      <c r="A11" t="s">
        <v>16</v>
      </c>
      <c r="B11" t="s">
        <v>2649</v>
      </c>
      <c r="C11" t="s">
        <v>2650</v>
      </c>
      <c r="D11" t="s">
        <v>2669</v>
      </c>
      <c r="E11" t="s">
        <v>2670</v>
      </c>
      <c r="F11" t="s">
        <v>2654</v>
      </c>
      <c r="G11" t="s">
        <v>146</v>
      </c>
    </row>
    <row r="12" spans="1:7" ht="11.25" customHeight="1">
      <c r="A12" t="s">
        <v>16</v>
      </c>
      <c r="B12" t="s">
        <v>2671</v>
      </c>
      <c r="C12" t="s">
        <v>2672</v>
      </c>
      <c r="D12" t="s">
        <v>2671</v>
      </c>
      <c r="E12" t="s">
        <v>2672</v>
      </c>
      <c r="F12" t="s">
        <v>2651</v>
      </c>
      <c r="G12" t="s">
        <v>147</v>
      </c>
    </row>
    <row r="13" spans="1:7" ht="11.25" customHeight="1">
      <c r="A13" t="s">
        <v>16</v>
      </c>
      <c r="B13" t="s">
        <v>2671</v>
      </c>
      <c r="C13" t="s">
        <v>2672</v>
      </c>
      <c r="D13" t="s">
        <v>2673</v>
      </c>
      <c r="E13" t="s">
        <v>2674</v>
      </c>
      <c r="F13" t="s">
        <v>2654</v>
      </c>
      <c r="G13" t="s">
        <v>148</v>
      </c>
    </row>
    <row r="14" spans="1:7" ht="11.25" customHeight="1">
      <c r="A14" t="s">
        <v>16</v>
      </c>
      <c r="B14" t="s">
        <v>2671</v>
      </c>
      <c r="C14" t="s">
        <v>2672</v>
      </c>
      <c r="D14" t="s">
        <v>2675</v>
      </c>
      <c r="E14" t="s">
        <v>2676</v>
      </c>
      <c r="F14" t="s">
        <v>2654</v>
      </c>
      <c r="G14" t="s">
        <v>149</v>
      </c>
    </row>
    <row r="15" spans="1:7" ht="11.25" customHeight="1">
      <c r="A15" t="s">
        <v>16</v>
      </c>
      <c r="B15" t="s">
        <v>2671</v>
      </c>
      <c r="C15" t="s">
        <v>2672</v>
      </c>
      <c r="D15" t="s">
        <v>2677</v>
      </c>
      <c r="E15" t="s">
        <v>2678</v>
      </c>
      <c r="F15" t="s">
        <v>2654</v>
      </c>
      <c r="G15" t="s">
        <v>150</v>
      </c>
    </row>
    <row r="16" spans="1:7" ht="11.25" customHeight="1">
      <c r="A16" t="s">
        <v>16</v>
      </c>
      <c r="B16" t="s">
        <v>2671</v>
      </c>
      <c r="C16" t="s">
        <v>2672</v>
      </c>
      <c r="D16" t="s">
        <v>2679</v>
      </c>
      <c r="E16" t="s">
        <v>2680</v>
      </c>
      <c r="F16" t="s">
        <v>2654</v>
      </c>
      <c r="G16" t="s">
        <v>1459</v>
      </c>
    </row>
    <row r="17" spans="1:7" ht="11.25" customHeight="1">
      <c r="A17" t="s">
        <v>16</v>
      </c>
      <c r="B17" t="s">
        <v>2671</v>
      </c>
      <c r="C17" t="s">
        <v>2672</v>
      </c>
      <c r="D17" t="s">
        <v>2681</v>
      </c>
      <c r="E17" t="s">
        <v>2682</v>
      </c>
      <c r="F17" t="s">
        <v>2654</v>
      </c>
      <c r="G17" t="s">
        <v>1465</v>
      </c>
    </row>
    <row r="18" spans="1:7" ht="11.25" customHeight="1">
      <c r="A18" t="s">
        <v>16</v>
      </c>
      <c r="B18" t="s">
        <v>2671</v>
      </c>
      <c r="C18" t="s">
        <v>2672</v>
      </c>
      <c r="D18" t="s">
        <v>2683</v>
      </c>
      <c r="E18" t="s">
        <v>2684</v>
      </c>
      <c r="F18" t="s">
        <v>2654</v>
      </c>
      <c r="G18" t="s">
        <v>1477</v>
      </c>
    </row>
    <row r="19" spans="1:7" ht="11.25" customHeight="1">
      <c r="A19" t="s">
        <v>16</v>
      </c>
      <c r="B19" t="s">
        <v>2671</v>
      </c>
      <c r="C19" t="s">
        <v>2672</v>
      </c>
      <c r="D19" t="s">
        <v>2685</v>
      </c>
      <c r="E19" t="s">
        <v>2686</v>
      </c>
      <c r="F19" t="s">
        <v>2654</v>
      </c>
      <c r="G19" t="s">
        <v>1491</v>
      </c>
    </row>
    <row r="20" spans="1:7" ht="11.25" customHeight="1">
      <c r="A20" t="s">
        <v>16</v>
      </c>
      <c r="B20" t="s">
        <v>2671</v>
      </c>
      <c r="C20" t="s">
        <v>2672</v>
      </c>
      <c r="D20" t="s">
        <v>2687</v>
      </c>
      <c r="E20" t="s">
        <v>2688</v>
      </c>
      <c r="F20" t="s">
        <v>2654</v>
      </c>
      <c r="G20" t="s">
        <v>1503</v>
      </c>
    </row>
    <row r="21" spans="1:7" ht="11.25" customHeight="1">
      <c r="A21" t="s">
        <v>16</v>
      </c>
      <c r="B21" t="s">
        <v>2671</v>
      </c>
      <c r="C21" t="s">
        <v>2672</v>
      </c>
      <c r="D21" t="s">
        <v>2689</v>
      </c>
      <c r="E21" t="s">
        <v>2690</v>
      </c>
      <c r="F21" t="s">
        <v>2691</v>
      </c>
      <c r="G21" t="s">
        <v>1512</v>
      </c>
    </row>
    <row r="22" spans="1:7" ht="11.25" customHeight="1">
      <c r="A22" t="s">
        <v>16</v>
      </c>
      <c r="B22" t="s">
        <v>2671</v>
      </c>
      <c r="C22" t="s">
        <v>2672</v>
      </c>
      <c r="D22" t="s">
        <v>2692</v>
      </c>
      <c r="E22" t="s">
        <v>2693</v>
      </c>
      <c r="F22" t="s">
        <v>2691</v>
      </c>
      <c r="G22" t="s">
        <v>1528</v>
      </c>
    </row>
    <row r="23" spans="1:7" ht="11.25" customHeight="1">
      <c r="A23" t="s">
        <v>16</v>
      </c>
      <c r="B23" t="s">
        <v>2671</v>
      </c>
      <c r="C23" t="s">
        <v>2672</v>
      </c>
      <c r="D23" t="s">
        <v>2694</v>
      </c>
      <c r="E23" t="s">
        <v>2695</v>
      </c>
      <c r="F23" t="s">
        <v>2691</v>
      </c>
      <c r="G23" t="s">
        <v>1535</v>
      </c>
    </row>
    <row r="24" spans="1:7" ht="11.25" customHeight="1">
      <c r="A24" t="s">
        <v>16</v>
      </c>
      <c r="B24" t="s">
        <v>2671</v>
      </c>
      <c r="C24" t="s">
        <v>2672</v>
      </c>
      <c r="D24" t="s">
        <v>2696</v>
      </c>
      <c r="E24" t="s">
        <v>2697</v>
      </c>
      <c r="F24" t="s">
        <v>2654</v>
      </c>
      <c r="G24" t="s">
        <v>1543</v>
      </c>
    </row>
    <row r="25" spans="1:7" ht="11.25" customHeight="1">
      <c r="A25" t="s">
        <v>16</v>
      </c>
      <c r="B25" t="s">
        <v>2671</v>
      </c>
      <c r="C25" t="s">
        <v>2672</v>
      </c>
      <c r="D25" t="s">
        <v>2698</v>
      </c>
      <c r="E25" t="s">
        <v>2699</v>
      </c>
      <c r="F25" t="s">
        <v>2654</v>
      </c>
      <c r="G25" t="s">
        <v>1550</v>
      </c>
    </row>
    <row r="26" spans="1:7" ht="11.25" customHeight="1">
      <c r="A26" t="s">
        <v>16</v>
      </c>
      <c r="B26" t="s">
        <v>2671</v>
      </c>
      <c r="C26" t="s">
        <v>2672</v>
      </c>
      <c r="D26" t="s">
        <v>2700</v>
      </c>
      <c r="E26" t="s">
        <v>2701</v>
      </c>
      <c r="F26" t="s">
        <v>2654</v>
      </c>
      <c r="G26" t="s">
        <v>1554</v>
      </c>
    </row>
    <row r="27" spans="1:7" ht="11.25" customHeight="1">
      <c r="A27" t="s">
        <v>16</v>
      </c>
      <c r="B27" t="s">
        <v>2702</v>
      </c>
      <c r="C27" t="s">
        <v>2703</v>
      </c>
      <c r="D27" t="s">
        <v>2702</v>
      </c>
      <c r="E27" t="s">
        <v>2703</v>
      </c>
      <c r="F27" t="s">
        <v>2651</v>
      </c>
      <c r="G27" t="s">
        <v>1559</v>
      </c>
    </row>
    <row r="28" spans="1:7" ht="11.25" customHeight="1">
      <c r="A28" t="s">
        <v>16</v>
      </c>
      <c r="B28" t="s">
        <v>2702</v>
      </c>
      <c r="C28" t="s">
        <v>2703</v>
      </c>
      <c r="D28" t="s">
        <v>2704</v>
      </c>
      <c r="E28" t="s">
        <v>2705</v>
      </c>
      <c r="F28" t="s">
        <v>2654</v>
      </c>
      <c r="G28" t="s">
        <v>1567</v>
      </c>
    </row>
    <row r="29" spans="1:7" ht="11.25" customHeight="1">
      <c r="A29" t="s">
        <v>16</v>
      </c>
      <c r="B29" t="s">
        <v>2702</v>
      </c>
      <c r="C29" t="s">
        <v>2703</v>
      </c>
      <c r="D29" t="s">
        <v>2706</v>
      </c>
      <c r="E29" t="s">
        <v>2707</v>
      </c>
      <c r="F29" t="s">
        <v>2654</v>
      </c>
      <c r="G29" t="s">
        <v>1569</v>
      </c>
    </row>
    <row r="30" spans="1:7" ht="11.25" customHeight="1">
      <c r="A30" t="s">
        <v>16</v>
      </c>
      <c r="B30" t="s">
        <v>2702</v>
      </c>
      <c r="C30" t="s">
        <v>2703</v>
      </c>
      <c r="D30" t="s">
        <v>2708</v>
      </c>
      <c r="E30" t="s">
        <v>2709</v>
      </c>
      <c r="F30" t="s">
        <v>2654</v>
      </c>
      <c r="G30" t="s">
        <v>1572</v>
      </c>
    </row>
    <row r="31" spans="1:7" ht="11.25" customHeight="1">
      <c r="A31" t="s">
        <v>16</v>
      </c>
      <c r="B31" t="s">
        <v>2702</v>
      </c>
      <c r="C31" t="s">
        <v>2703</v>
      </c>
      <c r="D31" t="s">
        <v>2710</v>
      </c>
      <c r="E31" t="s">
        <v>2711</v>
      </c>
      <c r="F31" t="s">
        <v>2654</v>
      </c>
      <c r="G31" t="s">
        <v>1578</v>
      </c>
    </row>
    <row r="32" spans="1:7" ht="11.25" customHeight="1">
      <c r="A32" t="s">
        <v>16</v>
      </c>
      <c r="B32" t="s">
        <v>2702</v>
      </c>
      <c r="C32" t="s">
        <v>2703</v>
      </c>
      <c r="D32" t="s">
        <v>2712</v>
      </c>
      <c r="E32" t="s">
        <v>2713</v>
      </c>
      <c r="F32" t="s">
        <v>2654</v>
      </c>
      <c r="G32" t="s">
        <v>1580</v>
      </c>
    </row>
    <row r="33" spans="1:7" ht="11.25" customHeight="1">
      <c r="A33" t="s">
        <v>16</v>
      </c>
      <c r="B33" t="s">
        <v>2702</v>
      </c>
      <c r="C33" t="s">
        <v>2703</v>
      </c>
      <c r="D33" t="s">
        <v>2714</v>
      </c>
      <c r="E33" t="s">
        <v>2715</v>
      </c>
      <c r="F33" t="s">
        <v>2716</v>
      </c>
      <c r="G33" t="s">
        <v>1582</v>
      </c>
    </row>
    <row r="34" spans="1:7" ht="11.25" customHeight="1">
      <c r="A34" t="s">
        <v>16</v>
      </c>
      <c r="B34" t="s">
        <v>2702</v>
      </c>
      <c r="C34" t="s">
        <v>2703</v>
      </c>
      <c r="D34" t="s">
        <v>2717</v>
      </c>
      <c r="E34" t="s">
        <v>2718</v>
      </c>
      <c r="F34" t="s">
        <v>2654</v>
      </c>
      <c r="G34" t="s">
        <v>1584</v>
      </c>
    </row>
    <row r="35" spans="1:7" ht="11.25" customHeight="1">
      <c r="A35" t="s">
        <v>16</v>
      </c>
      <c r="B35" t="s">
        <v>2702</v>
      </c>
      <c r="C35" t="s">
        <v>2703</v>
      </c>
      <c r="D35" t="s">
        <v>2719</v>
      </c>
      <c r="E35" t="s">
        <v>2720</v>
      </c>
      <c r="F35" t="s">
        <v>2654</v>
      </c>
      <c r="G35" t="s">
        <v>1589</v>
      </c>
    </row>
    <row r="36" spans="1:7" ht="11.25" customHeight="1">
      <c r="A36" t="s">
        <v>16</v>
      </c>
      <c r="B36" t="s">
        <v>2702</v>
      </c>
      <c r="C36" t="s">
        <v>2703</v>
      </c>
      <c r="D36" t="s">
        <v>2721</v>
      </c>
      <c r="E36" t="s">
        <v>2722</v>
      </c>
      <c r="F36" t="s">
        <v>2654</v>
      </c>
      <c r="G36" t="s">
        <v>1594</v>
      </c>
    </row>
    <row r="37" spans="1:7" ht="11.25" customHeight="1">
      <c r="A37" t="s">
        <v>16</v>
      </c>
      <c r="B37" t="s">
        <v>2723</v>
      </c>
      <c r="C37" t="s">
        <v>2724</v>
      </c>
      <c r="D37" t="s">
        <v>2723</v>
      </c>
      <c r="E37" t="s">
        <v>2724</v>
      </c>
      <c r="F37" t="s">
        <v>2651</v>
      </c>
      <c r="G37" t="s">
        <v>1598</v>
      </c>
    </row>
    <row r="38" spans="1:7" ht="11.25" customHeight="1">
      <c r="A38" t="s">
        <v>16</v>
      </c>
      <c r="B38" t="s">
        <v>2723</v>
      </c>
      <c r="C38" t="s">
        <v>2724</v>
      </c>
      <c r="D38" t="s">
        <v>2725</v>
      </c>
      <c r="E38" t="s">
        <v>2726</v>
      </c>
      <c r="F38" t="s">
        <v>2654</v>
      </c>
      <c r="G38" t="s">
        <v>1606</v>
      </c>
    </row>
    <row r="39" spans="1:7" ht="11.25" customHeight="1">
      <c r="A39" t="s">
        <v>16</v>
      </c>
      <c r="B39" t="s">
        <v>2723</v>
      </c>
      <c r="C39" t="s">
        <v>2724</v>
      </c>
      <c r="D39" t="s">
        <v>2727</v>
      </c>
      <c r="E39" t="s">
        <v>2728</v>
      </c>
      <c r="F39" t="s">
        <v>2654</v>
      </c>
      <c r="G39" t="s">
        <v>1612</v>
      </c>
    </row>
    <row r="40" spans="1:7" ht="11.25" customHeight="1">
      <c r="A40" t="s">
        <v>16</v>
      </c>
      <c r="B40" t="s">
        <v>2723</v>
      </c>
      <c r="C40" t="s">
        <v>2724</v>
      </c>
      <c r="D40" t="s">
        <v>2729</v>
      </c>
      <c r="E40" t="s">
        <v>2730</v>
      </c>
      <c r="F40" t="s">
        <v>2654</v>
      </c>
      <c r="G40" t="s">
        <v>1617</v>
      </c>
    </row>
    <row r="41" spans="1:7" ht="11.25" customHeight="1">
      <c r="A41" t="s">
        <v>16</v>
      </c>
      <c r="B41" t="s">
        <v>2723</v>
      </c>
      <c r="C41" t="s">
        <v>2724</v>
      </c>
      <c r="D41" t="s">
        <v>2731</v>
      </c>
      <c r="E41" t="s">
        <v>2732</v>
      </c>
      <c r="F41" t="s">
        <v>2654</v>
      </c>
      <c r="G41" t="s">
        <v>1621</v>
      </c>
    </row>
    <row r="42" spans="1:7" ht="11.25" customHeight="1">
      <c r="A42" t="s">
        <v>16</v>
      </c>
      <c r="B42" t="s">
        <v>2723</v>
      </c>
      <c r="C42" t="s">
        <v>2724</v>
      </c>
      <c r="D42" t="s">
        <v>2733</v>
      </c>
      <c r="E42" t="s">
        <v>2734</v>
      </c>
      <c r="F42" t="s">
        <v>2654</v>
      </c>
      <c r="G42" t="s">
        <v>1624</v>
      </c>
    </row>
    <row r="43" spans="1:7" ht="11.25" customHeight="1">
      <c r="A43" t="s">
        <v>16</v>
      </c>
      <c r="B43" t="s">
        <v>2723</v>
      </c>
      <c r="C43" t="s">
        <v>2724</v>
      </c>
      <c r="D43" t="s">
        <v>2735</v>
      </c>
      <c r="E43" t="s">
        <v>2736</v>
      </c>
      <c r="F43" t="s">
        <v>2654</v>
      </c>
      <c r="G43" t="s">
        <v>1631</v>
      </c>
    </row>
    <row r="44" spans="1:7" ht="11.25" customHeight="1">
      <c r="A44" t="s">
        <v>16</v>
      </c>
      <c r="B44" t="s">
        <v>2723</v>
      </c>
      <c r="C44" t="s">
        <v>2724</v>
      </c>
      <c r="D44" t="s">
        <v>2737</v>
      </c>
      <c r="E44" t="s">
        <v>2738</v>
      </c>
      <c r="F44" t="s">
        <v>2654</v>
      </c>
      <c r="G44" t="s">
        <v>1640</v>
      </c>
    </row>
    <row r="45" spans="1:7" ht="11.25" customHeight="1">
      <c r="A45" t="s">
        <v>16</v>
      </c>
      <c r="B45" t="s">
        <v>2723</v>
      </c>
      <c r="C45" t="s">
        <v>2724</v>
      </c>
      <c r="D45" t="s">
        <v>2739</v>
      </c>
      <c r="E45" t="s">
        <v>2740</v>
      </c>
      <c r="F45" t="s">
        <v>2654</v>
      </c>
      <c r="G45" t="s">
        <v>1645</v>
      </c>
    </row>
    <row r="46" spans="1:7" ht="11.25" customHeight="1">
      <c r="A46" t="s">
        <v>16</v>
      </c>
      <c r="B46" t="s">
        <v>2723</v>
      </c>
      <c r="C46" t="s">
        <v>2724</v>
      </c>
      <c r="D46" t="s">
        <v>2741</v>
      </c>
      <c r="E46" t="s">
        <v>2742</v>
      </c>
      <c r="F46" t="s">
        <v>2654</v>
      </c>
      <c r="G46" t="s">
        <v>1648</v>
      </c>
    </row>
    <row r="47" spans="1:7" ht="11.25" customHeight="1">
      <c r="A47" t="s">
        <v>16</v>
      </c>
      <c r="B47" t="s">
        <v>2723</v>
      </c>
      <c r="C47" t="s">
        <v>2724</v>
      </c>
      <c r="D47" t="s">
        <v>2743</v>
      </c>
      <c r="E47" t="s">
        <v>2744</v>
      </c>
      <c r="F47" t="s">
        <v>2654</v>
      </c>
      <c r="G47" t="s">
        <v>1654</v>
      </c>
    </row>
    <row r="48" spans="1:7" ht="11.25" customHeight="1">
      <c r="A48" t="s">
        <v>16</v>
      </c>
      <c r="B48" t="s">
        <v>2745</v>
      </c>
      <c r="C48" t="s">
        <v>2746</v>
      </c>
      <c r="D48" t="s">
        <v>2747</v>
      </c>
      <c r="E48" t="s">
        <v>2748</v>
      </c>
      <c r="F48" t="s">
        <v>2654</v>
      </c>
      <c r="G48" t="s">
        <v>1659</v>
      </c>
    </row>
    <row r="49" spans="1:7" ht="11.25" customHeight="1">
      <c r="A49" t="s">
        <v>16</v>
      </c>
      <c r="B49" t="s">
        <v>2745</v>
      </c>
      <c r="C49" t="s">
        <v>2746</v>
      </c>
      <c r="D49" t="s">
        <v>2749</v>
      </c>
      <c r="E49" t="s">
        <v>2750</v>
      </c>
      <c r="F49" t="s">
        <v>2654</v>
      </c>
      <c r="G49" t="s">
        <v>1662</v>
      </c>
    </row>
    <row r="50" spans="1:7" ht="11.25" customHeight="1">
      <c r="A50" t="s">
        <v>16</v>
      </c>
      <c r="B50" t="s">
        <v>2745</v>
      </c>
      <c r="C50" t="s">
        <v>2746</v>
      </c>
      <c r="D50" t="s">
        <v>2751</v>
      </c>
      <c r="E50" t="s">
        <v>2752</v>
      </c>
      <c r="F50" t="s">
        <v>2654</v>
      </c>
      <c r="G50" t="s">
        <v>1666</v>
      </c>
    </row>
    <row r="51" spans="1:7" ht="11.25" customHeight="1">
      <c r="A51" t="s">
        <v>16</v>
      </c>
      <c r="B51" t="s">
        <v>2745</v>
      </c>
      <c r="C51" t="s">
        <v>2746</v>
      </c>
      <c r="D51" t="s">
        <v>2753</v>
      </c>
      <c r="E51" t="s">
        <v>2754</v>
      </c>
      <c r="F51" t="s">
        <v>2654</v>
      </c>
      <c r="G51" t="s">
        <v>1671</v>
      </c>
    </row>
    <row r="52" spans="1:7" ht="11.25" customHeight="1">
      <c r="A52" t="s">
        <v>16</v>
      </c>
      <c r="B52" t="s">
        <v>2745</v>
      </c>
      <c r="C52" t="s">
        <v>2746</v>
      </c>
      <c r="D52" t="s">
        <v>2755</v>
      </c>
      <c r="E52" t="s">
        <v>2756</v>
      </c>
      <c r="F52" t="s">
        <v>2654</v>
      </c>
      <c r="G52" t="s">
        <v>1675</v>
      </c>
    </row>
    <row r="53" spans="1:7" ht="11.25" customHeight="1">
      <c r="A53" t="s">
        <v>16</v>
      </c>
      <c r="B53" t="s">
        <v>2745</v>
      </c>
      <c r="C53" t="s">
        <v>2746</v>
      </c>
      <c r="D53" t="s">
        <v>2745</v>
      </c>
      <c r="E53" t="s">
        <v>2746</v>
      </c>
      <c r="F53" t="s">
        <v>2651</v>
      </c>
      <c r="G53" t="s">
        <v>1677</v>
      </c>
    </row>
    <row r="54" spans="1:7" ht="11.25" customHeight="1">
      <c r="A54" t="s">
        <v>16</v>
      </c>
      <c r="B54" t="s">
        <v>2745</v>
      </c>
      <c r="C54" t="s">
        <v>2746</v>
      </c>
      <c r="D54" t="s">
        <v>2757</v>
      </c>
      <c r="E54" t="s">
        <v>2758</v>
      </c>
      <c r="F54" t="s">
        <v>2654</v>
      </c>
      <c r="G54" t="s">
        <v>1680</v>
      </c>
    </row>
    <row r="55" spans="1:7" ht="11.25" customHeight="1">
      <c r="A55" t="s">
        <v>16</v>
      </c>
      <c r="B55" t="s">
        <v>2745</v>
      </c>
      <c r="C55" t="s">
        <v>2746</v>
      </c>
      <c r="D55" t="s">
        <v>2759</v>
      </c>
      <c r="E55" t="s">
        <v>2760</v>
      </c>
      <c r="F55" t="s">
        <v>2654</v>
      </c>
      <c r="G55" t="s">
        <v>1684</v>
      </c>
    </row>
    <row r="56" spans="1:7" ht="11.25" customHeight="1">
      <c r="A56" t="s">
        <v>16</v>
      </c>
      <c r="B56" t="s">
        <v>2745</v>
      </c>
      <c r="C56" t="s">
        <v>2746</v>
      </c>
      <c r="D56" t="s">
        <v>2761</v>
      </c>
      <c r="E56" t="s">
        <v>2762</v>
      </c>
      <c r="F56" t="s">
        <v>2654</v>
      </c>
      <c r="G56" t="s">
        <v>1687</v>
      </c>
    </row>
    <row r="57" spans="1:7" ht="11.25" customHeight="1">
      <c r="A57" t="s">
        <v>16</v>
      </c>
      <c r="B57" t="s">
        <v>2745</v>
      </c>
      <c r="C57" t="s">
        <v>2746</v>
      </c>
      <c r="D57" t="s">
        <v>2763</v>
      </c>
      <c r="E57" t="s">
        <v>2764</v>
      </c>
      <c r="F57" t="s">
        <v>2654</v>
      </c>
      <c r="G57" t="s">
        <v>1690</v>
      </c>
    </row>
    <row r="58" spans="1:7" ht="11.25" customHeight="1">
      <c r="A58" t="s">
        <v>16</v>
      </c>
      <c r="B58" t="s">
        <v>2765</v>
      </c>
      <c r="C58" t="s">
        <v>2766</v>
      </c>
      <c r="D58" t="s">
        <v>2767</v>
      </c>
      <c r="E58" t="s">
        <v>2768</v>
      </c>
      <c r="F58" t="s">
        <v>2654</v>
      </c>
      <c r="G58" t="s">
        <v>1693</v>
      </c>
    </row>
    <row r="59" spans="1:7" ht="11.25" customHeight="1">
      <c r="A59" t="s">
        <v>16</v>
      </c>
      <c r="B59" t="s">
        <v>2765</v>
      </c>
      <c r="C59" t="s">
        <v>2766</v>
      </c>
      <c r="D59" t="s">
        <v>2769</v>
      </c>
      <c r="E59" t="s">
        <v>2770</v>
      </c>
      <c r="F59" t="s">
        <v>2654</v>
      </c>
      <c r="G59" t="s">
        <v>1697</v>
      </c>
    </row>
    <row r="60" spans="1:7" ht="11.25" customHeight="1">
      <c r="A60" t="s">
        <v>16</v>
      </c>
      <c r="B60" t="s">
        <v>2765</v>
      </c>
      <c r="C60" t="s">
        <v>2766</v>
      </c>
      <c r="D60" t="s">
        <v>2771</v>
      </c>
      <c r="E60" t="s">
        <v>2772</v>
      </c>
      <c r="F60" t="s">
        <v>2654</v>
      </c>
      <c r="G60" t="s">
        <v>1700</v>
      </c>
    </row>
    <row r="61" spans="1:7" ht="11.25" customHeight="1">
      <c r="A61" t="s">
        <v>16</v>
      </c>
      <c r="B61" t="s">
        <v>2765</v>
      </c>
      <c r="C61" t="s">
        <v>2766</v>
      </c>
      <c r="D61" t="s">
        <v>2773</v>
      </c>
      <c r="E61" t="s">
        <v>2774</v>
      </c>
      <c r="F61" t="s">
        <v>2654</v>
      </c>
      <c r="G61" t="s">
        <v>2775</v>
      </c>
    </row>
    <row r="62" spans="1:7" ht="11.25" customHeight="1">
      <c r="A62" t="s">
        <v>16</v>
      </c>
      <c r="B62" t="s">
        <v>2765</v>
      </c>
      <c r="C62" t="s">
        <v>2766</v>
      </c>
      <c r="D62" t="s">
        <v>2776</v>
      </c>
      <c r="E62" t="s">
        <v>2777</v>
      </c>
      <c r="F62" t="s">
        <v>2654</v>
      </c>
      <c r="G62" t="s">
        <v>2778</v>
      </c>
    </row>
    <row r="63" spans="1:7" ht="11.25" customHeight="1">
      <c r="A63" t="s">
        <v>16</v>
      </c>
      <c r="B63" t="s">
        <v>2765</v>
      </c>
      <c r="C63" t="s">
        <v>2766</v>
      </c>
      <c r="D63" t="s">
        <v>2779</v>
      </c>
      <c r="E63" t="s">
        <v>2780</v>
      </c>
      <c r="F63" t="s">
        <v>2654</v>
      </c>
      <c r="G63" t="s">
        <v>2781</v>
      </c>
    </row>
    <row r="64" spans="1:7" ht="11.25" customHeight="1">
      <c r="A64" t="s">
        <v>16</v>
      </c>
      <c r="B64" t="s">
        <v>2765</v>
      </c>
      <c r="C64" t="s">
        <v>2766</v>
      </c>
      <c r="D64" t="s">
        <v>2782</v>
      </c>
      <c r="E64" t="s">
        <v>2783</v>
      </c>
      <c r="F64" t="s">
        <v>2716</v>
      </c>
      <c r="G64" t="s">
        <v>2784</v>
      </c>
    </row>
    <row r="65" spans="1:7" ht="11.25" customHeight="1">
      <c r="A65" t="s">
        <v>16</v>
      </c>
      <c r="B65" t="s">
        <v>2765</v>
      </c>
      <c r="C65" t="s">
        <v>2766</v>
      </c>
      <c r="D65" t="s">
        <v>2785</v>
      </c>
      <c r="E65" t="s">
        <v>2786</v>
      </c>
      <c r="F65" t="s">
        <v>2654</v>
      </c>
      <c r="G65" t="s">
        <v>2787</v>
      </c>
    </row>
    <row r="66" spans="1:7" ht="11.25" customHeight="1">
      <c r="A66" t="s">
        <v>16</v>
      </c>
      <c r="B66" t="s">
        <v>2765</v>
      </c>
      <c r="C66" t="s">
        <v>2766</v>
      </c>
      <c r="D66" t="s">
        <v>2765</v>
      </c>
      <c r="E66" t="s">
        <v>2766</v>
      </c>
      <c r="F66" t="s">
        <v>2651</v>
      </c>
      <c r="G66" t="s">
        <v>2788</v>
      </c>
    </row>
    <row r="67" spans="1:7" ht="11.25" customHeight="1">
      <c r="A67" t="s">
        <v>16</v>
      </c>
      <c r="B67" t="s">
        <v>2765</v>
      </c>
      <c r="C67" t="s">
        <v>2766</v>
      </c>
      <c r="D67" t="s">
        <v>2789</v>
      </c>
      <c r="E67" t="s">
        <v>2790</v>
      </c>
      <c r="F67" t="s">
        <v>2654</v>
      </c>
      <c r="G67" t="s">
        <v>2017</v>
      </c>
    </row>
    <row r="68" spans="1:7" ht="11.25" customHeight="1">
      <c r="A68" t="s">
        <v>16</v>
      </c>
      <c r="B68" t="s">
        <v>2791</v>
      </c>
      <c r="C68" t="s">
        <v>2792</v>
      </c>
      <c r="D68" t="s">
        <v>2793</v>
      </c>
      <c r="E68" t="s">
        <v>2794</v>
      </c>
      <c r="F68" t="s">
        <v>2654</v>
      </c>
      <c r="G68" t="s">
        <v>2795</v>
      </c>
    </row>
    <row r="69" spans="1:7" ht="11.25" customHeight="1">
      <c r="A69" t="s">
        <v>16</v>
      </c>
      <c r="B69" t="s">
        <v>2791</v>
      </c>
      <c r="C69" t="s">
        <v>2792</v>
      </c>
      <c r="D69" t="s">
        <v>2796</v>
      </c>
      <c r="E69" t="s">
        <v>2797</v>
      </c>
      <c r="F69" t="s">
        <v>2654</v>
      </c>
      <c r="G69" t="s">
        <v>2220</v>
      </c>
    </row>
    <row r="70" spans="1:7" ht="11.25" customHeight="1">
      <c r="A70" t="s">
        <v>16</v>
      </c>
      <c r="B70" t="s">
        <v>2791</v>
      </c>
      <c r="C70" t="s">
        <v>2792</v>
      </c>
      <c r="D70" t="s">
        <v>2798</v>
      </c>
      <c r="E70" t="s">
        <v>2799</v>
      </c>
      <c r="F70" t="s">
        <v>2654</v>
      </c>
      <c r="G70" t="s">
        <v>2800</v>
      </c>
    </row>
    <row r="71" spans="1:7" ht="11.25" customHeight="1">
      <c r="A71" t="s">
        <v>16</v>
      </c>
      <c r="B71" t="s">
        <v>2791</v>
      </c>
      <c r="C71" t="s">
        <v>2792</v>
      </c>
      <c r="D71" t="s">
        <v>2801</v>
      </c>
      <c r="E71" t="s">
        <v>2802</v>
      </c>
      <c r="F71" t="s">
        <v>2654</v>
      </c>
      <c r="G71" t="s">
        <v>2803</v>
      </c>
    </row>
    <row r="72" spans="1:7" ht="11.25" customHeight="1">
      <c r="A72" t="s">
        <v>16</v>
      </c>
      <c r="B72" t="s">
        <v>2791</v>
      </c>
      <c r="C72" t="s">
        <v>2792</v>
      </c>
      <c r="D72" t="s">
        <v>2804</v>
      </c>
      <c r="E72" t="s">
        <v>2805</v>
      </c>
      <c r="F72" t="s">
        <v>2654</v>
      </c>
      <c r="G72" t="s">
        <v>2806</v>
      </c>
    </row>
    <row r="73" spans="1:7" ht="11.25" customHeight="1">
      <c r="A73" t="s">
        <v>16</v>
      </c>
      <c r="B73" t="s">
        <v>2791</v>
      </c>
      <c r="C73" t="s">
        <v>2792</v>
      </c>
      <c r="D73" t="s">
        <v>2807</v>
      </c>
      <c r="E73" t="s">
        <v>2808</v>
      </c>
      <c r="F73" t="s">
        <v>2654</v>
      </c>
      <c r="G73" t="s">
        <v>2809</v>
      </c>
    </row>
    <row r="74" spans="1:7" ht="11.25" customHeight="1">
      <c r="A74" t="s">
        <v>16</v>
      </c>
      <c r="B74" t="s">
        <v>2791</v>
      </c>
      <c r="C74" t="s">
        <v>2792</v>
      </c>
      <c r="D74" t="s">
        <v>2810</v>
      </c>
      <c r="E74" t="s">
        <v>2811</v>
      </c>
      <c r="F74" t="s">
        <v>2691</v>
      </c>
      <c r="G74" t="s">
        <v>2812</v>
      </c>
    </row>
    <row r="75" spans="1:7" ht="11.25" customHeight="1">
      <c r="A75" t="s">
        <v>16</v>
      </c>
      <c r="B75" t="s">
        <v>2791</v>
      </c>
      <c r="C75" t="s">
        <v>2792</v>
      </c>
      <c r="D75" t="s">
        <v>2813</v>
      </c>
      <c r="E75" t="s">
        <v>2814</v>
      </c>
      <c r="F75" t="s">
        <v>2654</v>
      </c>
      <c r="G75" t="s">
        <v>2815</v>
      </c>
    </row>
    <row r="76" spans="1:7" ht="11.25" customHeight="1">
      <c r="A76" t="s">
        <v>16</v>
      </c>
      <c r="B76" t="s">
        <v>2791</v>
      </c>
      <c r="C76" t="s">
        <v>2792</v>
      </c>
      <c r="D76" t="s">
        <v>2816</v>
      </c>
      <c r="E76" t="s">
        <v>2817</v>
      </c>
      <c r="F76" t="s">
        <v>2654</v>
      </c>
      <c r="G76" t="s">
        <v>2818</v>
      </c>
    </row>
    <row r="77" spans="1:7" ht="11.25" customHeight="1">
      <c r="A77" t="s">
        <v>16</v>
      </c>
      <c r="B77" t="s">
        <v>2791</v>
      </c>
      <c r="C77" t="s">
        <v>2792</v>
      </c>
      <c r="D77" t="s">
        <v>2819</v>
      </c>
      <c r="E77" t="s">
        <v>2820</v>
      </c>
      <c r="F77" t="s">
        <v>2654</v>
      </c>
      <c r="G77" t="s">
        <v>2821</v>
      </c>
    </row>
    <row r="78" spans="1:7" ht="11.25" customHeight="1">
      <c r="A78" t="s">
        <v>16</v>
      </c>
      <c r="B78" t="s">
        <v>2791</v>
      </c>
      <c r="C78" t="s">
        <v>2792</v>
      </c>
      <c r="D78" t="s">
        <v>2822</v>
      </c>
      <c r="E78" t="s">
        <v>2823</v>
      </c>
      <c r="F78" t="s">
        <v>2654</v>
      </c>
      <c r="G78" t="s">
        <v>2824</v>
      </c>
    </row>
    <row r="79" spans="1:7" ht="11.25" customHeight="1">
      <c r="A79" t="s">
        <v>16</v>
      </c>
      <c r="B79" t="s">
        <v>2791</v>
      </c>
      <c r="C79" t="s">
        <v>2792</v>
      </c>
      <c r="D79" t="s">
        <v>2791</v>
      </c>
      <c r="E79" t="s">
        <v>2792</v>
      </c>
      <c r="F79" t="s">
        <v>2651</v>
      </c>
      <c r="G79" t="s">
        <v>2825</v>
      </c>
    </row>
    <row r="80" spans="1:7" ht="11.25" customHeight="1">
      <c r="A80" t="s">
        <v>16</v>
      </c>
      <c r="B80" t="s">
        <v>2791</v>
      </c>
      <c r="C80" t="s">
        <v>2792</v>
      </c>
      <c r="D80" t="s">
        <v>2826</v>
      </c>
      <c r="E80" t="s">
        <v>2827</v>
      </c>
      <c r="F80" t="s">
        <v>2654</v>
      </c>
      <c r="G80" t="s">
        <v>2828</v>
      </c>
    </row>
    <row r="81" spans="1:7" ht="11.25" customHeight="1">
      <c r="A81" t="s">
        <v>16</v>
      </c>
      <c r="B81" t="s">
        <v>2791</v>
      </c>
      <c r="C81" t="s">
        <v>2792</v>
      </c>
      <c r="D81" t="s">
        <v>2829</v>
      </c>
      <c r="E81" t="s">
        <v>2830</v>
      </c>
      <c r="F81" t="s">
        <v>2654</v>
      </c>
      <c r="G81" t="s">
        <v>2831</v>
      </c>
    </row>
    <row r="82" spans="1:7" ht="11.25" customHeight="1">
      <c r="A82" t="s">
        <v>16</v>
      </c>
      <c r="B82" t="s">
        <v>2832</v>
      </c>
      <c r="C82" t="s">
        <v>2833</v>
      </c>
      <c r="D82" t="s">
        <v>2834</v>
      </c>
      <c r="E82" t="s">
        <v>2835</v>
      </c>
      <c r="F82" t="s">
        <v>2654</v>
      </c>
      <c r="G82" t="s">
        <v>2836</v>
      </c>
    </row>
    <row r="83" spans="1:7" ht="11.25" customHeight="1">
      <c r="A83" t="s">
        <v>16</v>
      </c>
      <c r="B83" t="s">
        <v>2832</v>
      </c>
      <c r="C83" t="s">
        <v>2833</v>
      </c>
      <c r="D83" t="s">
        <v>2837</v>
      </c>
      <c r="E83" t="s">
        <v>2838</v>
      </c>
      <c r="F83" t="s">
        <v>2654</v>
      </c>
      <c r="G83" t="s">
        <v>2839</v>
      </c>
    </row>
    <row r="84" spans="1:7" ht="11.25" customHeight="1">
      <c r="A84" t="s">
        <v>16</v>
      </c>
      <c r="B84" t="s">
        <v>2832</v>
      </c>
      <c r="C84" t="s">
        <v>2833</v>
      </c>
      <c r="D84" t="s">
        <v>2840</v>
      </c>
      <c r="E84" t="s">
        <v>2841</v>
      </c>
      <c r="F84" t="s">
        <v>2654</v>
      </c>
      <c r="G84" t="s">
        <v>2842</v>
      </c>
    </row>
    <row r="85" spans="1:7" ht="11.25" customHeight="1">
      <c r="A85" t="s">
        <v>16</v>
      </c>
      <c r="B85" t="s">
        <v>2832</v>
      </c>
      <c r="C85" t="s">
        <v>2833</v>
      </c>
      <c r="D85" t="s">
        <v>2843</v>
      </c>
      <c r="E85" t="s">
        <v>2844</v>
      </c>
      <c r="F85" t="s">
        <v>2654</v>
      </c>
      <c r="G85" t="s">
        <v>2845</v>
      </c>
    </row>
    <row r="86" spans="1:7" ht="11.25" customHeight="1">
      <c r="A86" t="s">
        <v>16</v>
      </c>
      <c r="B86" t="s">
        <v>2832</v>
      </c>
      <c r="C86" t="s">
        <v>2833</v>
      </c>
      <c r="D86" t="s">
        <v>2846</v>
      </c>
      <c r="E86" t="s">
        <v>2847</v>
      </c>
      <c r="F86" t="s">
        <v>2654</v>
      </c>
      <c r="G86" t="s">
        <v>2848</v>
      </c>
    </row>
    <row r="87" spans="1:7" ht="11.25" customHeight="1">
      <c r="A87" t="s">
        <v>16</v>
      </c>
      <c r="B87" t="s">
        <v>2832</v>
      </c>
      <c r="C87" t="s">
        <v>2833</v>
      </c>
      <c r="D87" t="s">
        <v>2849</v>
      </c>
      <c r="E87" t="s">
        <v>2850</v>
      </c>
      <c r="F87" t="s">
        <v>2654</v>
      </c>
      <c r="G87" t="s">
        <v>2851</v>
      </c>
    </row>
    <row r="88" spans="1:7" ht="11.25" customHeight="1">
      <c r="A88" t="s">
        <v>16</v>
      </c>
      <c r="B88" t="s">
        <v>2832</v>
      </c>
      <c r="C88" t="s">
        <v>2833</v>
      </c>
      <c r="D88" t="s">
        <v>2852</v>
      </c>
      <c r="E88" t="s">
        <v>2853</v>
      </c>
      <c r="F88" t="s">
        <v>2654</v>
      </c>
      <c r="G88" t="s">
        <v>2854</v>
      </c>
    </row>
    <row r="89" spans="1:7" ht="11.25" customHeight="1">
      <c r="A89" t="s">
        <v>16</v>
      </c>
      <c r="B89" t="s">
        <v>2832</v>
      </c>
      <c r="C89" t="s">
        <v>2833</v>
      </c>
      <c r="D89" t="s">
        <v>2855</v>
      </c>
      <c r="E89" t="s">
        <v>2856</v>
      </c>
      <c r="F89" t="s">
        <v>2654</v>
      </c>
      <c r="G89" t="s">
        <v>2857</v>
      </c>
    </row>
    <row r="90" spans="1:7" ht="11.25" customHeight="1">
      <c r="A90" t="s">
        <v>16</v>
      </c>
      <c r="B90" t="s">
        <v>2832</v>
      </c>
      <c r="C90" t="s">
        <v>2833</v>
      </c>
      <c r="D90" t="s">
        <v>2858</v>
      </c>
      <c r="E90" t="s">
        <v>2859</v>
      </c>
      <c r="F90" t="s">
        <v>2654</v>
      </c>
      <c r="G90" t="s">
        <v>2860</v>
      </c>
    </row>
    <row r="91" spans="1:7" ht="11.25" customHeight="1">
      <c r="A91" t="s">
        <v>16</v>
      </c>
      <c r="B91" t="s">
        <v>2832</v>
      </c>
      <c r="C91" t="s">
        <v>2833</v>
      </c>
      <c r="D91" t="s">
        <v>2861</v>
      </c>
      <c r="E91" t="s">
        <v>2862</v>
      </c>
      <c r="F91" t="s">
        <v>2654</v>
      </c>
      <c r="G91" t="s">
        <v>2863</v>
      </c>
    </row>
    <row r="92" spans="1:7" ht="11.25" customHeight="1">
      <c r="A92" t="s">
        <v>16</v>
      </c>
      <c r="B92" t="s">
        <v>2832</v>
      </c>
      <c r="C92" t="s">
        <v>2833</v>
      </c>
      <c r="D92" t="s">
        <v>2864</v>
      </c>
      <c r="E92" t="s">
        <v>2865</v>
      </c>
      <c r="F92" t="s">
        <v>2654</v>
      </c>
      <c r="G92" t="s">
        <v>2866</v>
      </c>
    </row>
    <row r="93" spans="1:7" ht="11.25" customHeight="1">
      <c r="A93" t="s">
        <v>16</v>
      </c>
      <c r="B93" t="s">
        <v>2832</v>
      </c>
      <c r="C93" t="s">
        <v>2833</v>
      </c>
      <c r="D93" t="s">
        <v>2867</v>
      </c>
      <c r="E93" t="s">
        <v>2868</v>
      </c>
      <c r="F93" t="s">
        <v>2654</v>
      </c>
      <c r="G93" t="s">
        <v>2869</v>
      </c>
    </row>
    <row r="94" spans="1:7" ht="11.25" customHeight="1">
      <c r="A94" t="s">
        <v>16</v>
      </c>
      <c r="B94" t="s">
        <v>2832</v>
      </c>
      <c r="C94" t="s">
        <v>2833</v>
      </c>
      <c r="D94" t="s">
        <v>2870</v>
      </c>
      <c r="E94" t="s">
        <v>2871</v>
      </c>
      <c r="F94" t="s">
        <v>2654</v>
      </c>
      <c r="G94" t="s">
        <v>2872</v>
      </c>
    </row>
    <row r="95" spans="1:7" ht="11.25" customHeight="1">
      <c r="A95" t="s">
        <v>16</v>
      </c>
      <c r="B95" t="s">
        <v>2832</v>
      </c>
      <c r="C95" t="s">
        <v>2833</v>
      </c>
      <c r="D95" t="s">
        <v>2832</v>
      </c>
      <c r="E95" t="s">
        <v>2833</v>
      </c>
      <c r="F95" t="s">
        <v>2651</v>
      </c>
      <c r="G95" t="s">
        <v>2873</v>
      </c>
    </row>
    <row r="96" spans="1:7" ht="11.25" customHeight="1">
      <c r="A96" t="s">
        <v>16</v>
      </c>
      <c r="B96" t="s">
        <v>2832</v>
      </c>
      <c r="C96" t="s">
        <v>2833</v>
      </c>
      <c r="D96" t="s">
        <v>2874</v>
      </c>
      <c r="E96" t="s">
        <v>2875</v>
      </c>
      <c r="F96" t="s">
        <v>2654</v>
      </c>
      <c r="G96" t="s">
        <v>2876</v>
      </c>
    </row>
    <row r="97" spans="1:7" ht="11.25" customHeight="1">
      <c r="A97" t="s">
        <v>16</v>
      </c>
      <c r="B97" t="s">
        <v>2832</v>
      </c>
      <c r="C97" t="s">
        <v>2833</v>
      </c>
      <c r="D97" t="s">
        <v>2877</v>
      </c>
      <c r="E97" t="s">
        <v>2878</v>
      </c>
      <c r="F97" t="s">
        <v>2654</v>
      </c>
      <c r="G97" t="s">
        <v>2879</v>
      </c>
    </row>
    <row r="98" spans="1:7" ht="11.25" customHeight="1">
      <c r="A98" t="s">
        <v>16</v>
      </c>
      <c r="B98" t="s">
        <v>2880</v>
      </c>
      <c r="C98" t="s">
        <v>2881</v>
      </c>
      <c r="D98" t="s">
        <v>2880</v>
      </c>
      <c r="E98" t="s">
        <v>2881</v>
      </c>
      <c r="F98" t="s">
        <v>2882</v>
      </c>
      <c r="G98" t="s">
        <v>2883</v>
      </c>
    </row>
    <row r="99" spans="1:7" ht="11.25" customHeight="1">
      <c r="A99" t="s">
        <v>16</v>
      </c>
      <c r="B99" t="s">
        <v>2884</v>
      </c>
      <c r="C99" t="s">
        <v>2885</v>
      </c>
      <c r="D99" t="s">
        <v>2884</v>
      </c>
      <c r="E99" t="s">
        <v>2885</v>
      </c>
      <c r="F99" t="s">
        <v>2882</v>
      </c>
      <c r="G99" t="s">
        <v>2886</v>
      </c>
    </row>
    <row r="100" spans="1:7" ht="11.25" customHeight="1">
      <c r="A100" t="s">
        <v>16</v>
      </c>
      <c r="B100" t="s">
        <v>96</v>
      </c>
      <c r="C100" t="s">
        <v>97</v>
      </c>
      <c r="D100" t="s">
        <v>96</v>
      </c>
      <c r="E100" t="s">
        <v>97</v>
      </c>
      <c r="F100" t="s">
        <v>2882</v>
      </c>
      <c r="G100" t="s">
        <v>95</v>
      </c>
    </row>
    <row r="101" spans="1:7" ht="11.25" customHeight="1">
      <c r="A101" t="s">
        <v>16</v>
      </c>
      <c r="B101" t="s">
        <v>2887</v>
      </c>
      <c r="C101" t="s">
        <v>2888</v>
      </c>
      <c r="D101" t="s">
        <v>2887</v>
      </c>
      <c r="E101" t="s">
        <v>2888</v>
      </c>
      <c r="F101" t="s">
        <v>2882</v>
      </c>
      <c r="G101" t="s">
        <v>2889</v>
      </c>
    </row>
    <row r="102" spans="1:7" ht="11.25" customHeight="1">
      <c r="A102" t="s">
        <v>16</v>
      </c>
      <c r="B102" t="s">
        <v>2890</v>
      </c>
      <c r="C102" t="s">
        <v>2891</v>
      </c>
      <c r="D102" t="s">
        <v>2890</v>
      </c>
      <c r="E102" t="s">
        <v>2891</v>
      </c>
      <c r="F102" t="s">
        <v>2882</v>
      </c>
      <c r="G102" t="s">
        <v>2892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2927</v>
      </c>
      <c r="B1" s="765" t="s">
        <v>2928</v>
      </c>
      <c r="C1" s="765" t="s">
        <v>1162</v>
      </c>
    </row>
    <row r="2" spans="1:3" ht="11.25" customHeight="1">
      <c r="A2" s="765">
        <v>4189678</v>
      </c>
      <c r="B2" s="765" t="s">
        <v>2929</v>
      </c>
      <c r="C2" s="765" t="s">
        <v>2930</v>
      </c>
    </row>
    <row r="3" spans="1:3" ht="11.25" customHeight="1">
      <c r="A3" s="765">
        <v>4190415</v>
      </c>
      <c r="B3" s="765" t="s">
        <v>2931</v>
      </c>
      <c r="C3" s="765" t="s">
        <v>2930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2932</v>
      </c>
      <c r="B1" s="100" t="s">
        <v>2933</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2934</v>
      </c>
      <c r="B1" t="b">
        <v>1</v>
      </c>
    </row>
    <row r="2" spans="1:2" ht="11.25" customHeight="1">
      <c r="A2" t="s">
        <v>2935</v>
      </c>
      <c r="B2" t="b">
        <v>0</v>
      </c>
    </row>
    <row r="3" spans="1:2" ht="11.25" customHeight="1">
      <c r="A3" t="s">
        <v>2936</v>
      </c>
      <c r="B3" t="b">
        <v>1</v>
      </c>
    </row>
    <row r="4" spans="1:2" ht="11.25" customHeight="1">
      <c r="A4" t="s">
        <v>2937</v>
      </c>
      <c r="B4" t="b">
        <v>0</v>
      </c>
    </row>
    <row r="5" spans="1:2" ht="11.25" customHeight="1">
      <c r="A5" t="s">
        <v>2938</v>
      </c>
      <c r="B5" t="b">
        <v>0</v>
      </c>
    </row>
    <row r="6" spans="1:2" ht="11.25" customHeight="1">
      <c r="A6" t="s">
        <v>2939</v>
      </c>
      <c r="B6" t="b">
        <v>0</v>
      </c>
    </row>
    <row r="7" spans="1:2" ht="11.25" customHeight="1">
      <c r="A7" t="s">
        <v>2940</v>
      </c>
      <c r="B7" t="b">
        <v>0</v>
      </c>
    </row>
    <row r="8" spans="1:2" ht="11.25" customHeight="1">
      <c r="A8" t="s">
        <v>2941</v>
      </c>
      <c r="B8" t="b">
        <v>0</v>
      </c>
    </row>
    <row r="9" spans="1:2" ht="11.25" customHeight="1">
      <c r="A9" t="s">
        <v>2942</v>
      </c>
      <c r="B9" t="b">
        <v>0</v>
      </c>
    </row>
    <row r="10" spans="1:2" ht="11.25" customHeight="1">
      <c r="A10" t="s">
        <v>2943</v>
      </c>
      <c r="B10" t="b">
        <v>0</v>
      </c>
    </row>
    <row r="11" spans="1:2" ht="11.25" customHeight="1">
      <c r="A11" t="s">
        <v>2944</v>
      </c>
      <c r="B11" t="b">
        <v>1</v>
      </c>
    </row>
    <row r="12" spans="1:2" ht="11.25" customHeight="1">
      <c r="A12" t="s">
        <v>2945</v>
      </c>
      <c r="B12" t="b">
        <v>0</v>
      </c>
    </row>
    <row r="13" spans="1:2" ht="11.25" customHeight="1">
      <c r="A13" t="s">
        <v>2946</v>
      </c>
      <c r="B13" t="b">
        <v>0</v>
      </c>
    </row>
    <row r="14" spans="1:2" ht="11.25" customHeight="1">
      <c r="A14" t="s">
        <v>2947</v>
      </c>
      <c r="B14" t="b">
        <v>0</v>
      </c>
    </row>
    <row r="15" spans="1:2" ht="11.25" customHeight="1">
      <c r="A15" t="s">
        <v>2948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2949</v>
      </c>
      <c r="B1" s="6" t="s">
        <v>2950</v>
      </c>
    </row>
    <row r="2" spans="1:2" ht="11.25" customHeight="1">
      <c r="A2" s="3" t="s">
        <v>2951</v>
      </c>
      <c r="B2" s="3" t="s">
        <v>2952</v>
      </c>
    </row>
    <row r="3" spans="1:2" ht="11.25" customHeight="1">
      <c r="A3" s="3" t="s">
        <v>2953</v>
      </c>
      <c r="B3" s="3" t="s">
        <v>2954</v>
      </c>
    </row>
    <row r="4" spans="1:2" ht="11.25" customHeight="1">
      <c r="A4" s="3" t="s">
        <v>2955</v>
      </c>
      <c r="B4" s="3" t="s">
        <v>2956</v>
      </c>
    </row>
    <row r="5" spans="1:2" ht="11.25" customHeight="1">
      <c r="A5" s="3" t="s">
        <v>2957</v>
      </c>
      <c r="B5" s="3" t="s">
        <v>2958</v>
      </c>
    </row>
    <row r="6" spans="1:2" ht="11.25" customHeight="1">
      <c r="A6" s="3" t="s">
        <v>2959</v>
      </c>
      <c r="B6" s="3" t="s">
        <v>2960</v>
      </c>
    </row>
    <row r="7" spans="1:2" ht="11.25" customHeight="1">
      <c r="A7" s="3" t="s">
        <v>2961</v>
      </c>
      <c r="B7" s="3" t="s">
        <v>2962</v>
      </c>
    </row>
    <row r="8" spans="1:2" ht="11.25" customHeight="1">
      <c r="A8" s="3" t="s">
        <v>2963</v>
      </c>
      <c r="B8" s="3" t="s">
        <v>2964</v>
      </c>
    </row>
    <row r="9" spans="1:2" ht="11.25" customHeight="1">
      <c r="A9" s="3" t="s">
        <v>2965</v>
      </c>
      <c r="B9" s="3" t="s">
        <v>2966</v>
      </c>
    </row>
    <row r="10" spans="1:2" ht="11.25" customHeight="1">
      <c r="A10" s="3" t="s">
        <v>2967</v>
      </c>
      <c r="B10" s="3" t="s">
        <v>2968</v>
      </c>
    </row>
    <row r="11" spans="1:2" ht="11.25" customHeight="1">
      <c r="A11" s="3" t="s">
        <v>2969</v>
      </c>
      <c r="B11" s="3" t="s">
        <v>2970</v>
      </c>
    </row>
    <row r="12" spans="1:2" ht="11.25" customHeight="1">
      <c r="A12" s="3" t="s">
        <v>2971</v>
      </c>
      <c r="B12" s="3" t="s">
        <v>2972</v>
      </c>
    </row>
    <row r="13" spans="1:2" ht="11.25" customHeight="1">
      <c r="A13" s="3" t="s">
        <v>2973</v>
      </c>
      <c r="B13" s="3" t="s">
        <v>2974</v>
      </c>
    </row>
    <row r="14" spans="1:2" ht="11.25" customHeight="1">
      <c r="A14" s="3" t="s">
        <v>2975</v>
      </c>
      <c r="B14" s="3" t="s">
        <v>2976</v>
      </c>
    </row>
    <row r="15" spans="1:2" ht="11.25" customHeight="1">
      <c r="A15" s="3" t="s">
        <v>2977</v>
      </c>
      <c r="B15" s="3" t="s">
        <v>2978</v>
      </c>
    </row>
    <row r="16" spans="1:2" ht="11.25" customHeight="1">
      <c r="A16" s="3" t="s">
        <v>2979</v>
      </c>
      <c r="B16" s="3" t="s">
        <v>2980</v>
      </c>
    </row>
    <row r="17" spans="1:2" ht="11.25" customHeight="1">
      <c r="A17" s="3" t="s">
        <v>2981</v>
      </c>
      <c r="B17" s="3" t="s">
        <v>2982</v>
      </c>
    </row>
    <row r="18" spans="1:2" ht="11.25" customHeight="1">
      <c r="A18" s="3" t="s">
        <v>2983</v>
      </c>
      <c r="B18" s="3" t="s">
        <v>2984</v>
      </c>
    </row>
    <row r="19" spans="1:2" ht="11.25" customHeight="1">
      <c r="A19" s="3" t="s">
        <v>2985</v>
      </c>
      <c r="B19" s="3" t="s">
        <v>2986</v>
      </c>
    </row>
    <row r="20" spans="1:2" ht="11.25" customHeight="1">
      <c r="A20" s="3" t="s">
        <v>2987</v>
      </c>
      <c r="B20" s="3" t="s">
        <v>2988</v>
      </c>
    </row>
    <row r="21" spans="1:2" ht="11.25" customHeight="1">
      <c r="A21" s="3" t="s">
        <v>2989</v>
      </c>
      <c r="B21" s="3" t="s">
        <v>2990</v>
      </c>
    </row>
    <row r="22" spans="1:2" ht="11.25" customHeight="1">
      <c r="A22" s="3" t="s">
        <v>2991</v>
      </c>
      <c r="B22" s="3" t="s">
        <v>2992</v>
      </c>
    </row>
    <row r="23" spans="1:2" ht="11.25" customHeight="1">
      <c r="A23" s="3" t="s">
        <v>2993</v>
      </c>
      <c r="B23" s="3" t="s">
        <v>2994</v>
      </c>
    </row>
    <row r="24" spans="1:2" ht="11.25" customHeight="1">
      <c r="A24" s="3" t="s">
        <v>2995</v>
      </c>
      <c r="B24" s="3" t="s">
        <v>2996</v>
      </c>
    </row>
    <row r="25" spans="1:2" ht="11.25" customHeight="1">
      <c r="A25" s="3" t="s">
        <v>2997</v>
      </c>
      <c r="B25" s="3" t="s">
        <v>2998</v>
      </c>
    </row>
    <row r="26" spans="1:2" ht="11.25" customHeight="1">
      <c r="A26" s="3" t="s">
        <v>2999</v>
      </c>
      <c r="B26" s="3" t="s">
        <v>3000</v>
      </c>
    </row>
    <row r="27" spans="1:2" ht="11.25" customHeight="1">
      <c r="A27" s="3" t="s">
        <v>3001</v>
      </c>
      <c r="B27" s="3" t="s">
        <v>3002</v>
      </c>
    </row>
    <row r="28" spans="1:2" ht="11.25" customHeight="1">
      <c r="A28" s="3" t="s">
        <v>3003</v>
      </c>
      <c r="B28" s="3" t="s">
        <v>3004</v>
      </c>
    </row>
    <row r="29" spans="1:2" ht="11.25" customHeight="1">
      <c r="A29" s="3" t="s">
        <v>3005</v>
      </c>
      <c r="B29" s="3" t="s">
        <v>3006</v>
      </c>
    </row>
    <row r="30" spans="1:2" ht="11.25" customHeight="1">
      <c r="A30" s="3" t="s">
        <v>3007</v>
      </c>
      <c r="B30" s="3" t="s">
        <v>3008</v>
      </c>
    </row>
    <row r="31" spans="1:2" ht="11.25" customHeight="1">
      <c r="A31" s="3" t="s">
        <v>3009</v>
      </c>
      <c r="B31" s="3" t="s">
        <v>3010</v>
      </c>
    </row>
    <row r="32" spans="1:2" ht="11.25" customHeight="1">
      <c r="A32" s="3" t="s">
        <v>3011</v>
      </c>
      <c r="B32" s="3" t="s">
        <v>3012</v>
      </c>
    </row>
    <row r="33" spans="1:2" ht="11.25" customHeight="1">
      <c r="A33" s="3" t="s">
        <v>3013</v>
      </c>
      <c r="B33" s="3" t="s">
        <v>3014</v>
      </c>
    </row>
    <row r="34" spans="1:2" ht="11.25" customHeight="1">
      <c r="A34" s="3" t="s">
        <v>3015</v>
      </c>
      <c r="B34" s="3" t="s">
        <v>3016</v>
      </c>
    </row>
    <row r="35" spans="1:2" ht="11.25" customHeight="1">
      <c r="A35" s="3" t="s">
        <v>3017</v>
      </c>
      <c r="B35" s="3" t="s">
        <v>3018</v>
      </c>
    </row>
    <row r="36" spans="1:2" ht="11.25" customHeight="1">
      <c r="A36" s="3" t="s">
        <v>3019</v>
      </c>
      <c r="B36" s="3" t="s">
        <v>3020</v>
      </c>
    </row>
    <row r="37" spans="1:2" ht="11.25" customHeight="1">
      <c r="A37" s="3" t="s">
        <v>3021</v>
      </c>
      <c r="B37" s="3" t="s">
        <v>3022</v>
      </c>
    </row>
    <row r="38" spans="1:2" ht="11.25" customHeight="1">
      <c r="A38" s="3" t="s">
        <v>3023</v>
      </c>
      <c r="B38" s="3" t="s">
        <v>3024</v>
      </c>
    </row>
    <row r="39" spans="1:2" ht="11.25" customHeight="1">
      <c r="A39" s="3" t="s">
        <v>3025</v>
      </c>
      <c r="B39" s="3" t="s">
        <v>3026</v>
      </c>
    </row>
    <row r="40" spans="1:2" ht="11.25" customHeight="1">
      <c r="A40" s="3" t="s">
        <v>3027</v>
      </c>
      <c r="B40" s="3" t="s">
        <v>3028</v>
      </c>
    </row>
    <row r="41" spans="1:2" ht="11.25" customHeight="1">
      <c r="A41" s="3" t="s">
        <v>3029</v>
      </c>
      <c r="B41" s="3" t="s">
        <v>3030</v>
      </c>
    </row>
    <row r="42" spans="1:2" ht="11.25" customHeight="1">
      <c r="A42" s="3" t="s">
        <v>3031</v>
      </c>
      <c r="B42" s="3" t="s">
        <v>3032</v>
      </c>
    </row>
    <row r="43" spans="1:2" ht="11.25" customHeight="1">
      <c r="A43" s="3" t="s">
        <v>3033</v>
      </c>
      <c r="B43" s="3" t="s">
        <v>3034</v>
      </c>
    </row>
    <row r="44" spans="1:2" ht="11.25" customHeight="1">
      <c r="A44" s="3" t="s">
        <v>3035</v>
      </c>
      <c r="B44" s="3" t="s">
        <v>3036</v>
      </c>
    </row>
    <row r="45" spans="1:2" ht="11.25" customHeight="1">
      <c r="A45" s="3" t="s">
        <v>3037</v>
      </c>
      <c r="B45" s="3" t="s">
        <v>3038</v>
      </c>
    </row>
    <row r="46" spans="1:2" ht="11.25" customHeight="1">
      <c r="A46" s="3" t="s">
        <v>3039</v>
      </c>
      <c r="B46" s="3" t="s">
        <v>3040</v>
      </c>
    </row>
    <row r="47" spans="1:2" ht="11.25" customHeight="1">
      <c r="A47" s="3" t="s">
        <v>3041</v>
      </c>
      <c r="B47" s="3" t="s">
        <v>3042</v>
      </c>
    </row>
    <row r="48" spans="1:2" ht="11.25" customHeight="1">
      <c r="A48" s="3" t="s">
        <v>3043</v>
      </c>
      <c r="B48" s="3" t="s">
        <v>3044</v>
      </c>
    </row>
    <row r="49" spans="1:2" ht="11.25" customHeight="1">
      <c r="A49" s="3" t="s">
        <v>3045</v>
      </c>
      <c r="B49" s="3" t="s">
        <v>3046</v>
      </c>
    </row>
    <row r="50" spans="1:2" ht="11.25" customHeight="1">
      <c r="A50" s="3" t="s">
        <v>3047</v>
      </c>
      <c r="B50" s="3" t="s">
        <v>3048</v>
      </c>
    </row>
    <row r="51" spans="1:2" ht="11.25" customHeight="1">
      <c r="A51" s="3" t="s">
        <v>3049</v>
      </c>
      <c r="B51" s="3" t="s">
        <v>3050</v>
      </c>
    </row>
    <row r="52" spans="1:2" ht="11.25" customHeight="1">
      <c r="A52" s="3" t="s">
        <v>3051</v>
      </c>
      <c r="B52" s="3" t="s">
        <v>3052</v>
      </c>
    </row>
    <row r="53" spans="1:2" ht="11.25" customHeight="1">
      <c r="A53" s="3" t="s">
        <v>3053</v>
      </c>
      <c r="B53" s="3" t="s">
        <v>3054</v>
      </c>
    </row>
    <row r="54" spans="1:2" ht="11.25" customHeight="1">
      <c r="A54" s="3" t="s">
        <v>3055</v>
      </c>
      <c r="B54" s="3" t="s">
        <v>3056</v>
      </c>
    </row>
    <row r="55" spans="1:2" ht="11.25" customHeight="1">
      <c r="A55" s="3" t="s">
        <v>3057</v>
      </c>
      <c r="B55" s="3" t="s">
        <v>3058</v>
      </c>
    </row>
    <row r="56" spans="1:2" ht="11.25" customHeight="1">
      <c r="A56" s="3" t="s">
        <v>3059</v>
      </c>
      <c r="B56" s="3" t="s">
        <v>3060</v>
      </c>
    </row>
    <row r="57" spans="1:2" ht="11.25" customHeight="1">
      <c r="A57" s="3" t="s">
        <v>3061</v>
      </c>
      <c r="B57" s="3" t="s">
        <v>3062</v>
      </c>
    </row>
    <row r="58" spans="1:2" ht="11.25" customHeight="1">
      <c r="A58" s="3" t="s">
        <v>3063</v>
      </c>
      <c r="B58" s="3" t="s">
        <v>3064</v>
      </c>
    </row>
    <row r="59" spans="1:2" ht="11.25" customHeight="1">
      <c r="A59" s="3" t="s">
        <v>3065</v>
      </c>
      <c r="B59" s="3" t="s">
        <v>3066</v>
      </c>
    </row>
    <row r="60" spans="1:2" ht="11.25" customHeight="1">
      <c r="A60" s="3" t="s">
        <v>3067</v>
      </c>
      <c r="B60" s="3" t="s">
        <v>3068</v>
      </c>
    </row>
    <row r="61" spans="1:2" ht="11.25" customHeight="1">
      <c r="A61" s="3"/>
      <c r="B61" s="3" t="s">
        <v>3069</v>
      </c>
    </row>
    <row r="62" spans="1:2" ht="11.25" customHeight="1">
      <c r="A62" s="3"/>
      <c r="B62" s="3" t="s">
        <v>3070</v>
      </c>
    </row>
    <row r="63" spans="1:2" ht="11.25" customHeight="1">
      <c r="A63" s="3"/>
      <c r="B63" s="3" t="s">
        <v>3071</v>
      </c>
    </row>
    <row r="64" spans="1:2" ht="11.25" customHeight="1">
      <c r="A64" s="3"/>
      <c r="B64" s="3" t="s">
        <v>3072</v>
      </c>
    </row>
    <row r="65" spans="1:2" ht="11.25" customHeight="1">
      <c r="A65" s="3"/>
      <c r="B65" s="3" t="s">
        <v>3073</v>
      </c>
    </row>
    <row r="66" spans="1:2" ht="11.25" customHeight="1">
      <c r="A66" s="3"/>
      <c r="B66" s="3" t="s">
        <v>3074</v>
      </c>
    </row>
    <row r="67" spans="1:2" ht="11.25" customHeight="1">
      <c r="A67" s="3"/>
      <c r="B67" s="3" t="s">
        <v>3075</v>
      </c>
    </row>
    <row r="68" spans="1:2" ht="11.25" customHeight="1">
      <c r="A68" s="3"/>
      <c r="B68" s="3" t="s">
        <v>3076</v>
      </c>
    </row>
    <row r="69" spans="1:2" ht="11.25" customHeight="1">
      <c r="A69" s="3"/>
      <c r="B69" s="3" t="s">
        <v>3077</v>
      </c>
    </row>
    <row r="70" spans="1:2" ht="11.25" customHeight="1">
      <c r="A70" s="3"/>
      <c r="B70" s="3" t="s">
        <v>3078</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3079</v>
      </c>
    </row>
    <row r="2" spans="2:4" ht="90" customHeight="1">
      <c r="B2" s="33" t="s">
        <v>3080</v>
      </c>
    </row>
    <row r="3" spans="2:4" ht="67.5" customHeight="1">
      <c r="B3" s="33" t="s">
        <v>3081</v>
      </c>
    </row>
    <row r="4" spans="2:4" ht="33.75" customHeight="1">
      <c r="B4" s="33" t="s">
        <v>3082</v>
      </c>
    </row>
    <row r="5" spans="2:4" ht="11.25" customHeight="1">
      <c r="B5" s="33" t="s">
        <v>3083</v>
      </c>
    </row>
    <row r="6" spans="2:4" ht="22.5" customHeight="1">
      <c r="B6" s="33" t="s">
        <v>3084</v>
      </c>
    </row>
    <row r="7" spans="2:4" ht="22.5" customHeight="1">
      <c r="B7" s="33" t="s">
        <v>3085</v>
      </c>
    </row>
    <row r="8" spans="2:4" ht="22.5" customHeight="1">
      <c r="B8" s="33" t="s">
        <v>3086</v>
      </c>
    </row>
    <row r="9" spans="2:4" ht="22.5" customHeight="1">
      <c r="B9" s="33" t="s">
        <v>3087</v>
      </c>
    </row>
    <row r="10" spans="2:4" ht="56.25" customHeight="1">
      <c r="B10" s="33" t="s">
        <v>3088</v>
      </c>
    </row>
    <row r="11" spans="2:4" ht="12.75" customHeight="1">
      <c r="B11" s="96" t="s">
        <v>3089</v>
      </c>
    </row>
    <row r="12" spans="2:4" ht="11.25" customHeight="1">
      <c r="B12" s="32" t="s">
        <v>3090</v>
      </c>
    </row>
    <row r="13" spans="2:4" ht="22.5" customHeight="1">
      <c r="B13" s="33" t="s">
        <v>3091</v>
      </c>
    </row>
    <row r="14" spans="2:4" ht="67.5" customHeight="1">
      <c r="B14" s="33" t="s">
        <v>3092</v>
      </c>
    </row>
    <row r="15" spans="2:4" ht="22.5" customHeight="1">
      <c r="B15" s="33" t="s">
        <v>3093</v>
      </c>
    </row>
    <row r="16" spans="2:4" ht="11.25" customHeight="1">
      <c r="B16" s="32" t="s">
        <v>3094</v>
      </c>
      <c r="D16" s="39"/>
    </row>
    <row r="17" spans="1:2" ht="33.75" customHeight="1">
      <c r="B17" s="33" t="s">
        <v>3095</v>
      </c>
    </row>
    <row r="18" spans="1:2" ht="33.75" customHeight="1">
      <c r="B18" s="33" t="s">
        <v>3096</v>
      </c>
    </row>
    <row r="19" spans="1:2" ht="11.25" customHeight="1">
      <c r="B19" s="33" t="s">
        <v>3097</v>
      </c>
    </row>
    <row r="20" spans="1:2" ht="33.75" customHeight="1">
      <c r="B20" s="33" t="s">
        <v>3098</v>
      </c>
    </row>
    <row r="21" spans="1:2" ht="11.25" customHeight="1">
      <c r="B21" s="32" t="s">
        <v>3099</v>
      </c>
    </row>
    <row r="22" spans="1:2" ht="11.25" customHeight="1">
      <c r="B22" s="33" t="s">
        <v>3100</v>
      </c>
    </row>
    <row r="24" spans="1:2" ht="22.5" customHeight="1">
      <c r="B24" s="98" t="s">
        <v>3101</v>
      </c>
    </row>
    <row r="26" spans="1:2" ht="11.25" customHeight="1">
      <c r="B26" s="32" t="s">
        <v>3102</v>
      </c>
    </row>
    <row r="27" spans="1:2" ht="22.5" customHeight="1">
      <c r="B27" s="97" t="s">
        <v>391</v>
      </c>
    </row>
    <row r="28" spans="1:2" ht="56.25" customHeight="1">
      <c r="B28" s="97" t="s">
        <v>3103</v>
      </c>
    </row>
    <row r="29" spans="1:2" ht="11.25" customHeight="1">
      <c r="B29" s="147" t="s">
        <v>3104</v>
      </c>
    </row>
    <row r="30" spans="1:2" ht="22.5" customHeight="1">
      <c r="B30" s="97" t="s">
        <v>3105</v>
      </c>
    </row>
    <row r="32" spans="1:2" ht="11.25" customHeight="1">
      <c r="A32" s="125"/>
      <c r="B32" s="126" t="s">
        <v>3106</v>
      </c>
    </row>
    <row r="33" spans="1:2" ht="14.25" customHeight="1">
      <c r="A33" s="127">
        <v>1</v>
      </c>
      <c r="B33" s="128" t="s">
        <v>3107</v>
      </c>
    </row>
    <row r="34" spans="1:2" ht="14.25" customHeight="1">
      <c r="A34" s="127">
        <v>2</v>
      </c>
      <c r="B34" s="128" t="s">
        <v>3108</v>
      </c>
    </row>
    <row r="35" spans="1:2" ht="11.25" customHeight="1">
      <c r="B35" s="126" t="s">
        <v>3109</v>
      </c>
    </row>
    <row r="36" spans="1:2" ht="11.25" customHeight="1">
      <c r="B36" s="128" t="s">
        <v>3110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62" t="s">
        <v>347</v>
      </c>
      <c r="I1" s="2162"/>
      <c r="V1" s="1533" t="s">
        <v>14</v>
      </c>
    </row>
    <row r="2" spans="1:22" s="1561" customFormat="1" ht="14.25" hidden="1" customHeight="1">
      <c r="C2" s="1545"/>
      <c r="D2" s="2166" t="s">
        <v>105</v>
      </c>
      <c r="E2" s="2168"/>
      <c r="F2" s="1551"/>
      <c r="G2" s="1546" t="s">
        <v>105</v>
      </c>
      <c r="H2" s="1549"/>
      <c r="I2" s="1547"/>
      <c r="L2" s="1548"/>
      <c r="M2" s="1548"/>
      <c r="N2" s="1548"/>
      <c r="O2" s="1548" t="s">
        <v>377</v>
      </c>
      <c r="P2" s="1548"/>
      <c r="Q2" s="1548"/>
      <c r="R2" s="1550" t="s">
        <v>376</v>
      </c>
      <c r="S2" s="1550" t="s">
        <v>376</v>
      </c>
      <c r="T2" s="1548"/>
      <c r="U2" s="1548"/>
      <c r="V2" s="1544">
        <v>0</v>
      </c>
    </row>
    <row r="3" spans="1:22" s="1561" customFormat="1" ht="14.25" hidden="1" customHeight="1">
      <c r="C3" s="1545"/>
      <c r="D3" s="2167"/>
      <c r="E3" s="2169"/>
      <c r="F3" s="341"/>
      <c r="G3" s="799"/>
      <c r="H3" s="799" t="s">
        <v>378</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351</v>
      </c>
      <c r="I5" s="638"/>
      <c r="J5" s="638"/>
      <c r="L5" s="1540"/>
      <c r="M5" s="1540"/>
      <c r="N5" s="1540"/>
      <c r="O5" s="1540"/>
      <c r="P5" s="1540"/>
      <c r="Q5" s="1540"/>
      <c r="R5" s="1540"/>
      <c r="S5" s="1540"/>
      <c r="T5" s="1540"/>
      <c r="U5" s="1540"/>
      <c r="V5" s="1539">
        <v>5</v>
      </c>
    </row>
    <row r="6" spans="1:22" ht="29.25" customHeight="1">
      <c r="C6" s="1442"/>
      <c r="D6" s="2165" t="s">
        <v>379</v>
      </c>
      <c r="E6" s="2165"/>
      <c r="F6" s="2165"/>
      <c r="G6" s="2165"/>
      <c r="H6" s="2165"/>
      <c r="I6" s="2165"/>
      <c r="J6" s="427"/>
      <c r="K6" s="1541"/>
      <c r="V6" s="1533">
        <v>28</v>
      </c>
    </row>
    <row r="7" spans="1:22" ht="18" customHeight="1">
      <c r="C7" s="1442"/>
      <c r="D7" s="2137" t="str">
        <f>IF(org=0,"Не определено",org)</f>
        <v>ОП АО "Байкалэнерго" - "Саяногорские тепловые сети"</v>
      </c>
      <c r="E7" s="2137"/>
      <c r="F7" s="2137"/>
      <c r="G7" s="2137"/>
      <c r="H7" s="2137"/>
      <c r="I7" s="2137"/>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0" t="s">
        <v>295</v>
      </c>
      <c r="E10" s="2163"/>
      <c r="F10" s="2163"/>
      <c r="G10" s="2163"/>
      <c r="H10" s="2163"/>
      <c r="I10" s="2163"/>
      <c r="J10" s="2113" t="s">
        <v>296</v>
      </c>
      <c r="V10" s="1533">
        <v>14</v>
      </c>
    </row>
    <row r="11" spans="1:22" ht="27.4" customHeight="1">
      <c r="C11" s="1442"/>
      <c r="D11" s="2056" t="s">
        <v>84</v>
      </c>
      <c r="E11" s="2113" t="s">
        <v>101</v>
      </c>
      <c r="F11" s="2116" t="s">
        <v>84</v>
      </c>
      <c r="G11" s="2117"/>
      <c r="H11" s="2115" t="s">
        <v>380</v>
      </c>
      <c r="I11" s="2115" t="s">
        <v>381</v>
      </c>
      <c r="J11" s="2113"/>
      <c r="V11" s="1533">
        <v>26</v>
      </c>
    </row>
    <row r="12" spans="1:22" ht="14.65" customHeight="1">
      <c r="C12" s="1442"/>
      <c r="D12" s="2056"/>
      <c r="E12" s="2113"/>
      <c r="F12" s="2121"/>
      <c r="G12" s="2122"/>
      <c r="H12" s="2170"/>
      <c r="I12" s="2170"/>
      <c r="J12" s="2113"/>
      <c r="V12" s="1533">
        <v>14</v>
      </c>
    </row>
    <row r="13" spans="1:22" s="1567" customFormat="1" ht="11.25" hidden="1" customHeight="1">
      <c r="C13" s="434"/>
      <c r="D13" s="435" t="s">
        <v>371</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6" t="s">
        <v>105</v>
      </c>
      <c r="E14" s="2168"/>
      <c r="F14" s="1543"/>
      <c r="G14" s="1542" t="s">
        <v>105</v>
      </c>
      <c r="H14" s="1549"/>
      <c r="I14" s="1547"/>
      <c r="J14" s="2100" t="s">
        <v>382</v>
      </c>
      <c r="K14" s="1533"/>
      <c r="R14" s="436" t="s">
        <v>376</v>
      </c>
      <c r="S14" s="436" t="s">
        <v>376</v>
      </c>
      <c r="V14" s="1533">
        <v>14</v>
      </c>
    </row>
    <row r="15" spans="1:22" ht="14.65" customHeight="1">
      <c r="A15" s="1533"/>
      <c r="C15" s="1442"/>
      <c r="D15" s="2167"/>
      <c r="E15" s="2169"/>
      <c r="F15" s="341"/>
      <c r="G15" s="799"/>
      <c r="H15" s="799" t="s">
        <v>378</v>
      </c>
      <c r="I15" s="250"/>
      <c r="J15" s="2101"/>
      <c r="K15" s="1533"/>
      <c r="R15" s="436"/>
      <c r="S15" s="436"/>
      <c r="V15" s="1533">
        <v>14</v>
      </c>
    </row>
    <row r="16" spans="1:22" ht="14.65" customHeight="1">
      <c r="A16" s="1533"/>
      <c r="C16" s="1442"/>
      <c r="D16" s="341"/>
      <c r="E16" s="799" t="s">
        <v>118</v>
      </c>
      <c r="F16" s="250"/>
      <c r="G16" s="250"/>
      <c r="H16" s="342"/>
      <c r="I16" s="342"/>
      <c r="J16" s="2102"/>
      <c r="K16" s="1533"/>
      <c r="V16" s="1533">
        <v>14</v>
      </c>
    </row>
    <row r="17" spans="1:22" ht="14.65" customHeight="1">
      <c r="K17" s="1533"/>
      <c r="V17" s="1533">
        <v>14</v>
      </c>
    </row>
    <row r="18" spans="1:22" ht="22.5" hidden="1" customHeight="1">
      <c r="A18" s="1534" t="s">
        <v>78</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Bakulina Tatiyana</cp:lastModifiedBy>
  <cp:lastPrinted>2013-08-29T08:11:20Z</cp:lastPrinted>
  <dcterms:created xsi:type="dcterms:W3CDTF">2004-05-21T07:18:45Z</dcterms:created>
  <dcterms:modified xsi:type="dcterms:W3CDTF">2026-06-30T06:12:20Z</dcterms:modified>
</cp:coreProperties>
</file>